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75" windowWidth="15360" windowHeight="8310" tabRatio="905" activeTab="1"/>
  </bookViews>
  <sheets>
    <sheet name="1.Täyttöohjeet" sheetId="1" r:id="rId1"/>
    <sheet name="2.Yhteenveto" sheetId="2" r:id="rId2"/>
    <sheet name="3.Sosiaali- ja terveys" sheetId="3" r:id="rId3"/>
    <sheet name="4.Esi- ja perusop. ja kulttuuri" sheetId="4" r:id="rId4"/>
    <sheet name="5.Yleinen osa ja lisäosat" sheetId="5" r:id="rId5"/>
    <sheet name="6.Vähennykset ja lisäykset" sheetId="6" r:id="rId6"/>
    <sheet name="7.Järjestelmämuutoksen tasaus" sheetId="7" r:id="rId7"/>
    <sheet name="8.Kotikuntakorvaukset" sheetId="8" r:id="rId8"/>
    <sheet name="9.Opetus ja kulttuuri, muu vos" sheetId="9" r:id="rId9"/>
    <sheet name="10.Lukio" sheetId="10" r:id="rId10"/>
  </sheets>
  <definedNames>
    <definedName name="asukastiheys">'2.Yhteenveto'!$T$73:$T$377</definedName>
    <definedName name="ika028">'2.Yhteenveto'!$BM$73:$BM$377</definedName>
    <definedName name="ika06v.">'2.Yhteenveto'!$H$73:$H$377</definedName>
    <definedName name="ika1315v">'2.Yhteenveto'!$K$73:$K$377</definedName>
    <definedName name="ika6574v">'2.Yhteenveto'!$M$73:$M$377</definedName>
    <definedName name="ika6v">'2.Yhteenveto'!$I$73:$I$377</definedName>
    <definedName name="ika712v">'2.Yhteenveto'!$J$73:$J$377</definedName>
    <definedName name="ika7584v">'2.Yhteenveto'!$N$73:$N$377</definedName>
    <definedName name="ika764v">'2.Yhteenveto'!$L$73:$L$377</definedName>
    <definedName name="ika85v">'2.Yhteenveto'!$O$73:$O$377</definedName>
    <definedName name="jarjmuut">'2.Yhteenveto'!$AQ$73:$AQ$377</definedName>
    <definedName name="jarjmuut_tas" localSheetId="1">'2.Yhteenveto'!$AQ$73:$AQ$377</definedName>
    <definedName name="Kaksikielisyys">'2.Yhteenveto'!$V$73:$V$377</definedName>
    <definedName name="kkkpo">'2.Yhteenveto'!$BL$73:$BL$377</definedName>
    <definedName name="kompyht">'2.Yhteenveto'!$BK$73:$BK$377</definedName>
    <definedName name="kuntanimi">'2.Yhteenveto'!$G$73:$G$377</definedName>
    <definedName name="lskerroin">'2.Yhteenveto'!$AC$73:$AC$377</definedName>
    <definedName name="phkerroin">'2.Yhteenveto'!$Z$73:$Z$377</definedName>
    <definedName name="ruotsink615v">'2.Yhteenveto'!$Q$73:$Q$377</definedName>
    <definedName name="Saaristo">'2.Yhteenveto'!$U$73:$U$377</definedName>
    <definedName name="Sairastavuuskerroin">'2.Yhteenveto'!$AM$73:$AM$377</definedName>
    <definedName name="syrjaisyyskerroin">'2.Yhteenveto'!$AP$73:$AP$377</definedName>
    <definedName name="tasaus">'2.Yhteenveto'!$AR$73:$AR$377</definedName>
    <definedName name="tpojarj">'2.Yhteenveto'!$AS$73:$AS$377</definedName>
    <definedName name="_xlnm.Print_Area" localSheetId="7">'8.Kotikuntakorvaukset'!$E$10:$L$164</definedName>
    <definedName name="_xlnm.Print_Area" localSheetId="8">'9.Opetus ja kulttuuri, muu vos'!$A$1:$K$88</definedName>
    <definedName name="tyottomat">'2.Yhteenveto'!$AK$73:$AK$377</definedName>
    <definedName name="tyottomyyskerroin">'2.Yhteenveto'!$AL$73:$AL$377</definedName>
    <definedName name="tyovoima">'2.Yhteenveto'!$AJ$73:$AJ$377</definedName>
    <definedName name="vakiluku">'2.Yhteenveto'!$P$73:$P$377</definedName>
    <definedName name="Vammaiskerroin">'2.Yhteenveto'!$AI$73:$AI$377</definedName>
    <definedName name="vierask615v">'2.Yhteenveto'!$R$73:$R$377</definedName>
    <definedName name="yasl">'2.Yhteenveto'!$AT$73:$AT$377</definedName>
    <definedName name="yasm311208">'2.Yhteenveto'!$BE$73:$BE$377</definedName>
    <definedName name="yasm311211">'2.Yhteenveto'!$BF$73:$BF$377</definedName>
    <definedName name="yasmk">'2.Yhteenveto'!$BH$73:$BH$377</definedName>
    <definedName name="yasmm">'2.Yhteenveto'!$BG$73:$BG$377</definedName>
    <definedName name="yast">'2.Yhteenveto'!$AZ$73:$AZ$377</definedName>
    <definedName name="ykaks">'2.Yhteenveto'!$BC$73:$BC$377</definedName>
    <definedName name="ymkm">'2.Yhteenveto'!$AY$73:$AY$377</definedName>
    <definedName name="ysaamk">'2.Yhteenveto'!$BD$73:$BD$377</definedName>
    <definedName name="ysaamm">'2.Yhteenveto'!$BI$73:$BI$377</definedName>
    <definedName name="ysaamo">'2.Yhteenveto'!$BJ$73:$BJ$377</definedName>
    <definedName name="ysaaokv">'2.Yhteenveto'!$AW$73:$AW$377</definedName>
    <definedName name="ysaar">'2.Yhteenveto'!$AU$73:$AU$377</definedName>
    <definedName name="ysaarvae">'2.Yhteenveto'!$AV$73:$AV$377</definedName>
    <definedName name="ysyrj">'2.Yhteenveto'!$AX$73:$AX$377</definedName>
    <definedName name="ytaaj">'2.Yhteenveto'!$BA$73:$BA$377</definedName>
    <definedName name="ytaaos">'2.Yhteenveto'!$BB$73:$BB$377</definedName>
  </definedNames>
  <calcPr fullCalcOnLoad="1"/>
</workbook>
</file>

<file path=xl/comments10.xml><?xml version="1.0" encoding="utf-8"?>
<comments xmlns="http://schemas.openxmlformats.org/spreadsheetml/2006/main">
  <authors>
    <author>Lehtonen Sanna</author>
  </authors>
  <commentList>
    <comment ref="H35" authorId="0">
      <text>
        <r>
          <rPr>
            <b/>
            <sz val="9"/>
            <rFont val="Tahoma"/>
            <family val="2"/>
          </rPr>
          <t>Lehtonen Sanna:</t>
        </r>
        <r>
          <rPr>
            <sz val="9"/>
            <rFont val="Tahoma"/>
            <family val="2"/>
          </rPr>
          <t xml:space="preserve">
Lukiokoulutuksen rahoituksen määrää laskettaessa käytetään kahden laskentapäivän oppilasmäärien kuukausilla painotettua keskiarvioa (kevät 7/12 ja syksy 5/12). Aineopiskelijoiden lukumäärä otetaan huomioon painottamattomana. Laskettaessa vuoden 2014 rahoitusta laskentapäivät lukiokoulutuksessa ovat 20.1.2014 ja 20.9.2014.</t>
        </r>
      </text>
    </comment>
  </commentList>
</comments>
</file>

<file path=xl/comments2.xml><?xml version="1.0" encoding="utf-8"?>
<comments xmlns="http://schemas.openxmlformats.org/spreadsheetml/2006/main">
  <authors>
    <author>Lehtonen Sanna</author>
  </authors>
  <commentList>
    <comment ref="B13" authorId="0">
      <text>
        <r>
          <rPr>
            <b/>
            <sz val="9"/>
            <rFont val="Tahoma"/>
            <family val="2"/>
          </rPr>
          <t>Lehtonen Sanna:</t>
        </r>
        <r>
          <rPr>
            <sz val="9"/>
            <rFont val="Tahoma"/>
            <family val="2"/>
          </rPr>
          <t xml:space="preserve">
Kunnan asukas ja asukasmäärä sekä ikäluokka määräytyvät väestötietolain 18 §:n mukaisesti varainhoitovuotta edeltävää vuotta edeltäneen vuoden lopun tilanteen mukaan.</t>
        </r>
      </text>
    </comment>
    <comment ref="B16" authorId="0">
      <text>
        <r>
          <rPr>
            <b/>
            <sz val="9"/>
            <rFont val="Tahoma"/>
            <family val="2"/>
          </rPr>
          <t>Lehtonen Sanna:</t>
        </r>
        <r>
          <rPr>
            <sz val="9"/>
            <rFont val="Tahoma"/>
            <family val="2"/>
          </rPr>
          <t xml:space="preserve">
Kunnan peruspalvelujen valtionosuuden laskemisen perusteina (valtionosuusperusteet) käytetään:
1) yleisen osan määräytymisperusteita;
2) sosiaali- ja terveydenhuollon laskennallisia kustannuksia;
3) esi- ja perusopetuksen sekä yleisten kirjastojen laskennallisia kustannuksia;
4) taiteen perusopetuksen ja yleisen kulttuuritoimen määräytymisperusteita; sekä
5) erityisen harvan asutuksen, saaristokunnan sekä saamelaisten kotiseutualueen kunnan lisäosien määräytymisperusteita.
Kunnalle myönnetään valtionosuutta euromäärä, joka saadaan, kun kunnan sosiaali- ja terveydenhuollon, esi- ja perusopetuksen sekä yleisten kirjastojen laskennalliset kustannukset sekä kunnan taiteen perusopetuksen ja yleisen kulttuuritoimen määräytymisperusteet lasketaan yhteen ja saadusta summasta vähennetään kunnan omarahoitusosuus. Näin saatuun euromäärään lisätään kunnan yleinen osa sekä erityisen harvan asutuksen, saaristokunnan sekä saamelaisten kotiseutualueen kunnan lisäosat.
Myös esi- ja perusopetuksen kotikuntakorvausjärjestelmä ja verotuloihin perustuva valtionosuuden tasaus ovat osa kunnan peruspalvelujen valtionosuutta. Lisäksi kunnan peruspalvelujen valtionosuuteen sisältyy järjestelmämuutoksen tasaus ja valtionosuudessa huomioon otettavat lisäykset ja vähennykset, mm. veromenetysten kompensaatio.
</t>
        </r>
      </text>
    </comment>
    <comment ref="B40" authorId="0">
      <text>
        <r>
          <rPr>
            <b/>
            <sz val="9"/>
            <rFont val="Tahoma"/>
            <family val="2"/>
          </rPr>
          <t>Lehtonen Sanna:</t>
        </r>
        <r>
          <rPr>
            <sz val="9"/>
            <rFont val="Tahoma"/>
            <family val="2"/>
          </rPr>
          <t xml:space="preserve">
Opetus- ja kulttuuritoimen rahoituslain mukaisen rahoituksen euromääräisesti merkittävin osa on koulutuksen ylläpitäjille myönnettävä yksikköhintarahoitus
     -  lukiokoulutukseen,
     -  ammatilliseen koulutukseen ja
     -  ammattikorkeakouluille.
Lisäksi opetus- ja kulttuuriministeriö myöntää perusopetukseen oppilaskohtaista lisärahoitusta (mm. pidennetty oppivelvollisuus, lisäopetus) ja rahoituksen muuhun opetus- ja kulttuuritoimintaan (mm. kansalaisopistot, teatterit, nuorisotyö).
</t>
        </r>
      </text>
    </comment>
    <comment ref="B42" authorId="0">
      <text>
        <r>
          <rPr>
            <b/>
            <sz val="9"/>
            <rFont val="Tahoma"/>
            <family val="2"/>
          </rPr>
          <t>Lehtonen Sanna:</t>
        </r>
        <r>
          <rPr>
            <sz val="9"/>
            <rFont val="Tahoma"/>
            <family val="2"/>
          </rPr>
          <t xml:space="preserve">
Kunnan valtionosuutta voidaan korottaa hakemuksesta harkinnanvaraisesti valtion talousarvion rajoissa, jos kunta ensisijaisesti poikkeuksellisten tai tilapäisten kunnallistaloudellisten vaikeuksien vuoksi on lisätyn taloudellisen tuen tarpeessa. Taloudellisen tuen tarpeeseen vaikuttavina seikkoina otetaan huomioon myös paikalliset erityisolosuhteet.
Valtionosuuden korotuksen myöntämisen ehtona on, että kunta on hyväksynyt suunnitelman taloutensa tasapainottamiseksi toteutettavista toimenpiteistä. Suunnitelma tulee liittää valtionosuuden korotusta koskevaan hakemukseen. Valtionosuuden korotuksen myöntämiselle ja käytölle voidaan asettaa myös muita kunnan talouteen liittyviä ehtoja. Valtionosuuden korotus voidaan seuraavina vuosina jättää myöntämättä tai se voidaan myöntää alennettuna, jos suunnitelmaa tai asetettuja ehtoja ei ole noudatettu.
Harkinnanvaraisten valtionosuuden korotusten yhteismäärää vastaava euromäärä vähennetään kunnille maksettavista valtionosuuksista. Vähennys on kaikissa kunnissa asukasta kohden yhtä suuri.
</t>
        </r>
      </text>
    </comment>
    <comment ref="E29" authorId="0">
      <text>
        <r>
          <rPr>
            <b/>
            <sz val="9"/>
            <rFont val="Tahoma"/>
            <family val="2"/>
          </rPr>
          <t>Lehtonen Sanna:</t>
        </r>
        <r>
          <rPr>
            <sz val="9"/>
            <rFont val="Tahoma"/>
            <family val="2"/>
          </rPr>
          <t xml:space="preserve">
Elatustuen takaisinperinnän palautus maksetaan valtionosuusmaksatuksen yhteydessä, mutta kirjanpidossa se tulee erottaa kunnan peruspalvelujen valtionosuuden kokonaisuudesta (kts. Kirjanpitolautakunnan kuntajaoston lausunto 93).</t>
        </r>
      </text>
    </comment>
  </commentList>
</comments>
</file>

<file path=xl/comments3.xml><?xml version="1.0" encoding="utf-8"?>
<comments xmlns="http://schemas.openxmlformats.org/spreadsheetml/2006/main">
  <authors>
    <author>Lehtonen Sanna</author>
  </authors>
  <commentList>
    <comment ref="F12" authorId="0">
      <text>
        <r>
          <rPr>
            <b/>
            <sz val="9"/>
            <rFont val="Tahoma"/>
            <family val="2"/>
          </rPr>
          <t>Lehtonen Sanna:</t>
        </r>
        <r>
          <rPr>
            <sz val="9"/>
            <rFont val="Tahoma"/>
            <family val="2"/>
          </rPr>
          <t xml:space="preserve">
Ikärakenne 31.12. vuonna t-2
Esim. vuonna 2014 ikärakenne 31.12.2012</t>
        </r>
      </text>
    </comment>
    <comment ref="E28" authorId="0">
      <text>
        <r>
          <rPr>
            <b/>
            <sz val="9"/>
            <rFont val="Tahoma"/>
            <family val="2"/>
          </rPr>
          <t>Lehtonen Sanna:</t>
        </r>
        <r>
          <rPr>
            <sz val="9"/>
            <rFont val="Tahoma"/>
            <family val="2"/>
          </rPr>
          <t xml:space="preserve">
Kunnan työttömyyskerroin lasketaan jakamalla kunnan työttömien osuus kunnan työvoimasta koko maan vastaavalla osuudella.
Kerrointa laskettaessa käytetään työ- ja elinkeinoministeriön työnvälitystilaston tietoa varainhoitovuotta edeltävää vuotta edeltäneen vuoden työttömien osuudesta työvoimasta.
</t>
        </r>
      </text>
    </comment>
    <comment ref="H29" authorId="0">
      <text>
        <r>
          <rPr>
            <b/>
            <sz val="9"/>
            <rFont val="Tahoma"/>
            <family val="2"/>
          </rPr>
          <t>Lehtonen Sanna:</t>
        </r>
        <r>
          <rPr>
            <sz val="9"/>
            <rFont val="Tahoma"/>
            <family val="2"/>
          </rPr>
          <t xml:space="preserve">
Kunnan työttömyyskerroin lasketaan jakamalla kunnan työttömien osuus kunnan työvoimasta koko maan vastaavalla osuudella.
Kerrointa laskettaessa käytetään työ- ja elinkeinoministeriön työnvälitystilaston tietoa varainhoitovuotta edeltävää vuotta edeltäneen vuoden työttömien osuudesta työvoimasta.
</t>
        </r>
      </text>
    </comment>
    <comment ref="A54" authorId="0">
      <text>
        <r>
          <rPr>
            <b/>
            <sz val="9"/>
            <rFont val="Tahoma"/>
            <family val="2"/>
          </rPr>
          <t>Lehtonen Sanna:</t>
        </r>
        <r>
          <rPr>
            <sz val="9"/>
            <rFont val="Tahoma"/>
            <family val="2"/>
          </rPr>
          <t xml:space="preserve">
Kunnan sosiaali- ja terveydenhuollon laskennalliset kustannukset saadaan laskemalla yhteen erikseen laskettavat kunnan sosiaalihuollon ja terveydenhuollon laskennalliset kustannukset ja kertomalla summa syrjäisyyskertoimella, jos kunnalle on vahvistettu syrjäisyyskerroin.</t>
        </r>
      </text>
    </comment>
    <comment ref="C24" authorId="0">
      <text>
        <r>
          <rPr>
            <b/>
            <sz val="9"/>
            <rFont val="Tahoma"/>
            <family val="2"/>
          </rPr>
          <t>Lehtonen Sanna:</t>
        </r>
        <r>
          <rPr>
            <sz val="9"/>
            <rFont val="Tahoma"/>
            <family val="2"/>
          </rPr>
          <t xml:space="preserve">
Työttömyyden perusteella määräytyvät kunnan laskennalliset kustannukset lasketaan kertomalla asukasta kohden määritelty työttömyyskertoimen perushinta kunnan asukasmäärällä ja työttömyyskertoimella ja lisäämällä näin saatuun tuloon tulo, joka saadaan kertomalla kunnan työttömien lukumäärä työttömien määrän perushinnalla.</t>
        </r>
      </text>
    </comment>
    <comment ref="C20" authorId="0">
      <text>
        <r>
          <rPr>
            <b/>
            <sz val="9"/>
            <rFont val="Tahoma"/>
            <family val="2"/>
          </rPr>
          <t>Lehtonen Sanna:</t>
        </r>
        <r>
          <rPr>
            <sz val="9"/>
            <rFont val="Tahoma"/>
            <family val="2"/>
          </rPr>
          <t xml:space="preserve">
Lastensuojelun tarpeen perusteella määräytyvät kunnan laskennalliset kustannukset lasketaan kertomalla lastensuojelun perushinta kunnan asukasmäärällä ja lastensuojelukertoimella.</t>
        </r>
      </text>
    </comment>
    <comment ref="C22" authorId="0">
      <text>
        <r>
          <rPr>
            <b/>
            <sz val="9"/>
            <rFont val="Tahoma"/>
            <family val="2"/>
          </rPr>
          <t>Lehtonen Sanna:</t>
        </r>
        <r>
          <rPr>
            <sz val="9"/>
            <rFont val="Tahoma"/>
            <family val="2"/>
          </rPr>
          <t xml:space="preserve">
Vammaisten henkilöiden lukumäärän perusteella määräytyvät kunnan laskennalliset kustannukset saadaan kertomalla vammaisuuden perushinta kunnan asukasmäärällä ja vammaiskertoimella.</t>
        </r>
      </text>
    </comment>
    <comment ref="B34" authorId="0">
      <text>
        <r>
          <rPr>
            <b/>
            <sz val="9"/>
            <rFont val="Tahoma"/>
            <family val="2"/>
          </rPr>
          <t>Lehtonen Sanna:</t>
        </r>
        <r>
          <rPr>
            <sz val="9"/>
            <rFont val="Tahoma"/>
            <family val="2"/>
          </rPr>
          <t xml:space="preserve">
Kunnan terveydenhuollon laskennalliset kustannukset saadaan laskemalla yhteen ikäluokkaan perustuvat laskennalliset kustannukset ja sairastavuuden perusteella lasketut laskennalliset kustannukset.
</t>
        </r>
      </text>
    </comment>
    <comment ref="C44" authorId="0">
      <text>
        <r>
          <rPr>
            <b/>
            <sz val="9"/>
            <rFont val="Tahoma"/>
            <family val="2"/>
          </rPr>
          <t>Lehtonen Sanna:</t>
        </r>
        <r>
          <rPr>
            <sz val="9"/>
            <rFont val="Tahoma"/>
            <family val="2"/>
          </rPr>
          <t xml:space="preserve">
Sairastavuuden perusteella määräytyvät laskennalliset kustannukset saadaan kertomalla asukasta kohden määritelty sairastavuuden perushinta kunnan asukasmäärällä ja sairastavuuskertoimella.</t>
        </r>
      </text>
    </comment>
    <comment ref="B11" authorId="0">
      <text>
        <r>
          <rPr>
            <b/>
            <sz val="9"/>
            <rFont val="Tahoma"/>
            <family val="2"/>
          </rPr>
          <t>Lehtonen Sanna:</t>
        </r>
        <r>
          <rPr>
            <sz val="9"/>
            <rFont val="Tahoma"/>
            <family val="2"/>
          </rPr>
          <t xml:space="preserve">
Kunnan sosiaalihuollon laskennalliset kustannukset saadaan laskemalla yhteen tulot, jotka saadaan kertomalla sosiaalihuollon ikäluokittaiset perushinnat asianomaisiin ikäluokkiin kuuluvien kunnan asukkaiden määrillä. Kunnan 0–6-vuotiaiden osalta saatu tulo kerrotaan päivähoitokertoimella. Näin saatuun summaan lisätään kunnan työttömyyden, vammaisuuden ja lastensuojelun perusteella määritellyt laskennalliset kustannukset.</t>
        </r>
      </text>
    </comment>
    <comment ref="G12" authorId="0">
      <text>
        <r>
          <rPr>
            <b/>
            <sz val="9"/>
            <rFont val="Tahoma"/>
            <family val="2"/>
          </rPr>
          <t>Lehtonen Sanna:</t>
        </r>
        <r>
          <rPr>
            <sz val="9"/>
            <rFont val="Tahoma"/>
            <family val="2"/>
          </rPr>
          <t xml:space="preserve">
Valtioneuvoston asetuksella säädetään vuosittain seuraavaa varainhoitovuotta varten kunnan peruspalvelujen valtionosuuden laskennassa käytettävistä perushinnoista. 
Perushintoja säädettäessä otetaan huomioon valtionosuustehtävien laajuuden ja laadun arvioidut muutokset, esimerkiksi kunnille annettavien uusien tehtävien vaikutus valtionosuusrahoitukseen, ja kustannustason arvioidut muutokset eli nk. indeksikorotus, joka vuodelle 2014 on 1,5 prosenttia (tarkistettu talousarvion täydennyksessä 21.11.2013)
</t>
        </r>
      </text>
    </comment>
    <comment ref="H12" authorId="0">
      <text>
        <r>
          <rPr>
            <b/>
            <sz val="9"/>
            <rFont val="Tahoma"/>
            <family val="2"/>
          </rPr>
          <t>Lehtonen Sanna:</t>
        </r>
        <r>
          <rPr>
            <sz val="9"/>
            <rFont val="Tahoma"/>
            <family val="2"/>
          </rPr>
          <t xml:space="preserve">
Päivähoitokerroin lasketaan jakamalla kunnan palvelu- ja jalostusaloilla toimivan kunnan työllisen työvoiman ja kunnan koko työllisen työvoiman osamäärä koko maan vastaavalla osamäärällä.
Kerrointa määriteltäessä käytetään Tilastokeskuksen työssäkäyntitietoja, jotka perustuvat kolme vuotta ennen varainhoitovuotta alkaneen vuoden tietoihin.
</t>
        </r>
      </text>
    </comment>
    <comment ref="H20" authorId="0">
      <text>
        <r>
          <rPr>
            <b/>
            <sz val="9"/>
            <rFont val="Tahoma"/>
            <family val="2"/>
          </rPr>
          <t>Lehtonen Sanna:</t>
        </r>
        <r>
          <rPr>
            <sz val="9"/>
            <rFont val="Tahoma"/>
            <family val="2"/>
          </rPr>
          <t xml:space="preserve">
Lastensuojelukerroin lasketaan jakamalla kunnassa tehtyjen lastensuojelulain mukaisten lasten huostaanottojen määrä kunnan asukasmäärällä ja jakamalla saatu osamäärä koko maan vastaavalla osamäärällä. Kerrointa laskettaessa kunnan huostaanottojen määränä on kaksi, jos huostaanottoja on ollut enintään neljä.
Kerrointa määriteltäessä käytetään Terveyden ja hyvinvoinnin laitoksen varainhoitovuotta edeltävää vuotta edeltäneen vuoden huostaanottotietoja.
</t>
        </r>
      </text>
    </comment>
    <comment ref="H22" authorId="0">
      <text>
        <r>
          <rPr>
            <b/>
            <sz val="9"/>
            <rFont val="Tahoma"/>
            <family val="2"/>
          </rPr>
          <t>Lehtonen Sanna:</t>
        </r>
        <r>
          <rPr>
            <sz val="9"/>
            <rFont val="Tahoma"/>
            <family val="2"/>
          </rPr>
          <t xml:space="preserve">
Vammaiskerroin lasketaan jakamalla kunnassa vammaisetuisuuksista annetun lain (570/2007) 7–9 §:ssä tarkoitettua alle 16-vuotiaan ja 16 vuotta täyttäneen vammaistukea sekä eläkettä saavan hoitotukea saavien sekä vammaisuuden perusteella laitoshoidossa olevien yhteismäärä kunnan asukasmäärällä sekä jakamalla saatu osamäärä koko maan vastaavalla osamäärällä. Vammaistukea ja eläkettä saavan hoitotukea saavien henkilöiden määrää laskettaessa ei oteta huomioon ruokavaliokorvausta saaneita henkilöitä.
Kerrointa määriteltäessä käytetään Kansaneläkelaitoksen varainhoitovuotta edeltävää vuotta edeltäneen vuoden tietoja.
</t>
        </r>
      </text>
    </comment>
    <comment ref="H44" authorId="0">
      <text>
        <r>
          <rPr>
            <b/>
            <sz val="9"/>
            <rFont val="Tahoma"/>
            <family val="2"/>
          </rPr>
          <t>Lehtonen Sanna:</t>
        </r>
        <r>
          <rPr>
            <sz val="9"/>
            <rFont val="Tahoma"/>
            <family val="2"/>
          </rPr>
          <t xml:space="preserve">
Sairastavuuskerroin lasketaan työkyvyttömyyseläkkeellä olevien 16–54-vuotiaiden ikä- ja sukupuolivakioidun osuuden perusteella. Jos kunnan 16–54-vuotiaiden ikä ja sukupuolivakioitu työkyvyttömyyseläkeläisten määrä suhteessa kunnan 16–54-vuotiaisiin asukkaisiin on sama kuin koko maassa, kerroin on yksi. Jos mainittu kunnan työkyvyttömyyseläkkeellä olevien ja 16–54-vuotiaiden lukumäärän suhde ylittää koko maan keskiarvon, korotetaan kerrointa, ja jos suhde alittaa koko maan keskiarvon, alennetaan kerrointa siten, että kerroin vastaa kunnan ja koko maan eroa.
Kerrointa määriteltäessä käytetään Eläketurvakeskuksen tilaston tietoja työkyvyttömyyseläkkeellä olevien määrästä neljä vuotta ennen varainhoitovuotta alkaneella kolmivuotisjaksolla.
</t>
        </r>
      </text>
    </comment>
    <comment ref="C35" authorId="0">
      <text>
        <r>
          <rPr>
            <b/>
            <sz val="9"/>
            <rFont val="Tahoma"/>
            <family val="2"/>
          </rPr>
          <t>Lehtonen Sanna:</t>
        </r>
        <r>
          <rPr>
            <sz val="9"/>
            <rFont val="Tahoma"/>
            <family val="2"/>
          </rPr>
          <t xml:space="preserve">
Ikäluokkiin perustuvat laskennalliset kustannukset saadaan kertomalla terveydenhuollon ikäluokittaiset perushinnat asianomaisiin ikäluokkiin kuuluvien kunnan asukkaiden määrillä. </t>
        </r>
      </text>
    </comment>
    <comment ref="F36" authorId="0">
      <text>
        <r>
          <rPr>
            <b/>
            <sz val="9"/>
            <rFont val="Tahoma"/>
            <family val="2"/>
          </rPr>
          <t>Lehtonen Sanna:</t>
        </r>
        <r>
          <rPr>
            <sz val="9"/>
            <rFont val="Tahoma"/>
            <family val="2"/>
          </rPr>
          <t xml:space="preserve">
Ikärakenne 31.12. vuonna t-2
Esim. vuonna 2014 ikärakenne 31.12.2012</t>
        </r>
      </text>
    </comment>
    <comment ref="E52" authorId="0">
      <text>
        <r>
          <rPr>
            <b/>
            <sz val="9"/>
            <rFont val="Tahoma"/>
            <family val="2"/>
          </rPr>
          <t>Lehtonen Sanna:</t>
        </r>
        <r>
          <rPr>
            <sz val="9"/>
            <rFont val="Tahoma"/>
            <family val="2"/>
          </rPr>
          <t xml:space="preserve">
Kunnan syrjäisyyskerroin määräytyy syrjäisyysluvun perusteella. Kunnan syrjäisyyskerroin on syrjäisyysluvun perusteella seuraava:
Syrjäisyysluku = Syrjäisyyskerroin 
0,50–0,99 = 1,05 
1,00–1,49 = 1,08 
vähintään 1,50 = 1,17
Jos saaristokunnan asukkaista vähintään puolet asuu ilman kiinteää tieyhteyttä mantereeseen, kunnan syrjäisyyskerroin on 1,10. Jos kunta olisi oikeutettu myös 2 momentissa tarkoitettuun syrjäisyyskertoimeen, kunnan syrjäisyyskerroin määritellään sen mukaan, kumpi niistä on kunnalle edullisempi.
</t>
        </r>
      </text>
    </comment>
  </commentList>
</comments>
</file>

<file path=xl/comments4.xml><?xml version="1.0" encoding="utf-8"?>
<comments xmlns="http://schemas.openxmlformats.org/spreadsheetml/2006/main">
  <authors>
    <author>Lehtonen Sanna</author>
  </authors>
  <commentList>
    <comment ref="D23" authorId="0">
      <text>
        <r>
          <rPr>
            <b/>
            <sz val="9"/>
            <rFont val="Tahoma"/>
            <family val="2"/>
          </rPr>
          <t>Lehtonen Sanna:</t>
        </r>
        <r>
          <rPr>
            <sz val="9"/>
            <rFont val="Tahoma"/>
            <family val="2"/>
          </rPr>
          <t xml:space="preserve">
Kunnille, joiden asukastiheys on alle 40, esi- ja perusopetuksen perushintaa korotetaan euromäärällä, joka saadaan kertomalla perushinta kertoimella, joka saadaan luvun 0,1 ja asukastiheyden korotustekijän tulona. Asukastiheyden korotustekijä saadaan luvun 40 luonnollisen logaritmin ja kunnan asukastiheyden luonnollisen logaritmin erotuksena. Lisäksi kunnille, joiden asukastiheys on alle neljä, esi- ja perusopetuksen perushintaa korotetaan kertoimella, joka saadaan asukastiheyden korotustekijän ja luvun 0,017 tulona. Jos kuitenkin kunnan asukastiheys on yli kolme mutta alle neljä, edellä saatu tulo kerrotaan luvun neljä ja kunnan asukastiheyden erotuksella.
Asukastiheydellä tarkoitetaan kunnan asukasmäärää maaneliökilometrillä varainhoitovuotta edeltävää vuotta edeltäneen vuoden lopussa.</t>
        </r>
      </text>
    </comment>
    <comment ref="D26" authorId="0">
      <text>
        <r>
          <rPr>
            <b/>
            <sz val="9"/>
            <rFont val="Tahoma"/>
            <family val="2"/>
          </rPr>
          <t>Lehtonen Sanna:</t>
        </r>
        <r>
          <rPr>
            <sz val="9"/>
            <rFont val="Tahoma"/>
            <family val="2"/>
          </rPr>
          <t xml:space="preserve">
Esi- ja perusopetuksen perushintaa korotetaan lisäksi erikseen euromäärällä, joka saadaan kertomalla perushinta kaksikielisen kunnan osalta luvulla 0,04.
Kaksikielisellä kunnalla tarkoitetaan kielilain (423/2003) 5 §:ssä tarkoitettua kaksikielistä kuntaa.</t>
        </r>
      </text>
    </comment>
    <comment ref="D27" authorId="0">
      <text>
        <r>
          <rPr>
            <b/>
            <sz val="9"/>
            <rFont val="Tahoma"/>
            <family val="2"/>
          </rPr>
          <t>Lehtonen Sanna:</t>
        </r>
        <r>
          <rPr>
            <sz val="9"/>
            <rFont val="Tahoma"/>
            <family val="2"/>
          </rPr>
          <t xml:space="preserve">
Esi- ja perusopetuksen perushintaa korotetaan lisäksi erikseen euromäärällä, joka saadaan kertomalla perushinta saaristokunnalle, jossa vähintään puolet asukkaista asuu ilman kiinteää tieyhteyttä mantereeseen, luvulla 0,25 sekä muille saaristokunnille luvulla 0,06.
Saaristokunnalla tarkoitetaan saariston kehityksen edistämisestä annetun lain (494/1981) 9 §:ssä tarkoitettua kuntaa.</t>
        </r>
      </text>
    </comment>
    <comment ref="D30" authorId="0">
      <text>
        <r>
          <rPr>
            <b/>
            <sz val="9"/>
            <rFont val="Tahoma"/>
            <family val="2"/>
          </rPr>
          <t>Lehtonen Sanna:</t>
        </r>
        <r>
          <rPr>
            <sz val="9"/>
            <rFont val="Tahoma"/>
            <family val="2"/>
          </rPr>
          <t xml:space="preserve">
Esi- ja perusopetuksen perushintaa korotetaan lisäksi erikseen euromäärällä, joka saadaan kertomalla perushinta kunnan vieraskielisyyden osalta kertoimella, joka saadaan jakamalla vieraskielisten 6–15-vuotiaiden asukasmäärä kunnan 6–15-vuotiaiden määrällä ja kertomalla osamäärä luvulla 0,2.
Vieraskielisellä tarkoitetaan henkilöä, joka on ilmoittanut väestötietolain (507/1993) 2 §:ssä tarkoitettuun väestötietojärjestelmään äidinkielekseen muun kielen kuin suomen, ruotsin tai saamen kielen.
</t>
        </r>
      </text>
    </comment>
    <comment ref="B12" authorId="0">
      <text>
        <r>
          <rPr>
            <b/>
            <sz val="9"/>
            <rFont val="Tahoma"/>
            <family val="2"/>
          </rPr>
          <t>Lehtonen Sanna:</t>
        </r>
        <r>
          <rPr>
            <sz val="9"/>
            <rFont val="Tahoma"/>
            <family val="2"/>
          </rPr>
          <t xml:space="preserve">
Kunnan esi- ja perusopetuksen laskennalliset kustannukset saadaan kertomalla esi- ja perusopetuksen perushinta luvulla 0,77, lisäämällä tuloon esi- ja perusopetuksen perushintaan tehtävät korotukset ja kertomalla näin saatu euromäärä kunnan 6–15-vuotiaiden määrällä. Kunnan 6-vuotiaiden määrä otetaan huomioon kertomalla se luvulla 0,91.
</t>
        </r>
      </text>
    </comment>
    <comment ref="C22" authorId="0">
      <text>
        <r>
          <rPr>
            <b/>
            <sz val="9"/>
            <rFont val="Tahoma"/>
            <family val="2"/>
          </rPr>
          <t>Lehtonen Sanna:</t>
        </r>
        <r>
          <rPr>
            <sz val="9"/>
            <rFont val="Tahoma"/>
            <family val="2"/>
          </rPr>
          <t xml:space="preserve">
Esi- ja perusopetuksen perushintaan tehtävät korotukset lasketaan erikseen kunnan asukastiheyden, kaksikielisyyden ja saaristoisuuden sekä 13–15-vuotiaiden, ruotsinkielisten 6–15-vuotiaiden sekä vieraskielisten 6–15-vuotiaiden asukkaiden osuuden perusteella.
</t>
        </r>
      </text>
    </comment>
    <comment ref="D25" authorId="0">
      <text>
        <r>
          <rPr>
            <b/>
            <sz val="9"/>
            <rFont val="Tahoma"/>
            <family val="2"/>
          </rPr>
          <t>Lehtonen Sanna:</t>
        </r>
        <r>
          <rPr>
            <sz val="9"/>
            <rFont val="Tahoma"/>
            <family val="2"/>
          </rPr>
          <t xml:space="preserve">
Esi- ja perusopetuksen perushintaa korotetaan lisäksi erikseen euromäärällä, joka saadaan kertomalla perushinta 13–15-vuotiaiden osuuteen perustuvalla kertoimella. Kerroin saadaan jakamalla kunnan 13–15-vuotiaiden määrä kunnan 6–15-vuotiaiden määrällä ja kertomalla osamäärä luvulla 0,30.</t>
        </r>
      </text>
    </comment>
    <comment ref="D29" authorId="0">
      <text>
        <r>
          <rPr>
            <b/>
            <sz val="9"/>
            <rFont val="Tahoma"/>
            <family val="2"/>
          </rPr>
          <t>Lehtonen Sanna:</t>
        </r>
        <r>
          <rPr>
            <sz val="9"/>
            <rFont val="Tahoma"/>
            <family val="2"/>
          </rPr>
          <t xml:space="preserve">
Esi- ja perusopetuksen perushintaa korotetaan lisäksi erikseen euromäärällä, joka saadaan kertomalla perushinta ruotsinkielisyyteen perustuvalla kertoimella. Kerroin saadaan jakamalla ruotsinkielisten 6–15-vuotiaiden asukasmäärä kunnan 6–15-vuotiaiden määrällä ja kertomalla osamäärä luvulla 0,12.
Ruotsinkielisellä tarkoitetaan henkilöä, joka on ilmoittanut väestötietolain (507/1993) 2 §:ssä tarkoitettuun väestötietojärjestelmään äidinkielekseen ruotsin.</t>
        </r>
      </text>
    </comment>
    <comment ref="C36" authorId="0">
      <text>
        <r>
          <rPr>
            <b/>
            <sz val="9"/>
            <rFont val="Tahoma"/>
            <family val="2"/>
          </rPr>
          <t>Lehtonen Sanna:</t>
        </r>
        <r>
          <rPr>
            <sz val="9"/>
            <rFont val="Tahoma"/>
            <family val="2"/>
          </rPr>
          <t xml:space="preserve">
Kunnan yleisten kirjastojen laskennalliset kustannukset saadaan kertomalla kunnan asukasmäärä yleisten kirjastojen perushinnalla.
</t>
        </r>
      </text>
    </comment>
    <comment ref="C42" authorId="0">
      <text>
        <r>
          <rPr>
            <b/>
            <sz val="9"/>
            <rFont val="Tahoma"/>
            <family val="2"/>
          </rPr>
          <t>Lehtonen Sanna:</t>
        </r>
        <r>
          <rPr>
            <sz val="9"/>
            <rFont val="Tahoma"/>
            <family val="2"/>
          </rPr>
          <t xml:space="preserve">
Jos kunta järjestää taiteen perusopetusta, kunnan taiteen perusopetuksen määräytymisperuste saadaan kertomalla taiteen perusopetuksen perushinta kunnan asukasmäärällä.</t>
        </r>
      </text>
    </comment>
    <comment ref="C41" authorId="0">
      <text>
        <r>
          <rPr>
            <b/>
            <sz val="9"/>
            <rFont val="Tahoma"/>
            <family val="2"/>
          </rPr>
          <t>Lehtonen Sanna:</t>
        </r>
        <r>
          <rPr>
            <sz val="9"/>
            <rFont val="Tahoma"/>
            <family val="2"/>
          </rPr>
          <t xml:space="preserve">
Kunnan yleisen kulttuuritoimen määräytymisperuste saadaan kertomalla yleisen kulttuuritoimen perushinta kunnan asukasmäärällä.</t>
        </r>
      </text>
    </comment>
    <comment ref="D28" authorId="0">
      <text>
        <r>
          <rPr>
            <b/>
            <sz val="9"/>
            <rFont val="Tahoma"/>
            <family val="2"/>
          </rPr>
          <t>Lehtonen Sanna:</t>
        </r>
        <r>
          <rPr>
            <sz val="9"/>
            <rFont val="Tahoma"/>
            <family val="2"/>
          </rPr>
          <t xml:space="preserve">
Jos vähintään puolet asukkaista asuu ilman kiinteää tieyhteyttä mantereeseen.</t>
        </r>
      </text>
    </comment>
    <comment ref="D38" authorId="0">
      <text>
        <r>
          <rPr>
            <b/>
            <sz val="9"/>
            <rFont val="Tahoma"/>
            <family val="2"/>
          </rPr>
          <t>Lehtonen Sanna:</t>
        </r>
        <r>
          <rPr>
            <sz val="9"/>
            <rFont val="Tahoma"/>
            <family val="2"/>
          </rPr>
          <t xml:space="preserve">
Saaristokunnalle ja kunnalle, jonka asukastiheys on enintään kaksi, perushintaa korotetaan 20 prosentilla. Kunnalle, jonka asukastiheys on yli kaksi mutta enintään viisi, perushintaa korotetaan 10 prosentilla.</t>
        </r>
      </text>
    </comment>
  </commentList>
</comments>
</file>

<file path=xl/comments5.xml><?xml version="1.0" encoding="utf-8"?>
<comments xmlns="http://schemas.openxmlformats.org/spreadsheetml/2006/main">
  <authors>
    <author>Lehtonen Sanna</author>
  </authors>
  <commentList>
    <comment ref="C49" authorId="0">
      <text>
        <r>
          <rPr>
            <b/>
            <sz val="9"/>
            <rFont val="Tahoma"/>
            <family val="2"/>
          </rPr>
          <t>Lehtonen Sanna:</t>
        </r>
        <r>
          <rPr>
            <sz val="9"/>
            <rFont val="Tahoma"/>
            <family val="2"/>
          </rPr>
          <t xml:space="preserve">
Saamelaisten kotiseutualueen kunnalle myönnetään saamenkielisten osuuden perusteella saamelaisten kotiseutualueen kunnan lisäosana euromäärä, joka lasketaan kertomalla kunkin kunnan 26 §:ssä tarkoitettu erityisen harvan asutuksen lisäosa seuraavilla saamelaiskertoimilla:
Saamenkielisten osuus prosentteina = Kerroin 
yli 30 % = 2,30 
7–30 % = 1,20 
3–7 % = 0,30 
yli 0,5 %, mutta alle 3 % = 0,20
Saamelaisten kotiseutualueen kunnalla tarkoitetaan saamelaiskäräjistä annetun lain (974/1995) 4 §:ssä tarkoitettua saamelaisten kotiseutualueeseen kuuluvaa kuntaa.</t>
        </r>
      </text>
    </comment>
    <comment ref="E23" authorId="0">
      <text>
        <r>
          <rPr>
            <b/>
            <sz val="9"/>
            <rFont val="Tahoma"/>
            <family val="2"/>
          </rPr>
          <t>Lehtonen Sanna:</t>
        </r>
        <r>
          <rPr>
            <sz val="9"/>
            <rFont val="Tahoma"/>
            <family val="2"/>
          </rPr>
          <t xml:space="preserve">
Saaristo-osakunnalla tarkoitetaan kuntaa, jonka saaristo-osaan sovelletaan saariston kehityksen edistämisestä annetun lain 9 §:n mukaan saaristokuntaa koskevia säännöksiä.</t>
        </r>
      </text>
    </comment>
    <comment ref="B11" authorId="0">
      <text>
        <r>
          <rPr>
            <b/>
            <sz val="9"/>
            <rFont val="Tahoma"/>
            <family val="2"/>
          </rPr>
          <t>Lehtonen Sanna:</t>
        </r>
        <r>
          <rPr>
            <sz val="9"/>
            <rFont val="Tahoma"/>
            <family val="2"/>
          </rPr>
          <t xml:space="preserve">
Kunta saa yleisenä osana euromäärän, joka saadaan lisäämällä yleisen osan perushintaan perushinnan korotukset sekä kertomalla summa kunnan asukasmäärällä.</t>
        </r>
      </text>
    </comment>
    <comment ref="D19" authorId="0">
      <text>
        <r>
          <rPr>
            <b/>
            <sz val="9"/>
            <rFont val="Tahoma"/>
            <family val="2"/>
          </rPr>
          <t>Lehtonen Sanna:</t>
        </r>
        <r>
          <rPr>
            <sz val="9"/>
            <rFont val="Tahoma"/>
            <family val="2"/>
          </rPr>
          <t xml:space="preserve">
Saaristokunnalle, jonka asukkaista vähintään puolet asuu ilman kiinteää tieyhteyttä mantereeseen, yleisen osan perushintaa korotetaan euromäärällä, joka on yleisen osan perushinta seitsenkertaisena. Muille saaristokunnille korotus on yleisen osan perushinta nelinkertaisena.
Saaristo-osakunnalle yleisen osan perushintaa korotetaan euromäärällä, joka on saaristossa asuvien osuuden ja yleisen osan perushinnan tulo kerrottuna luvulla 1,5. Jos saaristo-osassa asuu vähintään 1 100 asukasta, korotus on yleisen osan perushinnan suuruinen.
Saaristo- tai syrjäisyyskorotus otetaan huomioon vaihtoehtoisina sen mukaan, kumpi niistä on kunnalle edullisempi. Saaristo-osakunnalle perushintaa korotetaan sekä saaristo- että syrjäisyyskorotuksella.</t>
        </r>
      </text>
    </comment>
    <comment ref="D26" authorId="0">
      <text>
        <r>
          <rPr>
            <b/>
            <sz val="9"/>
            <rFont val="Tahoma"/>
            <family val="2"/>
          </rPr>
          <t>Lehtonen Sanna:</t>
        </r>
        <r>
          <rPr>
            <sz val="9"/>
            <rFont val="Tahoma"/>
            <family val="2"/>
          </rPr>
          <t xml:space="preserve">
Kunnalle, jonka paikallisen ja seudullisen asukaspohjan perusteella määräytyvä syrjäisyysluku on 1,50 tai suurempi, yleisen osan perushintaa korotetaan euromäärällä, joka on yleisen osan perushinta kuusinkertaisena. Kunnalle, jonka syrjäisyysluku on 1,00–1,49, yleisen osan perushintaa korotetaan euromäärällä, joka on yleisen osan perushinta viisinkertaisena. Kunnalle, jonka syrjäisyysluku on 0,50–0,99, yleisen osan perushintaa korotetaan euromäärällä, joka on yleisen osan perushinta kolminkertaisena.
Saaristo- tai syrjäisyyskorotus otetaan huomioon vaihtoehtoisina sen mukaan, kumpi niistä on kunnalle edullisempi. Saaristo-osakunnalle perushintaa korotetaan sekä saaristo- että syrjäisyyskorotuksella.</t>
        </r>
      </text>
    </comment>
    <comment ref="D17" authorId="0">
      <text>
        <r>
          <rPr>
            <b/>
            <sz val="9"/>
            <rFont val="Tahoma"/>
            <family val="2"/>
          </rPr>
          <t>Lehtonen Sanna:</t>
        </r>
        <r>
          <rPr>
            <sz val="9"/>
            <rFont val="Tahoma"/>
            <family val="2"/>
          </rPr>
          <t xml:space="preserve">
Kunnalle, jonka taajamassa asuvan väestön määrä on vähintään 40 000, yleisen osan perushintaa korotetaan euromäärällä, joka saadaan kertomalla taajamassa asuvan väestön määrän ja yleisen osan perushinnan tulo seuraavilla kertoimilla:
Taajamassa asuvan väestön määrä = Kerroin 
40 000–99 999 = 0,75 
100 000–199 999 = 0,70 
vähintään 200 000 = 0,01
Taajamassa asuvan väestön määränä käytetään varainhoitovuotta edeltävänä vuonna käytettävissä olevaa Tilastokeskuksen viimeisimmän tilaston mukaista taajamassa asuvan väestön määrää.
</t>
        </r>
      </text>
    </comment>
    <comment ref="D15" authorId="0">
      <text>
        <r>
          <rPr>
            <b/>
            <sz val="9"/>
            <rFont val="Tahoma"/>
            <family val="2"/>
          </rPr>
          <t>Lehtonen Sanna:</t>
        </r>
        <r>
          <rPr>
            <sz val="9"/>
            <rFont val="Tahoma"/>
            <family val="2"/>
          </rPr>
          <t xml:space="preserve">
Kaksikieliselle kunnalle ja saamelaisten kotiseutualueen kunnalle yleisen osan perushintaa korotetaan euromäärällä, joka on yleisen osan perushinta kerrottuna luvulla 0,10.</t>
        </r>
      </text>
    </comment>
    <comment ref="D31" authorId="0">
      <text>
        <r>
          <rPr>
            <b/>
            <sz val="9"/>
            <rFont val="Tahoma"/>
            <family val="2"/>
          </rPr>
          <t>Lehtonen Sanna:</t>
        </r>
        <r>
          <rPr>
            <sz val="9"/>
            <rFont val="Tahoma"/>
            <family val="2"/>
          </rPr>
          <t xml:space="preserve">
Kunnalle, jonka asukasmäärän muutos kolmena varainhoitovuotta edeltävää vuotta edeltäneenä vuonna on ollut yhteensä vähintään kuusi prosenttia, yleisen osan perushintaa korotetaan euromäärällä, joka on yleisen osan perushinta kerrottuna luvulla 1,39.</t>
        </r>
      </text>
    </comment>
    <comment ref="D30" authorId="0">
      <text>
        <r>
          <rPr>
            <b/>
            <sz val="9"/>
            <rFont val="Tahoma"/>
            <family val="2"/>
          </rPr>
          <t>Lehtonen Sanna:</t>
        </r>
        <r>
          <rPr>
            <sz val="9"/>
            <rFont val="Tahoma"/>
            <family val="2"/>
          </rPr>
          <t xml:space="preserve">
Kunnalle, jonka asukastiheys on enintään 0,5, yleisen osan perushintaa korotetaan syrjäisyyskorotuksella, joka on yleisen osan perushinta yhdeksänkertaisena.
</t>
        </r>
      </text>
    </comment>
    <comment ref="C40" authorId="0">
      <text>
        <r>
          <rPr>
            <b/>
            <sz val="9"/>
            <rFont val="Tahoma"/>
            <family val="2"/>
          </rPr>
          <t>Lehtonen Sanna:</t>
        </r>
        <r>
          <rPr>
            <sz val="9"/>
            <rFont val="Tahoma"/>
            <family val="2"/>
          </rPr>
          <t xml:space="preserve">
Kunnalle myönnetään erityisen harvan asutuksen lisäosaa kunnan asukastiheyden perusteella. Lisäosa lasketaan kertomalla yleisen osan perushinnan ja kunnan asukasmäärän tulo kunnan asukastiheyden perusteella määräytyvällä kertoimella seuraavasti:
Asukastiheys = Kerroin 
alle 0,50 = 12 
0,50–1,49 = 10 
1,50–1,99 = 7</t>
        </r>
      </text>
    </comment>
    <comment ref="C45" authorId="0">
      <text>
        <r>
          <rPr>
            <b/>
            <sz val="9"/>
            <rFont val="Tahoma"/>
            <family val="2"/>
          </rPr>
          <t>Lehtonen Sanna:</t>
        </r>
        <r>
          <rPr>
            <sz val="9"/>
            <rFont val="Tahoma"/>
            <family val="2"/>
          </rPr>
          <t xml:space="preserve">
Saaristokunnalle, jonka asukkaista vähintään puolet asuu ilman kiinteää tieyhteyttä mantereeseen, myönnetään saaristokunnan lisäosana euromäärä, joka on viisi kertaa 6 §:n 1 momentissa tarkoitetun yleisen osan perushinta kerrottuna kunnan asukasmäärällä. Muulle saaristokunnalle saaristokunnan lisäosa on neljä kertaa yleisen osan perushinta kerrottuna kunnan asukasmäärällä.</t>
        </r>
      </text>
    </comment>
  </commentList>
</comments>
</file>

<file path=xl/comments6.xml><?xml version="1.0" encoding="utf-8"?>
<comments xmlns="http://schemas.openxmlformats.org/spreadsheetml/2006/main">
  <authors>
    <author>Lehtonen Sanna</author>
  </authors>
  <commentList>
    <comment ref="C15" authorId="0">
      <text>
        <r>
          <rPr>
            <b/>
            <sz val="9"/>
            <rFont val="Tahoma"/>
            <family val="2"/>
          </rPr>
          <t>Lehtonen Sanna:</t>
        </r>
        <r>
          <rPr>
            <sz val="9"/>
            <rFont val="Tahoma"/>
            <family val="2"/>
          </rPr>
          <t xml:space="preserve">
Harkinnanvaraisten valtionosuuden korotusten yhteismäärää vastaava euromäärä vähennetään kunnille maksettavista valtionosuuksista. Vähennys on kaikissa kunnissa asukasta kohden yhtä suuri.</t>
        </r>
      </text>
    </comment>
    <comment ref="C18" authorId="0">
      <text>
        <r>
          <rPr>
            <b/>
            <sz val="9"/>
            <rFont val="Tahoma"/>
            <family val="2"/>
          </rPr>
          <t>Lehtonen Sanna:</t>
        </r>
        <r>
          <rPr>
            <sz val="9"/>
            <rFont val="Tahoma"/>
            <family val="2"/>
          </rPr>
          <t xml:space="preserve">
Erityisen harvan asutuksen, saaristokunnan sekä saamelaisten kotiseutualueen kunnan lisäosat vähentävät kaikille kunnille maksettavia valtionosuuksia lisäosien yhteismäärää vastaavalla euromäärällä. Valtionosuuden vähennys on kaikissa kunnissa asukasta kohden yhtä suuri.</t>
        </r>
      </text>
    </comment>
  </commentList>
</comments>
</file>

<file path=xl/comments9.xml><?xml version="1.0" encoding="utf-8"?>
<comments xmlns="http://schemas.openxmlformats.org/spreadsheetml/2006/main">
  <authors>
    <author>Lehtonen Sanna</author>
  </authors>
  <commentList>
    <comment ref="B15" authorId="0">
      <text>
        <r>
          <rPr>
            <b/>
            <sz val="9"/>
            <rFont val="Tahoma"/>
            <family val="2"/>
          </rPr>
          <t>Lehtonen Sanna:</t>
        </r>
        <r>
          <rPr>
            <sz val="9"/>
            <rFont val="Tahoma"/>
            <family val="2"/>
          </rPr>
          <t xml:space="preserve">
Rahoitus käyttökustannuksiin määräytyy laskennallisten perusteiden mukaisesti. Rahoitus määräytyy lukiossa, ammatillisessa peruskoulutuksessa ja ammattikorkeakoulussa opiskelijamäärien sekä opiskelijaa kohden määrättyjen yksikköhintojen perusteella.
Ammatillisessa lisäkoulutuksessa rahoitus määräytyy koulutuksen järjestäjälle vahvistetun opiskelijatyövuosien tai opiskelijatyöpäivien määrän sekä yksikköhinnan perusteella. Ammatillisena lisäkoulutuksena järjestettävässä oppisopimuskoulutuksessa rahoitus määräytyy opiskelijamäärän ja opiskelijaa kohden määrätyn yksikköhinnan perusteella.
</t>
        </r>
      </text>
    </comment>
    <comment ref="B32" authorId="0">
      <text>
        <r>
          <rPr>
            <b/>
            <sz val="9"/>
            <rFont val="Tahoma"/>
            <family val="2"/>
          </rPr>
          <t>Lehtonen Sanna:</t>
        </r>
        <r>
          <rPr>
            <sz val="9"/>
            <rFont val="Tahoma"/>
            <family val="2"/>
          </rPr>
          <t xml:space="preserve">
Perusopetuslaissa tarkoitetussa lisäopetuksessa, maahanmuuttajille järjestettävässä perusopetukseen valmistavassa opetuksessa, muille kuin oppivelvollisille järjestettävässä esiopetuksessa ja perusopetuksessa sekä ulkomailla järjestettävässä opetuksessa, vaikeasti vammaisten perusopetuksessa ja sisäoppilaitosmuotoisesti järjestetyssä perusopetuksessa ja joustavassa perusopetuksessa rahoitus määräytyy </t>
        </r>
        <r>
          <rPr>
            <u val="single"/>
            <sz val="9"/>
            <rFont val="Tahoma"/>
            <family val="2"/>
          </rPr>
          <t>oppilasmäärän ja oppilasta kohden määrätyn yksikköhinnan</t>
        </r>
        <r>
          <rPr>
            <sz val="9"/>
            <rFont val="Tahoma"/>
            <family val="2"/>
          </rPr>
          <t xml:space="preserve"> perusteella.
Perusopetuslaissa tarkoitetussa aamu- ja iltapäivätoiminnassa rahoitus määräytyy ohjaustuntien määrän ja ohjaustuntia kohden määrätyn yksikköhinnan perusteella.
Opetustuntikohtaisesti rahoitettavassa taiteen perusopetuksessa rahoitus määräytyy opetustuntimäärän ja yksikköhinnan perusteella.
Liikuntatoiminnassa ja nuorisotyössä rahoitus määräytyy kunnan asukasmäärän ja yksikköhinnan perusteella.
Museossa, teatterissa ja orkesterissa rahoitus määräytyy laitokselle vahvistetun laskennallisen henkilötyövuosien määrän ja yksikköhinnan perusteella.
Esi- ja perusopetuksen oppilaskohtaisesti rahoitettavat lisät myönnetään opetuksen järjestäjällä laskentapäivän 20.9. ilmoitusten perusteella.</t>
        </r>
      </text>
    </comment>
    <comment ref="B26" authorId="0">
      <text>
        <r>
          <rPr>
            <b/>
            <sz val="9"/>
            <rFont val="Tahoma"/>
            <family val="2"/>
          </rPr>
          <t>Lehtonen Sanna:</t>
        </r>
        <r>
          <rPr>
            <sz val="9"/>
            <rFont val="Tahoma"/>
            <family val="2"/>
          </rPr>
          <t xml:space="preserve">
Kunnan omarahoitusosuus lukiokoulutuksen, ammatillisen peruskoulutuksen ja ammattikorkeakoulujen käyttökustannuksiin määräytyy valtionosuusprosentin perusteella. Valtionosuusprosentin ollessa 41,89 prosenttia on kuntien rahoitusosuus 58,11 prosenttia.
</t>
        </r>
      </text>
    </comment>
    <comment ref="C40" authorId="0">
      <text>
        <r>
          <rPr>
            <b/>
            <sz val="9"/>
            <rFont val="Tahoma"/>
            <family val="2"/>
          </rPr>
          <t>Lehtonen Sanna:</t>
        </r>
        <r>
          <rPr>
            <sz val="9"/>
            <rFont val="Tahoma"/>
            <family val="2"/>
          </rPr>
          <t xml:space="preserve">
Perusopetuslain 5 §:ssä tarkoitettua lisäopetuksen järjestäjälle myönnetään lisäopetusta varten rahoituksena euromäärä, joka saadaan, kun kotikuntakorvauksen perusosa kerrotaan luvulla 1,21 ja perusopetuksen lisäopetuksen opiskelijamäärällä.</t>
        </r>
      </text>
    </comment>
    <comment ref="C47" authorId="0">
      <text>
        <r>
          <rPr>
            <b/>
            <sz val="9"/>
            <rFont val="Tahoma"/>
            <family val="2"/>
          </rPr>
          <t>Lehtonen Sanna:</t>
        </r>
        <r>
          <rPr>
            <sz val="9"/>
            <rFont val="Tahoma"/>
            <family val="2"/>
          </rPr>
          <t xml:space="preserve">
Maahanmuuttajien perusopetukseen valmistavaa opetusta varten myönnetty rahoitus saadaan, kun perusopetuksen kotikuntakorvauksen perusosa kerrotaan luvulla 2,39 ja opiskelijamäärällä.</t>
        </r>
      </text>
    </comment>
    <comment ref="C50" authorId="0">
      <text>
        <r>
          <rPr>
            <b/>
            <sz val="9"/>
            <rFont val="Tahoma"/>
            <family val="2"/>
          </rPr>
          <t>Lehtonen Sanna:</t>
        </r>
        <r>
          <rPr>
            <sz val="9"/>
            <rFont val="Tahoma"/>
            <family val="2"/>
          </rPr>
          <t xml:space="preserve">
Rahoitus muille kuin oppivelvollisille järjestettävää perusopetusta varten saadaan, kun kotikuntakorvauksen perusosa kerrotaan luvulla 1,35 ja oppilasmäärällä. Kotikuntakorvauksen perusosaa alennetaan aikuisoppilaiden osalta (pl. sisäoppilaitoksessa opiskelevat ja esiopetuksessa olevat oppilaat) 49 prosentilla.
</t>
        </r>
      </text>
    </comment>
    <comment ref="C36" authorId="0">
      <text>
        <r>
          <rPr>
            <b/>
            <sz val="9"/>
            <rFont val="Tahoma"/>
            <family val="2"/>
          </rPr>
          <t>Lehtonen Sanna:</t>
        </r>
        <r>
          <rPr>
            <sz val="9"/>
            <rFont val="Tahoma"/>
            <family val="2"/>
          </rPr>
          <t xml:space="preserve">
11-vuotiseen oppivelvollisuuden piiriin kuuluvien oppilaiden osalta lisärahoituksen suuruus on perusopetuksen perushinnan, kertoimen 2,41 ja oppilasmäärän tulo siten, että vaikeimmin kehitysvammaisten osalta lisärahoitus saadaan perusopetuksen perushinnan, kertoimen 3,86 ja ko. oppilasmäärän tulona.</t>
        </r>
      </text>
    </comment>
    <comment ref="C54" authorId="0">
      <text>
        <r>
          <rPr>
            <b/>
            <sz val="9"/>
            <rFont val="Tahoma"/>
            <family val="2"/>
          </rPr>
          <t>Lehtonen Sanna:</t>
        </r>
        <r>
          <rPr>
            <sz val="9"/>
            <rFont val="Tahoma"/>
            <family val="2"/>
          </rPr>
          <t xml:space="preserve">
Sisäoppilaitosmuotoisen opetukseen kuuluvan majoituksen ja ruokailun saavien oppilaiden osalta lisärahoitus on 26 prosenttia ammatillisen peruskoulutuksen keskimääräisestä yksikköhinnasta.
Koulukotiopetusta saavista oppilaista myönnetään lisärahoituksena euromäärä, joka saadaan kertomalla perusopetuksen perushinta luvulla 1,51 ja koulukotiopetusta saavien oppilaiden määrällä.
</t>
        </r>
      </text>
    </comment>
    <comment ref="C44" authorId="0">
      <text>
        <r>
          <rPr>
            <b/>
            <sz val="9"/>
            <rFont val="Tahoma"/>
            <family val="2"/>
          </rPr>
          <t>Lehtonen Sanna:</t>
        </r>
        <r>
          <rPr>
            <sz val="9"/>
            <rFont val="Tahoma"/>
            <family val="2"/>
          </rPr>
          <t xml:space="preserve">
Joustavan perusopetuksen toiminnasta aiheutuviin lisäkustannuksiin voidaan myöntää euromäärä, joka saadaan kertomalla toimintaan osallistuvien oppilaiden määrä toimintaa varten oppilasta kohden määrätyllä yksikköhinnalla.</t>
        </r>
      </text>
    </comment>
    <comment ref="C66"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2"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75"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77"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79"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G26" authorId="0">
      <text>
        <r>
          <rPr>
            <b/>
            <sz val="9"/>
            <rFont val="Tahoma"/>
            <family val="2"/>
          </rPr>
          <t>Lehtonen Sanna:</t>
        </r>
        <r>
          <rPr>
            <sz val="9"/>
            <rFont val="Tahoma"/>
            <family val="2"/>
          </rPr>
          <t xml:space="preserve">
OKM:n päätöksen 31.12.2013 mukainen opetus- ja kulttuuritoimen kunnan omarahoitusosuus v. 2014</t>
        </r>
      </text>
    </comment>
  </commentList>
</comments>
</file>

<file path=xl/sharedStrings.xml><?xml version="1.0" encoding="utf-8"?>
<sst xmlns="http://schemas.openxmlformats.org/spreadsheetml/2006/main" count="1445" uniqueCount="656">
  <si>
    <t>Valtionosuusjärjestelmämuutoksen tasaus (+/-)</t>
  </si>
  <si>
    <t>Kunta:</t>
  </si>
  <si>
    <t>€/asukas</t>
  </si>
  <si>
    <t>Laskennalliset</t>
  </si>
  <si>
    <t>13-15-vuotiaiden väestön määrä</t>
  </si>
  <si>
    <t>Kaksikielinen kunta (jos on, arvo=1)</t>
  </si>
  <si>
    <t>Saaristokunta 1 (jos on, arvo=1)</t>
  </si>
  <si>
    <t>Saaristokunta 2 (jos on, arvo=1)</t>
  </si>
  <si>
    <t>Yleinen perusosa</t>
  </si>
  <si>
    <t>Kunnan perusosa</t>
  </si>
  <si>
    <t>Yhteensä</t>
  </si>
  <si>
    <t>hinta</t>
  </si>
  <si>
    <t>määrä</t>
  </si>
  <si>
    <t>kerroin</t>
  </si>
  <si>
    <t>Aamu- ja iltapäivätoiminta</t>
  </si>
  <si>
    <t>€/tunti</t>
  </si>
  <si>
    <t>Kansalaisopisto</t>
  </si>
  <si>
    <t>€/tuntimäärä</t>
  </si>
  <si>
    <t>Musiikkioppilaitos</t>
  </si>
  <si>
    <t>(Taiteen perusopetus)</t>
  </si>
  <si>
    <t>Liikunta</t>
  </si>
  <si>
    <t>Nuorisotyö</t>
  </si>
  <si>
    <t>€/alle 29-v.</t>
  </si>
  <si>
    <t>Museo</t>
  </si>
  <si>
    <t>€/henkilötyöv.</t>
  </si>
  <si>
    <t>Teatteri</t>
  </si>
  <si>
    <t>Orkesteri</t>
  </si>
  <si>
    <t>€/oppilas</t>
  </si>
  <si>
    <t>Ammatillinen koulutus</t>
  </si>
  <si>
    <t>Erillisen laskelman mukaan</t>
  </si>
  <si>
    <t>Ammattikorkeakoulut</t>
  </si>
  <si>
    <t>Muut mahdolliset lisät</t>
  </si>
  <si>
    <t>Keskimääräinen yksikköhinta</t>
  </si>
  <si>
    <t>Tasauskerroin</t>
  </si>
  <si>
    <t>Oppilas-</t>
  </si>
  <si>
    <t>Pisteitä</t>
  </si>
  <si>
    <t>määrä 1)</t>
  </si>
  <si>
    <t>Painotettu pistearvo</t>
  </si>
  <si>
    <t>Aikuis-</t>
  </si>
  <si>
    <t>oppilaita 2)</t>
  </si>
  <si>
    <t>Painotettu oppilasmäärä</t>
  </si>
  <si>
    <t>Aineopiskelun laskennalliset opiskelijat yhteensä 3)</t>
  </si>
  <si>
    <t>Lukion valtionosuuden laskennallinen peruste:</t>
  </si>
  <si>
    <t>Aikuisoppilaiden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</si>
  <si>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</si>
  <si>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</si>
  <si>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</si>
  <si>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</si>
  <si>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</si>
  <si>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</si>
  <si>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</si>
  <si>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</si>
  <si>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</si>
  <si>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</si>
  <si>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</si>
  <si>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</si>
  <si>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Saatavat kotikuntakorvaukset yhteensä</t>
  </si>
  <si>
    <t>Maahanmuuttajien</t>
  </si>
  <si>
    <t>valmistava opetus</t>
  </si>
  <si>
    <t xml:space="preserve">  Vammaiset</t>
  </si>
  <si>
    <t xml:space="preserve">  Vaikeasti vammaiset</t>
  </si>
  <si>
    <t>Kotikuntakorv. perusosa</t>
  </si>
  <si>
    <t>Ammatill. koul. keskihinta</t>
  </si>
  <si>
    <r>
      <t>Asukastiheys (jos alle 40 as/km</t>
    </r>
    <r>
      <rPr>
        <vertAlign val="superscript"/>
        <sz val="10"/>
        <rFont val="Arial"/>
        <family val="2"/>
      </rPr>
      <t>2</t>
    </r>
    <r>
      <rPr>
        <sz val="10"/>
        <rFont val="Arial"/>
        <family val="0"/>
      </rPr>
      <t>):</t>
    </r>
  </si>
  <si>
    <t>YHTEENVETO</t>
  </si>
  <si>
    <t>Perusopetuksen perushinta</t>
  </si>
  <si>
    <r>
      <t>Asukastiheyden lisäkorotus jos alle 4 as/km</t>
    </r>
    <r>
      <rPr>
        <vertAlign val="superscript"/>
        <sz val="10"/>
        <rFont val="Arial"/>
        <family val="2"/>
      </rPr>
      <t>2</t>
    </r>
    <r>
      <rPr>
        <sz val="10"/>
        <rFont val="Arial"/>
        <family val="0"/>
      </rPr>
      <t>:</t>
    </r>
  </si>
  <si>
    <t>Ohjeet:</t>
  </si>
  <si>
    <t>Kotikunta:</t>
  </si>
  <si>
    <t xml:space="preserve">  Aikuisoppilaat (-49 %)</t>
  </si>
  <si>
    <t xml:space="preserve">  5-vuotiaiden perusopetus</t>
  </si>
  <si>
    <t>Aineopetus</t>
  </si>
  <si>
    <t>1)</t>
  </si>
  <si>
    <t>opetuksen lisä</t>
  </si>
  <si>
    <t>Joustavan perus-</t>
  </si>
  <si>
    <t>Yksikköhinta</t>
  </si>
  <si>
    <t>Sisäoppilaitoslisä</t>
  </si>
  <si>
    <t>Elatustuen takaisinperinnän palautus</t>
  </si>
  <si>
    <t>asukasta</t>
  </si>
  <si>
    <t>Valtionosuuteen tehtävät vähennykset ja lisäykset yhteensä</t>
  </si>
  <si>
    <r>
      <t>as./maa-km</t>
    </r>
    <r>
      <rPr>
        <vertAlign val="superscript"/>
        <sz val="10"/>
        <rFont val="Arial"/>
        <family val="2"/>
      </rPr>
      <t>2</t>
    </r>
    <r>
      <rPr>
        <sz val="10"/>
        <rFont val="Arial"/>
        <family val="0"/>
      </rPr>
      <t>.</t>
    </r>
  </si>
  <si>
    <t>Yleisen osan perushinta</t>
  </si>
  <si>
    <t>Saaristoisuus:</t>
  </si>
  <si>
    <t>Syrjäisyysluku:</t>
  </si>
  <si>
    <r>
      <t>Asukastiheys enintään 0,50 asukasta/km</t>
    </r>
    <r>
      <rPr>
        <vertAlign val="superscript"/>
        <sz val="10"/>
        <rFont val="Arial"/>
        <family val="2"/>
      </rPr>
      <t>2</t>
    </r>
  </si>
  <si>
    <t>Kaksikielinen kunta tai saamelaisten koti-</t>
  </si>
  <si>
    <t xml:space="preserve">  -Vähintään puolet väestöstä ilman kiinteää</t>
  </si>
  <si>
    <t xml:space="preserve">  -Saaristo-osakunta, saaristossa</t>
  </si>
  <si>
    <t>1,5 / 1</t>
  </si>
  <si>
    <t>Yleinen osa</t>
  </si>
  <si>
    <t>(tyhjä tai 1)</t>
  </si>
  <si>
    <t>Kunta</t>
  </si>
  <si>
    <t>VÄHENNYKSET</t>
  </si>
  <si>
    <t>Harkinnanvaraisen valtionosuuden</t>
  </si>
  <si>
    <t>korotuksen rahoitus</t>
  </si>
  <si>
    <t>LISÄYKSET</t>
  </si>
  <si>
    <t>Tasauksen neutraalisuus</t>
  </si>
  <si>
    <t>Lisäykset yhteensä</t>
  </si>
  <si>
    <t>VÄHENNYKSET JA LISÄYKSET YHTEENSÄ</t>
  </si>
  <si>
    <t>Vähennykset yhteensä</t>
  </si>
  <si>
    <t>0,75, 0,70 tai 0,01</t>
  </si>
  <si>
    <t>Erityisen harva asutus:</t>
  </si>
  <si>
    <t>Saamelaisten osuus:</t>
  </si>
  <si>
    <t>% (koko maa)</t>
  </si>
  <si>
    <t>% (kunta)</t>
  </si>
  <si>
    <t xml:space="preserve"> </t>
  </si>
  <si>
    <t>Kotikuntakorvaukset esi- ja perusopetuksessa</t>
  </si>
  <si>
    <t>3) Lukuvuoden kurssit jaettuna 15:llä. Muussa oppilaitoksessa suoritettavia aineopiskelun kursseja</t>
  </si>
  <si>
    <t>Lukio</t>
  </si>
  <si>
    <t>Oppilaitosmuotoinen ammatillinen lisäkoulutus</t>
  </si>
  <si>
    <t>(Siirtyy välilehdestä "Lukio")</t>
  </si>
  <si>
    <t>Oppisopimuskoulutus (perus- ja lisäkoulutus)</t>
  </si>
  <si>
    <t xml:space="preserve">   korotuksena perushinta:</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</si>
  <si>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</si>
  <si>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</si>
  <si>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</si>
  <si>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</si>
  <si>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</si>
  <si>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</si>
  <si>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</si>
  <si>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</si>
  <si>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</si>
  <si>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</si>
  <si>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</si>
  <si>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</si>
  <si>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</si>
  <si>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</si>
  <si>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</si>
  <si>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</si>
  <si>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</si>
  <si>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</si>
  <si>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</si>
  <si>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</si>
  <si>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</si>
  <si>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</si>
  <si>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</si>
  <si>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</si>
  <si>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</si>
  <si>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</si>
  <si>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</si>
  <si>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</si>
  <si>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</si>
  <si>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</si>
  <si>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</si>
  <si>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</si>
  <si>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</si>
  <si>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</si>
  <si>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</si>
  <si>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</si>
  <si>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</si>
  <si>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</si>
  <si>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</si>
  <si>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Hämeenkoski</t>
  </si>
  <si>
    <t>Hämeenkyrö</t>
  </si>
  <si>
    <t>Hämeenlinna</t>
  </si>
  <si>
    <t>Ii</t>
  </si>
  <si>
    <t>Iisalmi</t>
  </si>
  <si>
    <t>Iitti</t>
  </si>
  <si>
    <t>Ikaalinen</t>
  </si>
  <si>
    <t>Ilmajoki</t>
  </si>
  <si>
    <t>Ilomantsi</t>
  </si>
  <si>
    <t>Imatra</t>
  </si>
  <si>
    <t>Inari</t>
  </si>
  <si>
    <t>Inkoo</t>
  </si>
  <si>
    <t>Isojoki</t>
  </si>
  <si>
    <t>Isokyrö</t>
  </si>
  <si>
    <t>Jalasjärvi</t>
  </si>
  <si>
    <t>Janakkala</t>
  </si>
  <si>
    <t>Joensuu</t>
  </si>
  <si>
    <t>Jokioinen</t>
  </si>
  <si>
    <t>Joroinen</t>
  </si>
  <si>
    <t>Joutsa</t>
  </si>
  <si>
    <t>Juankoski</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</si>
  <si>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</si>
  <si>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</si>
  <si>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</si>
  <si>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</si>
  <si>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</si>
  <si>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</si>
  <si>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</si>
  <si>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</si>
  <si>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</si>
  <si>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</si>
  <si>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</si>
  <si>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</si>
  <si>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</si>
  <si>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</si>
  <si>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</si>
  <si>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</si>
  <si>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</si>
  <si>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</si>
  <si>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</si>
  <si>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</si>
  <si>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</si>
  <si>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</si>
  <si>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</si>
  <si>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</si>
  <si>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</si>
  <si>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</si>
  <si>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</si>
  <si>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</si>
  <si>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</si>
  <si>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</si>
  <si>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</si>
  <si>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</si>
  <si>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</si>
  <si>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</si>
  <si>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</si>
  <si>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</si>
  <si>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</si>
  <si>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</si>
  <si>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</si>
  <si>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</si>
  <si>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</si>
  <si>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</si>
  <si>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</si>
  <si>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</si>
  <si>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</si>
  <si>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</si>
  <si>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</si>
  <si>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</si>
  <si>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</si>
  <si>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</si>
  <si>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</si>
  <si>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</si>
  <si>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</si>
  <si>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</si>
  <si>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</si>
  <si>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</si>
  <si>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</si>
  <si>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</si>
  <si>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</si>
  <si>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</si>
  <si>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</si>
  <si>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Köyliö</t>
  </si>
  <si>
    <t>Lahti</t>
  </si>
  <si>
    <t>Laihia</t>
  </si>
  <si>
    <t>Laitila</t>
  </si>
  <si>
    <t>Lapinjärvi</t>
  </si>
  <si>
    <t>Lapinlahti</t>
  </si>
  <si>
    <t>Lappajärvi</t>
  </si>
  <si>
    <t>Lappeenranta</t>
  </si>
  <si>
    <t>Lapua</t>
  </si>
  <si>
    <t>Laukaa</t>
  </si>
  <si>
    <t>Lavia</t>
  </si>
  <si>
    <t>Lemi</t>
  </si>
  <si>
    <t>Lempäälä</t>
  </si>
  <si>
    <t>Leppävirta</t>
  </si>
  <si>
    <t>Lestijärvi</t>
  </si>
  <si>
    <t>Lieksa</t>
  </si>
  <si>
    <t>Lieto</t>
  </si>
  <si>
    <t>Liminka</t>
  </si>
  <si>
    <t>Liperi</t>
  </si>
  <si>
    <t>Lohja</t>
  </si>
  <si>
    <t>Loimaa</t>
  </si>
  <si>
    <t>Loppi</t>
  </si>
  <si>
    <t>Loviisa</t>
  </si>
  <si>
    <t>Luhanka</t>
  </si>
  <si>
    <t>Lumijoki</t>
  </si>
  <si>
    <t>Luoto</t>
  </si>
  <si>
    <t>Luumäki</t>
  </si>
  <si>
    <t>Luvia</t>
  </si>
  <si>
    <t>Maalahti</t>
  </si>
  <si>
    <t>Maaninka</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</si>
  <si>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</si>
  <si>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</si>
  <si>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</si>
  <si>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</si>
  <si>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</si>
  <si>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</si>
  <si>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</si>
  <si>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</si>
  <si>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</si>
  <si>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</si>
  <si>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</si>
  <si>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</si>
  <si>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</si>
  <si>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</si>
  <si>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</si>
  <si>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</si>
  <si>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</si>
  <si>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</si>
  <si>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Nastola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</si>
  <si>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</si>
  <si>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</si>
  <si>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</si>
  <si>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</si>
  <si>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</si>
  <si>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</si>
  <si>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</si>
  <si>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</si>
  <si>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</si>
  <si>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</si>
  <si>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</si>
  <si>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</si>
  <si>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</si>
  <si>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</si>
  <si>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</si>
  <si>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</si>
  <si>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</si>
  <si>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</si>
  <si>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</si>
  <si>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</si>
  <si>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</si>
  <si>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</si>
  <si>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</si>
  <si>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</si>
  <si>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</si>
  <si>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</si>
  <si>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</si>
  <si>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</si>
  <si>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</si>
  <si>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</si>
  <si>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</si>
  <si>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</si>
  <si>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</si>
  <si>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</si>
  <si>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</si>
  <si>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</si>
  <si>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</si>
  <si>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</si>
  <si>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</si>
  <si>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</si>
  <si>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</si>
  <si>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</si>
  <si>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</si>
  <si>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</si>
  <si>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</si>
  <si>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</si>
  <si>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</si>
  <si>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</si>
  <si>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</si>
  <si>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</si>
  <si>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</si>
  <si>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</si>
  <si>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</si>
  <si>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</si>
  <si>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</si>
  <si>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</si>
  <si>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</si>
  <si>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</si>
  <si>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</si>
  <si>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</si>
  <si>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</si>
  <si>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</si>
  <si>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</si>
  <si>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</si>
  <si>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</si>
  <si>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</si>
  <si>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</si>
  <si>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</si>
  <si>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</si>
  <si>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</si>
  <si>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</si>
  <si>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</si>
  <si>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</si>
  <si>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</si>
  <si>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</si>
  <si>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</si>
  <si>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</si>
  <si>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</si>
  <si>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</si>
  <si>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</si>
  <si>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</si>
  <si>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</si>
  <si>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</si>
  <si>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</si>
  <si>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</si>
  <si>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</si>
  <si>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</si>
  <si>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</si>
  <si>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</si>
  <si>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</si>
  <si>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</si>
  <si>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</si>
  <si>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</si>
  <si>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</si>
  <si>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</si>
  <si>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Tarvasjoki</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</si>
  <si>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</si>
  <si>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</si>
  <si>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</si>
  <si>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</si>
  <si>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</si>
  <si>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</si>
  <si>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</si>
  <si>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</si>
  <si>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</si>
  <si>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</si>
  <si>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</si>
  <si>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</si>
  <si>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</si>
  <si>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</si>
  <si>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</si>
  <si>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</si>
  <si>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</si>
  <si>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</si>
  <si>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</si>
  <si>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</si>
  <si>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</si>
  <si>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</si>
  <si>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</si>
  <si>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</si>
  <si>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</si>
  <si>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</si>
  <si>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</si>
  <si>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</si>
  <si>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</si>
  <si>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</si>
  <si>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</si>
  <si>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</si>
  <si>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</si>
  <si>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</si>
  <si>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</si>
  <si>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</si>
  <si>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</si>
  <si>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</si>
  <si>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</si>
  <si>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</si>
  <si>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</si>
  <si>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Sosiaali- ja terveydenhuollon laskennalliset kustannukset</t>
  </si>
  <si>
    <t>Erityisen harvan asutuksen, saaristokunnan ja saamelaiskunnan lisäosat</t>
  </si>
  <si>
    <t>Kunnan peruspalvelujen valtionosuuden rahoitusosuus</t>
  </si>
  <si>
    <t>Kunnan peruspalvelujen valtionosuus ennen tasausta</t>
  </si>
  <si>
    <t>Kunnan peruspalvelujen valtionosuus:</t>
  </si>
  <si>
    <t>Verotuloihin perustuva valtionosuuden tasaus (+/-)</t>
  </si>
  <si>
    <t>1. Kunnan peruspalvelujen valtionosuus</t>
  </si>
  <si>
    <t>2. Opetus- ja kulttuuritoimen valtionosuudet</t>
  </si>
  <si>
    <t>Kotikuntakorvaustulot (+)</t>
  </si>
  <si>
    <t>Kotikuntakorvausmenot (-)</t>
  </si>
  <si>
    <t>Ikärakenne yhteensä:</t>
  </si>
  <si>
    <t>Vammaisuus:</t>
  </si>
  <si>
    <t>Työttömyys:</t>
  </si>
  <si>
    <t>Työttömien määrä:</t>
  </si>
  <si>
    <t>Työttömyyskerroin:</t>
  </si>
  <si>
    <t>Työttömyys yhteensä</t>
  </si>
  <si>
    <t>Sairastavuus:</t>
  </si>
  <si>
    <t>Sosiaali- ja terveydenhuollon laskennalliset kustannukset yhteensä</t>
  </si>
  <si>
    <t>Esi- ja perusopetuksen sekä kulttuuripalvelujen laskennalliset kustannukset yhteensä</t>
  </si>
  <si>
    <t>euroa</t>
  </si>
  <si>
    <t>kustannukset, euroa</t>
  </si>
  <si>
    <t>= tarkista vihreiden solujen valtakunnalliset tiedot</t>
  </si>
  <si>
    <t>= syötä kuntakohtaiset tiedot keltaisiin soluihin</t>
  </si>
  <si>
    <t>Ikärakenne</t>
  </si>
  <si>
    <t>SOSIAALIHUOLTO</t>
  </si>
  <si>
    <t>TERVEYDENHUOLTO</t>
  </si>
  <si>
    <t>Sosiaalihuolto yhteensä</t>
  </si>
  <si>
    <t>Terveydenhuolto yhteensä</t>
  </si>
  <si>
    <t xml:space="preserve">Sosiaali- ja terveydenhuollon laskennalliset kustannukset yhteensä </t>
  </si>
  <si>
    <t>ennen syrjäisyyskerrointa:</t>
  </si>
  <si>
    <r>
      <rPr>
        <b/>
        <sz val="10"/>
        <rFont val="Arial"/>
        <family val="2"/>
      </rPr>
      <t>Syrjäisyys</t>
    </r>
    <r>
      <rPr>
        <sz val="10"/>
        <rFont val="Arial"/>
        <family val="2"/>
      </rPr>
      <t xml:space="preserve"> (kertoimen arvo: 0, 0,05, 0,08, 0,17 tai 0,10)</t>
    </r>
  </si>
  <si>
    <t>0-6-vuotiaat</t>
  </si>
  <si>
    <t>65-74-vuotiaat</t>
  </si>
  <si>
    <t>75-84-vuotiaat</t>
  </si>
  <si>
    <t>7-64-vuotiaat</t>
  </si>
  <si>
    <t>yli 84-vuotiaat</t>
  </si>
  <si>
    <t>perushinta</t>
  </si>
  <si>
    <t>Esi- ja perusopetuksen ja kirjastojen laskennalliset kustannukset sekä</t>
  </si>
  <si>
    <t>ESI- JA PERUSOPETUS</t>
  </si>
  <si>
    <t>6-15-vuotiaat</t>
  </si>
  <si>
    <t>Perusosaan tehtävät korotukset</t>
  </si>
  <si>
    <t>Perusosa</t>
  </si>
  <si>
    <t>Ruotsinkielisten 6-15-vuotiaiden määrä</t>
  </si>
  <si>
    <t>Vieraskielisten 6-15-vuotiaiden määrä</t>
  </si>
  <si>
    <t>Korotukset yhteensä</t>
  </si>
  <si>
    <t>Esi- ja perusopetuksen laskennalliset kustannukset yhteensä</t>
  </si>
  <si>
    <t>KIRJASTOT JA KULTTUURITOIMI</t>
  </si>
  <si>
    <t>Kirjasto</t>
  </si>
  <si>
    <t>Kirjastot yhteensä</t>
  </si>
  <si>
    <t>Yleinen kulttuuritoimi</t>
  </si>
  <si>
    <t>Taiteen perusopetus</t>
  </si>
  <si>
    <t>YLEINEN OSA</t>
  </si>
  <si>
    <t>Yleinen osa yhteensä</t>
  </si>
  <si>
    <t>ERITYISEN HARVAN ASUTUKSEN, SAARISTOKUNNAN JA SAAMELAISTEN KOTISEUTUALUEEN</t>
  </si>
  <si>
    <t>KUNNAN LISÄOSAT</t>
  </si>
  <si>
    <t>Erityisen harvan asutuksen, saaristokunnan ja saamelaisten kotiseutualueen kunnan</t>
  </si>
  <si>
    <t xml:space="preserve"> lisäosat yhteensä</t>
  </si>
  <si>
    <t>Valtionosuuteen tehtävät vähennykset ja lisäykset</t>
  </si>
  <si>
    <t>Kotikuntakorvaukset</t>
  </si>
  <si>
    <t>KOTIKUNTAKORVAUSTULOT</t>
  </si>
  <si>
    <t>Kotikuntakorvausmenot yhteensä</t>
  </si>
  <si>
    <t>KOTIKUNTAKORVAUSMENOT</t>
  </si>
  <si>
    <t>Opetus ja kulttuuritoimen valtionosuus</t>
  </si>
  <si>
    <t>Ylläpitäjäjärjestelmän laskennallinen peruste yhteensä</t>
  </si>
  <si>
    <t>Opetus- ja kulttuuritoimen rahoitusosuus</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</si>
  <si>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</si>
  <si>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</si>
  <si>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</si>
  <si>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</si>
  <si>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</si>
  <si>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</si>
  <si>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</si>
  <si>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r>
      <t>1)</t>
    </r>
    <r>
      <rPr>
        <i/>
        <sz val="10"/>
        <rFont val="Arial"/>
        <family val="2"/>
      </rPr>
      <t xml:space="preserve"> Laskennallisten opiskelijoiden määrä = oppiaineiden lukumäärä jaettuna 15:llä.</t>
    </r>
  </si>
  <si>
    <t>suorite-</t>
  </si>
  <si>
    <t>vos-</t>
  </si>
  <si>
    <t>prosentti</t>
  </si>
  <si>
    <t>tasaus-</t>
  </si>
  <si>
    <t>Opetus- ja kulttuuritoimen valtionosuus yhteensä:</t>
  </si>
  <si>
    <t>Muu opetus- ja kulttuuritoimen valtionosuusrahoitus yhteensä</t>
  </si>
  <si>
    <t>Sivu 1</t>
  </si>
  <si>
    <t>Sivu 2</t>
  </si>
  <si>
    <t>Lukioiden yksikköhintarahoitus</t>
  </si>
  <si>
    <t>LUKION YKSIKKÖHINTA</t>
  </si>
  <si>
    <t>1) Mikäli toisessa tai molemmissa kieliryhmissä on alle 200 oppilasta</t>
  </si>
  <si>
    <t>LUKION YKSIKKÖHINTARAHOITUKSEN LASKENNALLINEN PERUSTE</t>
  </si>
  <si>
    <t>Lukion yksikköhintarahoituksen laskennallinen peruste yhteensä</t>
  </si>
  <si>
    <t>Erityisen tehtävän lisäys (%)</t>
  </si>
  <si>
    <t>Tunnusluvun mukainen yksikköhinta</t>
  </si>
  <si>
    <t>kuntanro</t>
  </si>
  <si>
    <t>kuntanimi</t>
  </si>
  <si>
    <t>asukastiheys</t>
  </si>
  <si>
    <t>Saaristo</t>
  </si>
  <si>
    <t>Kaksikielisyys</t>
  </si>
  <si>
    <t>ika06v.</t>
  </si>
  <si>
    <t>ika6v</t>
  </si>
  <si>
    <t>ika712v</t>
  </si>
  <si>
    <t>ika1315v</t>
  </si>
  <si>
    <t>ika764v</t>
  </si>
  <si>
    <t>ika6574v</t>
  </si>
  <si>
    <t>ika7584v</t>
  </si>
  <si>
    <t>ika85v</t>
  </si>
  <si>
    <t>vakiluku</t>
  </si>
  <si>
    <t>ruotsink615v</t>
  </si>
  <si>
    <t>vierask615v</t>
  </si>
  <si>
    <t>Klikkaa solu aktiiviseksi ja valitse kunta alasvetovalikosta</t>
  </si>
  <si>
    <t>Vammaiskerroin</t>
  </si>
  <si>
    <t>Sairastavuuskerroin</t>
  </si>
  <si>
    <t>Syrjäisyys</t>
  </si>
  <si>
    <t>Työlliset 200</t>
  </si>
  <si>
    <t>(A) Maa-, metsä- ja kalatalous 2009</t>
  </si>
  <si>
    <t>(X) Toimiala tuntematon 2009</t>
  </si>
  <si>
    <t>Lapset huostassa lkm 31.12.2009</t>
  </si>
  <si>
    <t>Huostaanotot, kun lsho&lt;5</t>
  </si>
  <si>
    <t>phkerroin</t>
  </si>
  <si>
    <t>lskerroin</t>
  </si>
  <si>
    <t>eläkkeensaajan hoitotuki</t>
  </si>
  <si>
    <t>lapsen vammaistuki</t>
  </si>
  <si>
    <t>aikuisen vammaistuki</t>
  </si>
  <si>
    <t>vammaisten laitospalvelut</t>
  </si>
  <si>
    <t>vammaiset yhteensä</t>
  </si>
  <si>
    <t>tyottomyyskerroin</t>
  </si>
  <si>
    <t>tyottomat</t>
  </si>
  <si>
    <t>tyovoima</t>
  </si>
  <si>
    <t>syrjaisyyskerroin</t>
  </si>
  <si>
    <t>Tarkista asukasluku</t>
  </si>
  <si>
    <t>maapinta-ala km²</t>
  </si>
  <si>
    <t xml:space="preserve"> euroa</t>
  </si>
  <si>
    <t>kustannukset,</t>
  </si>
  <si>
    <t>Parainen</t>
  </si>
  <si>
    <t>Esi- ja perusopetuksen, kirjastojen ja kulttuuripalvelujen lask. kustannukset</t>
  </si>
  <si>
    <t xml:space="preserve"> - Kirjanpidossa näistä vähennetään elatustuen takaisinperinnän palautukset, jotka</t>
  </si>
  <si>
    <t>eivät ole valtionosuutta:</t>
  </si>
  <si>
    <t>järjestelmämuutoksen tasaus</t>
  </si>
  <si>
    <t>Valtionosuusjärjestelmämuutoksen tasaus</t>
  </si>
  <si>
    <t>Taulukon täyttöohje:</t>
  </si>
  <si>
    <t>euroa/asukas</t>
  </si>
  <si>
    <t>valtionosuuden tasaus</t>
  </si>
  <si>
    <t xml:space="preserve"> - kuukausierä, maksetaan jokaisen kuukauden 11. päivään mennessä</t>
  </si>
  <si>
    <t>Sosiaali- ja terveydenhuollon laskennalliset kustannukset 2013</t>
  </si>
  <si>
    <t xml:space="preserve">  Valitse, syötä tai tarkista sinisten kenttien tiedot</t>
  </si>
  <si>
    <t xml:space="preserve">  Tiedot siirtyvät automaattisesti työkirjan muista taulukoista keltaisiin kenttiin. Tarkista tiedot.</t>
  </si>
  <si>
    <t>Lastensuojelu:</t>
  </si>
  <si>
    <t>yleisen kulttuuritoimen ja taiteen perusopetuksen laskennallinen peruste 2013</t>
  </si>
  <si>
    <t>Tarkista vihreiden solujen valtakunnalliset tiedot.</t>
  </si>
  <si>
    <t>Syötä kuntakohtaiset tiedot keltaisiin soluihin.</t>
  </si>
  <si>
    <t>(Tieto siirtyy automaattisesti taulukkoon "2. Yhteenveto".)</t>
  </si>
  <si>
    <r>
      <t xml:space="preserve">Valtionosuusmaksatus </t>
    </r>
    <r>
      <rPr>
        <sz val="10"/>
        <rFont val="Arial"/>
        <family val="0"/>
      </rPr>
      <t>(kunnan peruspalvelujen valtionosuus +/- OKM:n valtionosuus</t>
    </r>
  </si>
  <si>
    <t xml:space="preserve">  +/- kotikuntakorvaukset + elatustuen palautukset; pl. harkinnanvarainen valtionosuuden</t>
  </si>
  <si>
    <t xml:space="preserve">  korotus)</t>
  </si>
  <si>
    <t xml:space="preserve"> - Järjestääkö kunta taiteen perusopetusta?</t>
  </si>
  <si>
    <t>Perushinta</t>
  </si>
  <si>
    <t>Kunnan perushinta</t>
  </si>
  <si>
    <t>jarjestaako taiteen perusopetusta</t>
  </si>
  <si>
    <t>Yleinen osa ja erityisen harvan asutuksen ym. lisäosat 2013</t>
  </si>
  <si>
    <t>yasl</t>
  </si>
  <si>
    <t>ysaar</t>
  </si>
  <si>
    <t>ysaarvae</t>
  </si>
  <si>
    <t>ysaaokv</t>
  </si>
  <si>
    <t>ysyrj</t>
  </si>
  <si>
    <t>ymkm</t>
  </si>
  <si>
    <t>yast</t>
  </si>
  <si>
    <t>ytaaj</t>
  </si>
  <si>
    <t>ytaaos</t>
  </si>
  <si>
    <t>ykaks</t>
  </si>
  <si>
    <t>ysaamk</t>
  </si>
  <si>
    <t>yasm311208</t>
  </si>
  <si>
    <t>yasm311211</t>
  </si>
  <si>
    <t>yasmm</t>
  </si>
  <si>
    <t>yasmk</t>
  </si>
  <si>
    <t>ysaamm</t>
  </si>
  <si>
    <t>ysaamo</t>
  </si>
  <si>
    <t xml:space="preserve">Asukaluvun muutos ajanjaksona 31.12.2008 - </t>
  </si>
  <si>
    <t>Tarkista vihreiden solujen tiedot.</t>
  </si>
  <si>
    <t>Korotukset</t>
  </si>
  <si>
    <t>seutualueen kunta</t>
  </si>
  <si>
    <t>(0 tai 1)</t>
  </si>
  <si>
    <r>
      <t xml:space="preserve">Taajamaväestön määrä </t>
    </r>
    <r>
      <rPr>
        <sz val="8"/>
        <rFont val="Arial"/>
        <family val="2"/>
      </rPr>
      <t>(korotus, jos määrä</t>
    </r>
  </si>
  <si>
    <t xml:space="preserve"> vähintään 40 000):</t>
  </si>
  <si>
    <t xml:space="preserve">   tieyhteyttä mantereeseen</t>
  </si>
  <si>
    <t xml:space="preserve">   asuvien määrä / jos vähintään 1100,</t>
  </si>
  <si>
    <t xml:space="preserve">  -Muu saaristokunta</t>
  </si>
  <si>
    <t xml:space="preserve">  -1,50 tai suurempi</t>
  </si>
  <si>
    <t xml:space="preserve">  -1,00 - 1,49</t>
  </si>
  <si>
    <t xml:space="preserve">  -0,50 - 0,99</t>
  </si>
  <si>
    <t>31.12.2011 vähintään +/- 6 %</t>
  </si>
  <si>
    <t xml:space="preserve"> - alle 0,5 as/km2 </t>
  </si>
  <si>
    <t xml:space="preserve"> - 0,50 - 1,49 as/km2 </t>
  </si>
  <si>
    <t xml:space="preserve"> - 1,50 - 1,99 as/km2 </t>
  </si>
  <si>
    <t xml:space="preserve"> - yli 30 % </t>
  </si>
  <si>
    <t xml:space="preserve"> - 7 - 29,99 % </t>
  </si>
  <si>
    <t xml:space="preserve"> - 3 - 6,99 % </t>
  </si>
  <si>
    <t xml:space="preserve"> - 0,5 - 2,99 % </t>
  </si>
  <si>
    <t>euroa, 
yhteensä</t>
  </si>
  <si>
    <t xml:space="preserve"> - Muut saaristokunnat </t>
  </si>
  <si>
    <t xml:space="preserve"> - Vähintään puolet väestöstä ilman tieyhteyttä </t>
  </si>
  <si>
    <t>Valtion ja kuntien yhteiset tietojärjestelmähankkeet</t>
  </si>
  <si>
    <t>Erityisen harvan asutuksen, saaristokunnan ja saamelaisten</t>
  </si>
  <si>
    <t>kotiseutualueen kunnan lisäosien rahoitus</t>
  </si>
  <si>
    <t>Veromenetyksen kompensaatio vuodelta 2010</t>
  </si>
  <si>
    <t>Veromenetyksen kompensaatio vuodelta 2011</t>
  </si>
  <si>
    <t>Veromenetyksen kompensaatio vuodelta 2012</t>
  </si>
  <si>
    <t>Veromenetyksen kompensaatio vuodelta 2013</t>
  </si>
  <si>
    <t>Työmarkkinatukikompensaatio (+/-)</t>
  </si>
  <si>
    <t>TMT- ja veromenetyskompensaatiot</t>
  </si>
  <si>
    <t>kkkpo</t>
  </si>
  <si>
    <t>HUOM! Kunnan nimi tulee kirjoittaa "Kotikunta:"-kenttään täsmälleen samassa muodossa, kuin oheisessa taulukossa.</t>
  </si>
  <si>
    <t>- mistä alle 29-vuotiaita</t>
  </si>
  <si>
    <t>YLLÄPITÄJÄN YKSIKKÖHINTARAHOITUS</t>
  </si>
  <si>
    <t>Kunta-</t>
  </si>
  <si>
    <t>nro</t>
  </si>
  <si>
    <t>Maakuntien kehittämisraha</t>
  </si>
  <si>
    <t>3. Harkinnanvarainen valtionosuuden korotus (ei talousarviossa)</t>
  </si>
  <si>
    <t>0-28-vuotiaat</t>
  </si>
  <si>
    <t>KUNNAN VALTIONOSUUSRAHOITUS 2014</t>
  </si>
  <si>
    <t>Asukasluku 31.12.2012:</t>
  </si>
  <si>
    <t>Vakiomuotoisten tietoluovutusten hinnoittelumuutos</t>
  </si>
  <si>
    <t>Turvallisuusverkon uudistuksen rahoitus (SM)</t>
  </si>
  <si>
    <t>Opiskelijavalintajärjestelmän uudistuksen rahoitus (OPH)</t>
  </si>
  <si>
    <t>Lääkäri- ja lääkintähelikopteritoiminnan rahoitus</t>
  </si>
  <si>
    <t>Veroperustemuutosten vaikutus vuodelta 2014</t>
  </si>
  <si>
    <t>Elatustuen takaisinperinnän palautukset</t>
  </si>
  <si>
    <t>Jäteveron tuotto</t>
  </si>
  <si>
    <t>Työmarkkinatuki- ja veromenetyskompensaatiot yhteensä (arvio 13.9.2013)</t>
  </si>
  <si>
    <t>Tilastokeskus, väestötilasto: http://193.166.171.75/database/StatFin/vrm/vaerak/vaerak_fi.asp</t>
  </si>
  <si>
    <t>Suomenkielinen lukiokoulutus 20.9.2013:1)</t>
  </si>
  <si>
    <t>Ruotsinkielinen lukiokoulutus 20.9.2013:1)</t>
  </si>
  <si>
    <t>Ylläpitäjän lukion yksikköhinta</t>
  </si>
  <si>
    <t>Ylläpitäjän aikuisoppilaan yksikköhinta</t>
  </si>
  <si>
    <t>Arvioitu oppilasmäärä 20.1.2013</t>
  </si>
  <si>
    <t>Arvioitu oppilasmäärä 20.9.2013</t>
  </si>
  <si>
    <t>Kunnan valtionosuusrahoitus 2014</t>
  </si>
  <si>
    <t>peruste vuonna 2014</t>
  </si>
  <si>
    <t>12.1.2014, Kuntaliitto / SL</t>
  </si>
  <si>
    <t>Lähde: VM 30.12.2014</t>
  </si>
  <si>
    <t>HUOM! Tieto vuoden 2014 rahoituksesta: http://www02.oph.fi/asiakkaat/rahoitus/paatos14.html</t>
  </si>
  <si>
    <t>Asukastiheys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</si>
</sst>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
    <numFmt numFmtId="167" formatCode="0.00000000"/>
    <numFmt numFmtId="168" formatCode="#,##0.00000"/>
    <numFmt numFmtId="169" formatCode="#,##0.0000000"/>
    <numFmt numFmtId="170" formatCode="#,##0.000000"/>
    <numFmt numFmtId="171" formatCode="#,##0.0000"/>
    <numFmt numFmtId="172" formatCode="#,##0.0"/>
    <numFmt numFmtId="173" formatCode="0.0000000"/>
    <numFmt numFmtId="174" formatCode="0.000"/>
    <numFmt numFmtId="175" formatCode="&quot;Kyllä&quot;;&quot;Kyllä&quot;;&quot;Ei&quot;"/>
    <numFmt numFmtId="176" formatCode="&quot;Tosi&quot;;&quot;Tosi&quot;;&quot;Epätosi&quot;"/>
    <numFmt numFmtId="177" formatCode="&quot;Käytössä&quot;;&quot;Käytössä&quot;;&quot;Ei käytössä&quot;"/>
    <numFmt numFmtId="178" formatCode="0.0"/>
    <numFmt numFmtId="179" formatCode="[$-40B]d\.\ mmmm&quot;ta &quot;yyyy"/>
    <numFmt numFmtId="180" formatCode="0.000000"/>
    <numFmt numFmtId="181" formatCode="0.00000"/>
    <numFmt numFmtId="182" formatCode="0.0000"/>
    <numFmt numFmtId="183" formatCode="0.000000000000000"/>
    <numFmt numFmtId="184" formatCode="[$€-2]\ #\ ##,000_);[Red]\([$€-2]\ #\ ##,000\)"/>
  </numFmts>
  <fonts count="83">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sz val="14"/>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u val="single"/>
      <sz val="9"/>
      <name val="Tahoma"/>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7"/>
      <name val="Arial"/>
      <family val="2"/>
    </font>
    <font>
      <sz val="10"/>
      <color indexed="52"/>
      <name val="Arial"/>
      <family val="2"/>
    </font>
    <font>
      <b/>
      <u val="single"/>
      <sz val="14"/>
      <color indexed="30"/>
      <name val="Calibri"/>
      <family val="0"/>
    </font>
    <font>
      <b/>
      <sz val="14"/>
      <color indexed="30"/>
      <name val="Calibri"/>
      <family val="0"/>
    </font>
    <font>
      <i/>
      <sz val="12"/>
      <color indexed="30"/>
      <name val="Calibri"/>
      <family val="0"/>
    </font>
    <font>
      <sz val="12"/>
      <color indexed="8"/>
      <name val="Calibri"/>
      <family val="0"/>
    </font>
    <font>
      <b/>
      <sz val="12"/>
      <color indexed="8"/>
      <name val="Calibri"/>
      <family val="0"/>
    </font>
    <font>
      <sz val="5"/>
      <color indexed="8"/>
      <name val="Calibri"/>
      <family val="0"/>
    </font>
    <font>
      <b/>
      <sz val="12"/>
      <color indexed="53"/>
      <name val="Calibri"/>
      <family val="0"/>
    </font>
    <font>
      <b/>
      <sz val="12"/>
      <color indexed="57"/>
      <name val="Calibri"/>
      <family val="0"/>
    </font>
    <font>
      <b/>
      <sz val="12"/>
      <color indexed="30"/>
      <name val="Calibri"/>
      <family val="0"/>
    </font>
    <font>
      <sz val="12"/>
      <color indexed="57"/>
      <name val="Calibri"/>
      <family val="0"/>
    </font>
    <font>
      <sz val="12"/>
      <color indexed="49"/>
      <name val="Calibri"/>
      <family val="0"/>
    </font>
    <font>
      <b/>
      <sz val="5"/>
      <color indexed="8"/>
      <name val="Calibri"/>
      <family val="0"/>
    </font>
    <font>
      <b/>
      <i/>
      <sz val="12"/>
      <color indexed="10"/>
      <name val="Calibri"/>
      <family val="0"/>
    </font>
    <font>
      <sz val="12"/>
      <color indexed="30"/>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6" tint="-0.24997000396251678"/>
      <name val="Arial"/>
      <family val="2"/>
    </font>
    <font>
      <sz val="10"/>
      <color theme="9" tint="0.39998000860214233"/>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color indexed="63"/>
      </top>
      <bottom style="hair"/>
    </border>
    <border>
      <left>
        <color indexed="63"/>
      </left>
      <right style="thin"/>
      <top>
        <color indexed="63"/>
      </top>
      <bottom style="hair"/>
    </border>
    <border>
      <left style="thin"/>
      <right style="thin"/>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61" fillId="27" borderId="0" applyNumberFormat="0" applyBorder="0" applyAlignment="0" applyProtection="0"/>
    <xf numFmtId="0" fontId="9" fillId="0" borderId="0" applyNumberFormat="0" applyFill="0" applyBorder="0" applyAlignment="0" applyProtection="0"/>
    <xf numFmtId="0" fontId="62" fillId="28" borderId="0" applyNumberFormat="0" applyBorder="0" applyAlignment="0" applyProtection="0"/>
    <xf numFmtId="0" fontId="63" fillId="29" borderId="2" applyNumberFormat="0" applyAlignment="0" applyProtection="0"/>
    <xf numFmtId="0" fontId="64" fillId="0" borderId="3" applyNumberFormat="0" applyFill="0" applyAlignment="0" applyProtection="0"/>
    <xf numFmtId="0" fontId="65" fillId="30" borderId="0" applyNumberFormat="0" applyBorder="0" applyAlignment="0" applyProtection="0"/>
    <xf numFmtId="0" fontId="0" fillId="0" borderId="0">
      <alignment/>
      <protection/>
    </xf>
    <xf numFmtId="0" fontId="20" fillId="0" borderId="0">
      <alignment/>
      <protection/>
    </xf>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31" borderId="2" applyNumberFormat="0" applyAlignment="0" applyProtection="0"/>
    <xf numFmtId="0" fontId="73" fillId="32" borderId="8" applyNumberFormat="0" applyAlignment="0" applyProtection="0"/>
    <xf numFmtId="0" fontId="7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319">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4" fontId="0" fillId="0" borderId="0" xfId="0" applyNumberFormat="1" applyBorder="1" applyAlignment="1" applyProtection="1">
      <alignment/>
      <protection/>
    </xf>
    <xf numFmtId="0" fontId="0"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ill="1" applyBorder="1" applyAlignment="1" applyProtection="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171" fontId="0" fillId="0" borderId="0" xfId="0" applyNumberFormat="1" applyFill="1" applyBorder="1" applyAlignment="1" applyProtection="1">
      <alignment/>
      <protection/>
    </xf>
    <xf numFmtId="0" fontId="0" fillId="0" borderId="0" xfId="0" applyFill="1" applyBorder="1" applyAlignment="1" applyProtection="1" quotePrefix="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2" fontId="0" fillId="0" borderId="0" xfId="0" applyNumberFormat="1" applyBorder="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3" fontId="0" fillId="0" borderId="0" xfId="0" applyNumberFormat="1" applyFill="1" applyAlignment="1" applyProtection="1" quotePrefix="1">
      <alignment/>
      <protection/>
    </xf>
    <xf numFmtId="2" fontId="0" fillId="0" borderId="0" xfId="0" applyNumberFormat="1" applyFill="1" applyAlignment="1" applyProtection="1">
      <alignment/>
      <protection/>
    </xf>
    <xf numFmtId="0" fontId="4" fillId="0" borderId="0" xfId="0" applyFont="1" applyBorder="1" applyAlignment="1">
      <alignment/>
    </xf>
    <xf numFmtId="0" fontId="0" fillId="0" borderId="0" xfId="0" applyFill="1" applyAlignment="1" quotePrefix="1">
      <alignment/>
    </xf>
    <xf numFmtId="173"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4"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1"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Alignment="1">
      <alignment horizontal="righ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quotePrefix="1">
      <alignment/>
    </xf>
    <xf numFmtId="4" fontId="0" fillId="0" borderId="13" xfId="0" applyNumberFormat="1" applyBorder="1" applyAlignment="1">
      <alignment/>
    </xf>
    <xf numFmtId="0" fontId="1" fillId="0" borderId="14" xfId="0" applyFont="1" applyBorder="1" applyAlignment="1">
      <alignment/>
    </xf>
    <xf numFmtId="0" fontId="1" fillId="0" borderId="15" xfId="0" applyFont="1" applyBorder="1" applyAlignment="1">
      <alignment/>
    </xf>
    <xf numFmtId="4" fontId="1" fillId="0" borderId="15" xfId="0" applyNumberFormat="1" applyFont="1" applyBorder="1" applyAlignment="1">
      <alignment/>
    </xf>
    <xf numFmtId="4" fontId="1" fillId="0" borderId="16" xfId="0" applyNumberFormat="1" applyFont="1" applyBorder="1" applyAlignment="1">
      <alignment/>
    </xf>
    <xf numFmtId="4" fontId="1" fillId="0" borderId="10" xfId="0" applyNumberFormat="1" applyFont="1" applyBorder="1" applyAlignment="1">
      <alignment/>
    </xf>
    <xf numFmtId="0" fontId="1" fillId="0" borderId="17" xfId="0" applyFont="1" applyBorder="1" applyAlignment="1">
      <alignment/>
    </xf>
    <xf numFmtId="0" fontId="11" fillId="0" borderId="0" xfId="0" applyFont="1" applyAlignment="1">
      <alignment/>
    </xf>
    <xf numFmtId="0" fontId="11" fillId="0" borderId="0" xfId="0" applyFont="1" applyAlignment="1" quotePrefix="1">
      <alignment/>
    </xf>
    <xf numFmtId="0" fontId="1" fillId="0" borderId="18" xfId="0" applyFont="1" applyBorder="1" applyAlignment="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0" fontId="8" fillId="0" borderId="0" xfId="0" applyFont="1" applyAlignment="1" applyProtection="1">
      <alignment/>
      <protection/>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4" fontId="0" fillId="0" borderId="0" xfId="0" applyNumberFormat="1" applyFill="1" applyBorder="1" applyAlignment="1" applyProtection="1">
      <alignment/>
      <protection/>
    </xf>
    <xf numFmtId="2" fontId="0" fillId="0" borderId="0" xfId="0" applyNumberFormat="1" applyAlignment="1" applyProtection="1">
      <alignment horizontal="right"/>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3" fontId="0" fillId="0" borderId="0" xfId="0" applyNumberFormat="1" applyFont="1" applyFill="1" applyAlignment="1" applyProtection="1">
      <alignment/>
      <protection/>
    </xf>
    <xf numFmtId="3" fontId="0" fillId="0" borderId="0" xfId="0" applyNumberFormat="1" applyFont="1" applyAlignment="1" applyProtection="1">
      <alignment horizontal="left"/>
      <protection/>
    </xf>
    <xf numFmtId="172"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7" xfId="0" applyFont="1" applyFill="1" applyBorder="1" applyAlignment="1">
      <alignment/>
    </xf>
    <xf numFmtId="0" fontId="0" fillId="34" borderId="19" xfId="0" applyFill="1" applyBorder="1" applyAlignment="1">
      <alignment/>
    </xf>
    <xf numFmtId="3" fontId="1" fillId="34" borderId="20"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4" fontId="1" fillId="0" borderId="0" xfId="0" applyNumberFormat="1" applyFont="1" applyBorder="1" applyAlignment="1" applyProtection="1">
      <alignment/>
      <protection/>
    </xf>
    <xf numFmtId="3" fontId="0" fillId="0" borderId="0" xfId="0" applyNumberFormat="1" applyFont="1" applyAlignment="1" applyProtection="1">
      <alignment/>
      <protection/>
    </xf>
    <xf numFmtId="4" fontId="1"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166" fontId="0" fillId="0" borderId="0" xfId="0" applyNumberFormat="1" applyFont="1" applyAlignment="1" applyProtection="1">
      <alignment/>
      <protection/>
    </xf>
    <xf numFmtId="0" fontId="1" fillId="35" borderId="17" xfId="0" applyFont="1" applyFill="1" applyBorder="1" applyAlignment="1">
      <alignment/>
    </xf>
    <xf numFmtId="0" fontId="0" fillId="35" borderId="19" xfId="0" applyFill="1" applyBorder="1" applyAlignment="1">
      <alignment/>
    </xf>
    <xf numFmtId="3" fontId="1" fillId="35" borderId="20" xfId="0" applyNumberFormat="1" applyFont="1" applyFill="1" applyBorder="1" applyAlignment="1">
      <alignment/>
    </xf>
    <xf numFmtId="0" fontId="1" fillId="34" borderId="17" xfId="0" applyFont="1" applyFill="1" applyBorder="1" applyAlignment="1" applyProtection="1">
      <alignment/>
      <protection/>
    </xf>
    <xf numFmtId="0" fontId="1" fillId="34" borderId="19" xfId="0" applyFont="1" applyFill="1" applyBorder="1" applyAlignment="1" applyProtection="1">
      <alignment/>
      <protection/>
    </xf>
    <xf numFmtId="0" fontId="76" fillId="0" borderId="0" xfId="0" applyFont="1" applyAlignment="1" applyProtection="1">
      <alignment/>
      <protection/>
    </xf>
    <xf numFmtId="178" fontId="0" fillId="33"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protection locked="0"/>
    </xf>
    <xf numFmtId="4" fontId="0" fillId="0" borderId="0" xfId="0" applyNumberFormat="1" applyFont="1" applyFill="1" applyAlignment="1" applyProtection="1">
      <alignment/>
      <protection/>
    </xf>
    <xf numFmtId="4" fontId="1" fillId="34" borderId="19"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178"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20"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9" xfId="0" applyFont="1" applyFill="1" applyBorder="1" applyAlignment="1">
      <alignment/>
    </xf>
    <xf numFmtId="0" fontId="0" fillId="10" borderId="10" xfId="0" applyFill="1" applyBorder="1" applyAlignment="1">
      <alignment/>
    </xf>
    <xf numFmtId="0" fontId="0" fillId="0" borderId="19" xfId="0" applyFont="1" applyBorder="1" applyAlignment="1">
      <alignment/>
    </xf>
    <xf numFmtId="0" fontId="0" fillId="0" borderId="19" xfId="0" applyFont="1" applyBorder="1" applyAlignment="1" applyProtection="1">
      <alignment/>
      <protection/>
    </xf>
    <xf numFmtId="3" fontId="0" fillId="0" borderId="19" xfId="0" applyNumberFormat="1" applyFont="1" applyBorder="1" applyAlignment="1" applyProtection="1">
      <alignment/>
      <protection/>
    </xf>
    <xf numFmtId="4" fontId="0" fillId="0" borderId="19" xfId="0" applyNumberFormat="1" applyFont="1" applyBorder="1" applyAlignment="1" applyProtection="1">
      <alignment/>
      <protection/>
    </xf>
    <xf numFmtId="0" fontId="0" fillId="34" borderId="19" xfId="0" applyFont="1" applyFill="1" applyBorder="1" applyAlignment="1">
      <alignment/>
    </xf>
    <xf numFmtId="0" fontId="0" fillId="35" borderId="19" xfId="0" applyFont="1" applyFill="1" applyBorder="1" applyAlignment="1">
      <alignment/>
    </xf>
    <xf numFmtId="0" fontId="0" fillId="35" borderId="19" xfId="0" applyFont="1" applyFill="1" applyBorder="1" applyAlignment="1" applyProtection="1">
      <alignment/>
      <protection/>
    </xf>
    <xf numFmtId="4" fontId="0" fillId="35" borderId="19" xfId="0" applyNumberFormat="1" applyFont="1" applyFill="1" applyBorder="1" applyAlignment="1" applyProtection="1">
      <alignment/>
      <protection/>
    </xf>
    <xf numFmtId="0" fontId="5" fillId="0" borderId="0" xfId="0" applyFont="1" applyAlignment="1" applyProtection="1">
      <alignment horizontal="right"/>
      <protection/>
    </xf>
    <xf numFmtId="3" fontId="5" fillId="0" borderId="0" xfId="0" applyNumberFormat="1" applyFont="1" applyFill="1" applyAlignment="1" applyProtection="1">
      <alignment horizontal="right"/>
      <protection/>
    </xf>
    <xf numFmtId="0" fontId="5" fillId="0" borderId="0" xfId="0" applyFont="1" applyFill="1" applyAlignment="1" applyProtection="1">
      <alignment horizontal="right"/>
      <protection/>
    </xf>
    <xf numFmtId="3" fontId="1" fillId="0" borderId="0" xfId="0" applyNumberFormat="1" applyFont="1" applyFill="1" applyBorder="1" applyAlignment="1" applyProtection="1">
      <alignment/>
      <protection/>
    </xf>
    <xf numFmtId="0" fontId="0" fillId="0" borderId="21" xfId="0" applyFont="1" applyBorder="1" applyAlignment="1" applyProtection="1">
      <alignment/>
      <protection/>
    </xf>
    <xf numFmtId="0" fontId="0" fillId="33" borderId="22"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21" xfId="0" applyBorder="1" applyAlignment="1">
      <alignment/>
    </xf>
    <xf numFmtId="2" fontId="0" fillId="0" borderId="21" xfId="0" applyNumberFormat="1" applyFill="1" applyBorder="1" applyAlignment="1" applyProtection="1">
      <alignment/>
      <protection/>
    </xf>
    <xf numFmtId="3" fontId="0" fillId="0" borderId="21" xfId="0" applyNumberFormat="1" applyBorder="1" applyAlignment="1" applyProtection="1">
      <alignment/>
      <protection/>
    </xf>
    <xf numFmtId="0" fontId="1" fillId="35" borderId="19" xfId="0" applyFont="1" applyFill="1" applyBorder="1" applyAlignment="1" applyProtection="1">
      <alignment/>
      <protection/>
    </xf>
    <xf numFmtId="0" fontId="0" fillId="35" borderId="19" xfId="0" applyFill="1" applyBorder="1" applyAlignment="1" applyProtection="1">
      <alignment/>
      <protection/>
    </xf>
    <xf numFmtId="2" fontId="0" fillId="35" borderId="19" xfId="0" applyNumberFormat="1" applyFill="1" applyBorder="1" applyAlignment="1" applyProtection="1">
      <alignment/>
      <protection/>
    </xf>
    <xf numFmtId="3" fontId="1" fillId="35" borderId="20" xfId="0" applyNumberFormat="1" applyFont="1" applyFill="1" applyBorder="1" applyAlignment="1" applyProtection="1">
      <alignment/>
      <protection/>
    </xf>
    <xf numFmtId="4" fontId="0" fillId="16" borderId="10" xfId="0" applyNumberFormat="1" applyFill="1" applyBorder="1" applyAlignment="1" applyProtection="1">
      <alignment/>
      <protection locked="0"/>
    </xf>
    <xf numFmtId="0" fontId="0" fillId="33" borderId="10" xfId="0" applyFill="1" applyBorder="1" applyAlignment="1" applyProtection="1">
      <alignment horizontal="right"/>
      <protection locked="0"/>
    </xf>
    <xf numFmtId="2" fontId="2" fillId="0" borderId="0" xfId="0" applyNumberFormat="1" applyFont="1" applyAlignment="1" applyProtection="1" quotePrefix="1">
      <alignment/>
      <protection/>
    </xf>
    <xf numFmtId="3" fontId="5" fillId="0" borderId="0" xfId="0" applyNumberFormat="1" applyFont="1" applyFill="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protection/>
    </xf>
    <xf numFmtId="0" fontId="1" fillId="35" borderId="17"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9" xfId="0" applyNumberFormat="1" applyFont="1" applyFill="1" applyBorder="1" applyAlignment="1">
      <alignment/>
    </xf>
    <xf numFmtId="2" fontId="1" fillId="34" borderId="19" xfId="0" applyNumberFormat="1" applyFont="1" applyFill="1" applyBorder="1" applyAlignment="1">
      <alignment/>
    </xf>
    <xf numFmtId="3" fontId="0" fillId="36" borderId="10" xfId="0" applyNumberFormat="1" applyFill="1" applyBorder="1" applyAlignment="1" applyProtection="1">
      <alignment/>
      <protection locked="0"/>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0" fontId="16" fillId="16" borderId="23" xfId="47" applyFont="1" applyFill="1" applyBorder="1" applyAlignment="1" applyProtection="1">
      <alignment horizontal="left"/>
      <protection/>
    </xf>
    <xf numFmtId="4" fontId="16" fillId="16" borderId="24" xfId="47" applyNumberFormat="1" applyFont="1" applyFill="1" applyBorder="1" applyAlignment="1" applyProtection="1">
      <alignment horizontal="center"/>
      <protection/>
    </xf>
    <xf numFmtId="0" fontId="7" fillId="16" borderId="25"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0" fontId="16" fillId="16" borderId="25" xfId="47" applyFont="1" applyFill="1" applyBorder="1" applyAlignment="1" applyProtection="1">
      <alignment horizontal="left"/>
      <protection/>
    </xf>
    <xf numFmtId="3" fontId="7" fillId="35" borderId="27" xfId="47" applyNumberFormat="1" applyFont="1" applyFill="1" applyBorder="1">
      <alignment/>
      <protection/>
    </xf>
    <xf numFmtId="3" fontId="7" fillId="35" borderId="28" xfId="47" applyNumberFormat="1" applyFont="1" applyFill="1" applyBorder="1">
      <alignment/>
      <protection/>
    </xf>
    <xf numFmtId="3" fontId="7" fillId="35" borderId="29" xfId="47" applyNumberFormat="1" applyFont="1" applyFill="1" applyBorder="1">
      <alignment/>
      <protection/>
    </xf>
    <xf numFmtId="0" fontId="17" fillId="0" borderId="0" xfId="47" applyFont="1">
      <alignment/>
      <protection/>
    </xf>
    <xf numFmtId="4" fontId="0" fillId="0" borderId="30" xfId="0" applyNumberFormat="1" applyBorder="1" applyAlignment="1">
      <alignment/>
    </xf>
    <xf numFmtId="0" fontId="0" fillId="0" borderId="0" xfId="0" applyFill="1" applyBorder="1" applyAlignment="1">
      <alignment/>
    </xf>
    <xf numFmtId="0" fontId="0" fillId="34" borderId="19" xfId="0" applyFill="1" applyBorder="1" applyAlignment="1" applyProtection="1">
      <alignment/>
      <protection/>
    </xf>
    <xf numFmtId="3" fontId="0" fillId="35" borderId="19"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8" fillId="0" borderId="0" xfId="0" applyFont="1" applyAlignment="1">
      <alignment/>
    </xf>
    <xf numFmtId="0" fontId="5" fillId="0" borderId="0" xfId="0" applyFont="1" applyAlignment="1">
      <alignment horizontal="right"/>
    </xf>
    <xf numFmtId="0" fontId="1" fillId="0" borderId="0" xfId="0" applyFont="1" applyFill="1" applyBorder="1" applyAlignment="1">
      <alignment/>
    </xf>
    <xf numFmtId="0" fontId="1" fillId="0" borderId="0" xfId="0" applyFont="1" applyFill="1" applyBorder="1" applyAlignment="1" applyProtection="1">
      <alignment/>
      <protection/>
    </xf>
    <xf numFmtId="3" fontId="1" fillId="0" borderId="0" xfId="0" applyNumberFormat="1" applyFont="1" applyAlignment="1">
      <alignment/>
    </xf>
    <xf numFmtId="173" fontId="0" fillId="10" borderId="10" xfId="0" applyNumberFormat="1" applyFont="1" applyFill="1" applyBorder="1" applyAlignment="1" applyProtection="1">
      <alignment/>
      <protection locked="0"/>
    </xf>
    <xf numFmtId="2" fontId="0" fillId="10" borderId="10" xfId="0" applyNumberFormat="1" applyFill="1" applyBorder="1" applyAlignment="1" applyProtection="1">
      <alignment horizontal="center"/>
      <protection locked="0"/>
    </xf>
    <xf numFmtId="2" fontId="0" fillId="10" borderId="10" xfId="0" applyNumberFormat="1" applyFont="1" applyFill="1" applyBorder="1" applyAlignment="1" applyProtection="1">
      <alignment/>
      <protection locked="0"/>
    </xf>
    <xf numFmtId="3" fontId="0" fillId="10" borderId="10" xfId="0" applyNumberFormat="1" applyFill="1" applyBorder="1" applyAlignment="1" applyProtection="1">
      <alignment/>
      <protection locked="0"/>
    </xf>
    <xf numFmtId="0" fontId="0" fillId="10" borderId="10" xfId="0" applyFill="1" applyBorder="1" applyAlignment="1" applyProtection="1">
      <alignment/>
      <protection locked="0"/>
    </xf>
    <xf numFmtId="0" fontId="1" fillId="35" borderId="18" xfId="0" applyFont="1" applyFill="1" applyBorder="1" applyAlignment="1">
      <alignment/>
    </xf>
    <xf numFmtId="0" fontId="1" fillId="35" borderId="31" xfId="0" applyFont="1" applyFill="1" applyBorder="1" applyAlignment="1">
      <alignment/>
    </xf>
    <xf numFmtId="173" fontId="1" fillId="35" borderId="31" xfId="0" applyNumberFormat="1" applyFont="1" applyFill="1" applyBorder="1" applyAlignment="1">
      <alignment/>
    </xf>
    <xf numFmtId="4" fontId="1" fillId="35" borderId="31" xfId="0" applyNumberFormat="1" applyFont="1" applyFill="1" applyBorder="1" applyAlignment="1">
      <alignment/>
    </xf>
    <xf numFmtId="0" fontId="1" fillId="35" borderId="11" xfId="0" applyFont="1" applyFill="1" applyBorder="1" applyAlignment="1">
      <alignment/>
    </xf>
    <xf numFmtId="0" fontId="1" fillId="35" borderId="14" xfId="0" applyFont="1" applyFill="1" applyBorder="1" applyAlignment="1">
      <alignment/>
    </xf>
    <xf numFmtId="0" fontId="1" fillId="35" borderId="15" xfId="0" applyFont="1" applyFill="1" applyBorder="1" applyAlignment="1">
      <alignment/>
    </xf>
    <xf numFmtId="173" fontId="1" fillId="35" borderId="15" xfId="0" applyNumberFormat="1" applyFont="1" applyFill="1" applyBorder="1" applyAlignment="1">
      <alignment/>
    </xf>
    <xf numFmtId="4" fontId="1" fillId="35" borderId="15" xfId="0" applyNumberFormat="1" applyFont="1" applyFill="1" applyBorder="1" applyAlignment="1">
      <alignment/>
    </xf>
    <xf numFmtId="0" fontId="1" fillId="35" borderId="16" xfId="0" applyFont="1" applyFill="1" applyBorder="1" applyAlignment="1">
      <alignment/>
    </xf>
    <xf numFmtId="173" fontId="5" fillId="0" borderId="0" xfId="0" applyNumberFormat="1" applyFont="1" applyFill="1" applyBorder="1" applyAlignment="1">
      <alignment horizontal="center"/>
    </xf>
    <xf numFmtId="0" fontId="5" fillId="0" borderId="0" xfId="0" applyFont="1" applyFill="1" applyAlignment="1">
      <alignment horizontal="center"/>
    </xf>
    <xf numFmtId="173" fontId="0" fillId="34" borderId="19" xfId="0" applyNumberFormat="1" applyFont="1" applyFill="1" applyBorder="1" applyAlignment="1">
      <alignment/>
    </xf>
    <xf numFmtId="170" fontId="0" fillId="33" borderId="10" xfId="0" applyNumberFormat="1" applyFont="1" applyFill="1" applyBorder="1" applyAlignment="1" applyProtection="1">
      <alignment/>
      <protection locked="0"/>
    </xf>
    <xf numFmtId="3" fontId="0" fillId="0" borderId="0" xfId="0" applyNumberFormat="1" applyFont="1" applyFill="1" applyAlignment="1" applyProtection="1">
      <alignment horizontal="right"/>
      <protection/>
    </xf>
    <xf numFmtId="3" fontId="0" fillId="0" borderId="20" xfId="0" applyNumberFormat="1" applyFont="1" applyBorder="1" applyAlignment="1" applyProtection="1">
      <alignment/>
      <protection/>
    </xf>
    <xf numFmtId="4" fontId="5" fillId="0" borderId="0" xfId="0" applyNumberFormat="1" applyFont="1" applyAlignment="1" applyProtection="1">
      <alignment horizontal="right"/>
      <protection/>
    </xf>
    <xf numFmtId="3" fontId="0" fillId="35" borderId="20" xfId="0" applyNumberFormat="1" applyFont="1" applyFill="1" applyBorder="1" applyAlignment="1" applyProtection="1">
      <alignment/>
      <protection/>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2" fontId="0" fillId="33" borderId="10" xfId="0" applyNumberFormat="1" applyFill="1" applyBorder="1" applyAlignment="1" applyProtection="1">
      <alignment/>
      <protection locked="0"/>
    </xf>
    <xf numFmtId="1" fontId="0" fillId="33" borderId="10" xfId="0" applyNumberFormat="1" applyFill="1" applyBorder="1" applyAlignment="1" applyProtection="1">
      <alignment/>
      <protection locked="0"/>
    </xf>
    <xf numFmtId="0" fontId="19" fillId="0" borderId="0" xfId="0" applyFont="1" applyAlignment="1">
      <alignment/>
    </xf>
    <xf numFmtId="0" fontId="0" fillId="37" borderId="10" xfId="0" applyFill="1" applyBorder="1" applyAlignment="1">
      <alignment/>
    </xf>
    <xf numFmtId="3" fontId="0" fillId="37"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77" fillId="0" borderId="0" xfId="0" applyFont="1" applyAlignment="1">
      <alignment/>
    </xf>
    <xf numFmtId="4" fontId="5" fillId="0" borderId="0" xfId="0" applyNumberFormat="1" applyFont="1" applyAlignment="1">
      <alignment/>
    </xf>
    <xf numFmtId="4" fontId="19" fillId="0" borderId="0" xfId="0" applyNumberFormat="1" applyFont="1" applyAlignment="1">
      <alignment/>
    </xf>
    <xf numFmtId="0" fontId="0" fillId="0" borderId="15" xfId="0" applyBorder="1" applyAlignment="1">
      <alignment/>
    </xf>
    <xf numFmtId="4" fontId="5" fillId="0" borderId="15" xfId="0" applyNumberFormat="1" applyFont="1" applyBorder="1" applyAlignment="1">
      <alignment/>
    </xf>
    <xf numFmtId="4" fontId="1" fillId="37" borderId="10" xfId="0" applyNumberFormat="1" applyFont="1" applyFill="1" applyBorder="1" applyAlignment="1" applyProtection="1">
      <alignment/>
      <protection locked="0"/>
    </xf>
    <xf numFmtId="4" fontId="5" fillId="0" borderId="21" xfId="0" applyNumberFormat="1" applyFont="1" applyBorder="1" applyAlignment="1">
      <alignment/>
    </xf>
    <xf numFmtId="3" fontId="1" fillId="34" borderId="19" xfId="0" applyNumberFormat="1" applyFont="1" applyFill="1" applyBorder="1" applyAlignment="1">
      <alignment/>
    </xf>
    <xf numFmtId="4" fontId="19" fillId="34" borderId="20" xfId="0" applyNumberFormat="1" applyFont="1" applyFill="1" applyBorder="1" applyAlignment="1">
      <alignment/>
    </xf>
    <xf numFmtId="0" fontId="1" fillId="35" borderId="0" xfId="0" applyFont="1" applyFill="1" applyBorder="1" applyAlignment="1">
      <alignment/>
    </xf>
    <xf numFmtId="0" fontId="0" fillId="35" borderId="0" xfId="0" applyFill="1" applyBorder="1" applyAlignment="1">
      <alignment/>
    </xf>
    <xf numFmtId="3" fontId="0" fillId="35" borderId="0" xfId="0" applyNumberFormat="1" applyFill="1" applyBorder="1" applyAlignment="1">
      <alignment/>
    </xf>
    <xf numFmtId="0" fontId="0" fillId="35" borderId="31" xfId="0" applyFill="1" applyBorder="1" applyAlignment="1">
      <alignment/>
    </xf>
    <xf numFmtId="3" fontId="0" fillId="35" borderId="31" xfId="0" applyNumberFormat="1" applyFill="1" applyBorder="1" applyAlignment="1">
      <alignment/>
    </xf>
    <xf numFmtId="4" fontId="5" fillId="35" borderId="11" xfId="0" applyNumberFormat="1" applyFont="1" applyFill="1" applyBorder="1" applyAlignment="1">
      <alignment/>
    </xf>
    <xf numFmtId="3" fontId="0" fillId="35" borderId="15" xfId="0" applyNumberFormat="1" applyFill="1" applyBorder="1" applyAlignment="1">
      <alignment/>
    </xf>
    <xf numFmtId="4" fontId="5" fillId="35" borderId="16" xfId="0" applyNumberFormat="1"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0" fillId="35" borderId="15" xfId="0" applyFill="1" applyBorder="1" applyAlignment="1">
      <alignment/>
    </xf>
    <xf numFmtId="0" fontId="1" fillId="35" borderId="12" xfId="0" applyFont="1" applyFill="1" applyBorder="1" applyAlignment="1">
      <alignment/>
    </xf>
    <xf numFmtId="4" fontId="5" fillId="35" borderId="13" xfId="0" applyNumberFormat="1" applyFont="1" applyFill="1" applyBorder="1" applyAlignment="1">
      <alignment/>
    </xf>
    <xf numFmtId="0" fontId="0" fillId="35" borderId="0" xfId="0" applyFont="1" applyFill="1" applyBorder="1" applyAlignment="1">
      <alignment/>
    </xf>
    <xf numFmtId="3" fontId="1" fillId="37" borderId="10" xfId="0" applyNumberFormat="1" applyFont="1" applyFill="1" applyBorder="1" applyAlignment="1" applyProtection="1">
      <alignment/>
      <protection locked="0"/>
    </xf>
    <xf numFmtId="0" fontId="0" fillId="0" borderId="21" xfId="0" applyFont="1" applyBorder="1" applyAlignment="1">
      <alignment/>
    </xf>
    <xf numFmtId="3" fontId="0" fillId="33" borderId="22" xfId="0" applyNumberFormat="1" applyFont="1" applyFill="1" applyBorder="1" applyAlignment="1" applyProtection="1">
      <alignment/>
      <protection locked="0"/>
    </xf>
    <xf numFmtId="4" fontId="0" fillId="10" borderId="22" xfId="0" applyNumberFormat="1" applyFont="1" applyFill="1" applyBorder="1" applyAlignment="1" applyProtection="1">
      <alignment/>
      <protection locked="0"/>
    </xf>
    <xf numFmtId="4" fontId="0" fillId="0" borderId="21" xfId="0" applyNumberFormat="1" applyFont="1" applyBorder="1" applyAlignment="1" applyProtection="1">
      <alignment/>
      <protection/>
    </xf>
    <xf numFmtId="3" fontId="0" fillId="0" borderId="21" xfId="0" applyNumberFormat="1" applyFont="1" applyBorder="1" applyAlignment="1" applyProtection="1">
      <alignment/>
      <protection/>
    </xf>
    <xf numFmtId="178" fontId="0" fillId="0" borderId="0" xfId="0" applyNumberFormat="1" applyAlignment="1" applyProtection="1">
      <alignment/>
      <protection/>
    </xf>
    <xf numFmtId="1" fontId="0" fillId="0" borderId="0" xfId="0" applyNumberFormat="1" applyAlignment="1" applyProtection="1">
      <alignment/>
      <protection/>
    </xf>
    <xf numFmtId="2" fontId="5" fillId="0" borderId="0" xfId="0" applyNumberFormat="1" applyFont="1" applyAlignment="1" applyProtection="1">
      <alignment horizontal="right"/>
      <protection/>
    </xf>
    <xf numFmtId="0" fontId="1" fillId="34" borderId="18" xfId="0" applyFont="1" applyFill="1" applyBorder="1" applyAlignment="1" applyProtection="1">
      <alignment/>
      <protection/>
    </xf>
    <xf numFmtId="0" fontId="0" fillId="34" borderId="31" xfId="0" applyFill="1" applyBorder="1" applyAlignment="1" applyProtection="1">
      <alignment/>
      <protection/>
    </xf>
    <xf numFmtId="0" fontId="1" fillId="34" borderId="31" xfId="0" applyFont="1" applyFill="1" applyBorder="1" applyAlignment="1" applyProtection="1">
      <alignment/>
      <protection/>
    </xf>
    <xf numFmtId="2" fontId="0" fillId="34" borderId="31" xfId="0" applyNumberFormat="1" applyFill="1" applyBorder="1" applyAlignment="1" applyProtection="1">
      <alignment/>
      <protection/>
    </xf>
    <xf numFmtId="0" fontId="0" fillId="34" borderId="11" xfId="0" applyFill="1" applyBorder="1" applyAlignment="1" applyProtection="1">
      <alignment/>
      <protection/>
    </xf>
    <xf numFmtId="0" fontId="1" fillId="34" borderId="14" xfId="0" applyFont="1" applyFill="1" applyBorder="1" applyAlignment="1" applyProtection="1">
      <alignment/>
      <protection/>
    </xf>
    <xf numFmtId="0" fontId="0" fillId="34" borderId="15" xfId="0" applyFill="1" applyBorder="1" applyAlignment="1" applyProtection="1">
      <alignment/>
      <protection/>
    </xf>
    <xf numFmtId="0" fontId="1" fillId="34" borderId="15" xfId="0" applyFont="1" applyFill="1" applyBorder="1" applyAlignment="1" applyProtection="1">
      <alignment/>
      <protection/>
    </xf>
    <xf numFmtId="2" fontId="0" fillId="34" borderId="15" xfId="0" applyNumberFormat="1" applyFill="1" applyBorder="1" applyAlignment="1" applyProtection="1">
      <alignment/>
      <protection/>
    </xf>
    <xf numFmtId="3" fontId="1" fillId="34" borderId="16" xfId="0" applyNumberFormat="1" applyFont="1" applyFill="1" applyBorder="1" applyAlignment="1" applyProtection="1">
      <alignment/>
      <protection/>
    </xf>
    <xf numFmtId="2" fontId="0" fillId="34" borderId="19" xfId="0" applyNumberFormat="1" applyFill="1" applyBorder="1" applyAlignment="1" applyProtection="1">
      <alignment/>
      <protection/>
    </xf>
    <xf numFmtId="0" fontId="5" fillId="35" borderId="0" xfId="0" applyFont="1" applyFill="1" applyBorder="1" applyAlignment="1">
      <alignment horizontal="right"/>
    </xf>
    <xf numFmtId="0" fontId="5" fillId="35" borderId="13" xfId="0" applyFont="1" applyFill="1" applyBorder="1" applyAlignment="1">
      <alignment horizontal="right"/>
    </xf>
    <xf numFmtId="3" fontId="0" fillId="0" borderId="21" xfId="0" applyNumberFormat="1" applyFill="1" applyBorder="1" applyAlignment="1" applyProtection="1">
      <alignment/>
      <protection/>
    </xf>
    <xf numFmtId="0" fontId="0" fillId="0" borderId="21" xfId="0" applyBorder="1" applyAlignment="1" applyProtection="1">
      <alignment horizontal="center"/>
      <protection/>
    </xf>
    <xf numFmtId="0" fontId="5" fillId="0" borderId="21" xfId="0" applyFont="1" applyBorder="1" applyAlignment="1" applyProtection="1">
      <alignment horizontal="righ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3" fontId="0" fillId="33" borderId="10" xfId="0" applyNumberFormat="1" applyFont="1" applyFill="1" applyBorder="1" applyAlignment="1" applyProtection="1">
      <alignment horizontal="right"/>
      <protection locked="0"/>
    </xf>
    <xf numFmtId="0" fontId="0" fillId="0" borderId="0" xfId="0" applyFont="1" applyFill="1" applyBorder="1" applyAlignment="1" applyProtection="1" quotePrefix="1">
      <alignment/>
      <protection/>
    </xf>
    <xf numFmtId="0" fontId="2" fillId="0" borderId="0" xfId="0" applyFont="1" applyAlignment="1" applyProtection="1">
      <alignment/>
      <protection/>
    </xf>
    <xf numFmtId="3" fontId="5" fillId="0" borderId="0" xfId="0" applyNumberFormat="1" applyFont="1" applyAlignment="1" applyProtection="1">
      <alignment horizontal="right" wrapText="1"/>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0" fillId="0" borderId="0" xfId="0" applyFont="1" applyAlignment="1" quotePrefix="1">
      <alignment/>
    </xf>
    <xf numFmtId="3" fontId="7" fillId="35" borderId="11" xfId="47" applyNumberFormat="1" applyFont="1" applyFill="1" applyBorder="1" applyAlignment="1">
      <alignment horizontal="center"/>
      <protection/>
    </xf>
    <xf numFmtId="3" fontId="7" fillId="35" borderId="13" xfId="47" applyNumberFormat="1" applyFont="1" applyFill="1" applyBorder="1" applyAlignment="1">
      <alignment horizontal="center"/>
      <protection/>
    </xf>
    <xf numFmtId="3" fontId="7" fillId="35" borderId="16" xfId="47" applyNumberFormat="1" applyFont="1" applyFill="1" applyBorder="1" applyAlignment="1">
      <alignment horizontal="center"/>
      <protection/>
    </xf>
    <xf numFmtId="0" fontId="0" fillId="0" borderId="0" xfId="0" applyAlignment="1" applyProtection="1">
      <alignment horizontal="center"/>
      <protection/>
    </xf>
    <xf numFmtId="0" fontId="78" fillId="0" borderId="0" xfId="0" applyFont="1" applyAlignment="1">
      <alignment/>
    </xf>
    <xf numFmtId="0" fontId="79" fillId="0" borderId="0" xfId="0" applyFont="1" applyAlignment="1">
      <alignment/>
    </xf>
    <xf numFmtId="0" fontId="80" fillId="0" borderId="0" xfId="0" applyFont="1" applyAlignment="1">
      <alignment/>
    </xf>
    <xf numFmtId="2" fontId="0" fillId="0" borderId="21" xfId="0" applyNumberFormat="1" applyBorder="1" applyAlignment="1">
      <alignment/>
    </xf>
    <xf numFmtId="3" fontId="0" fillId="0" borderId="21" xfId="0" applyNumberFormat="1" applyBorder="1" applyAlignment="1">
      <alignment/>
    </xf>
    <xf numFmtId="2" fontId="0" fillId="0" borderId="0" xfId="0" applyNumberFormat="1" applyFont="1" applyAlignment="1">
      <alignment/>
    </xf>
    <xf numFmtId="3" fontId="0" fillId="0" borderId="0" xfId="0" applyNumberFormat="1" applyFont="1" applyAlignment="1">
      <alignment/>
    </xf>
    <xf numFmtId="3" fontId="16" fillId="16" borderId="24" xfId="47" applyNumberFormat="1" applyFont="1" applyFill="1" applyBorder="1" applyAlignment="1" applyProtection="1">
      <alignment horizontal="center"/>
      <protection/>
    </xf>
    <xf numFmtId="3" fontId="16" fillId="16" borderId="26" xfId="47" applyNumberFormat="1" applyFont="1" applyFill="1" applyBorder="1" applyAlignment="1" applyProtection="1">
      <alignment horizontal="center"/>
      <protection/>
    </xf>
    <xf numFmtId="3" fontId="0" fillId="33" borderId="10" xfId="0" applyNumberFormat="1" applyFont="1" applyFill="1" applyBorder="1" applyAlignment="1" applyProtection="1">
      <alignment horizontal="center"/>
      <protection locked="0"/>
    </xf>
    <xf numFmtId="3" fontId="0" fillId="33" borderId="10" xfId="0" applyNumberFormat="1" applyFill="1" applyBorder="1" applyAlignment="1" applyProtection="1">
      <alignment horizontal="center"/>
      <protection locked="0"/>
    </xf>
    <xf numFmtId="0" fontId="0" fillId="0" borderId="0" xfId="0" applyFont="1" applyFill="1" applyAlignment="1">
      <alignment/>
    </xf>
    <xf numFmtId="0" fontId="81" fillId="0" borderId="0" xfId="0" applyFont="1" applyAlignment="1">
      <alignment/>
    </xf>
    <xf numFmtId="4" fontId="5" fillId="0" borderId="0" xfId="0" applyNumberFormat="1" applyFont="1" applyAlignment="1" applyProtection="1">
      <alignment/>
      <protection/>
    </xf>
    <xf numFmtId="0" fontId="4" fillId="34" borderId="17" xfId="0" applyFont="1" applyFill="1" applyBorder="1" applyAlignment="1">
      <alignment horizontal="center"/>
    </xf>
    <xf numFmtId="0" fontId="4" fillId="34" borderId="19" xfId="0" applyFont="1" applyFill="1" applyBorder="1" applyAlignment="1">
      <alignment horizontal="center"/>
    </xf>
    <xf numFmtId="0" fontId="4" fillId="34" borderId="20" xfId="0" applyFont="1" applyFill="1" applyBorder="1" applyAlignment="1">
      <alignment horizontal="center"/>
    </xf>
    <xf numFmtId="0" fontId="3" fillId="37" borderId="17" xfId="0" applyFont="1" applyFill="1" applyBorder="1" applyAlignment="1" applyProtection="1">
      <alignment horizontal="center"/>
      <protection locked="0"/>
    </xf>
    <xf numFmtId="0" fontId="3" fillId="37" borderId="20" xfId="0" applyFont="1" applyFill="1" applyBorder="1" applyAlignment="1" applyProtection="1">
      <alignment horizontal="center"/>
      <protection locked="0"/>
    </xf>
    <xf numFmtId="0" fontId="3" fillId="34" borderId="18" xfId="0" applyFont="1" applyFill="1" applyBorder="1" applyAlignment="1">
      <alignment horizontal="center"/>
    </xf>
    <xf numFmtId="0" fontId="3" fillId="34" borderId="31" xfId="0" applyFont="1" applyFill="1" applyBorder="1" applyAlignment="1">
      <alignment horizontal="center"/>
    </xf>
    <xf numFmtId="0" fontId="3" fillId="34" borderId="11" xfId="0" applyFont="1" applyFill="1" applyBorder="1" applyAlignment="1">
      <alignment horizontal="center"/>
    </xf>
    <xf numFmtId="0" fontId="3" fillId="34" borderId="14" xfId="0" applyFont="1" applyFill="1" applyBorder="1" applyAlignment="1">
      <alignment horizontal="center"/>
    </xf>
    <xf numFmtId="0" fontId="3" fillId="34" borderId="15" xfId="0"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3" fillId="34" borderId="19" xfId="0" applyFont="1" applyFill="1" applyBorder="1" applyAlignment="1">
      <alignment horizontal="center"/>
    </xf>
    <xf numFmtId="0" fontId="3" fillId="34" borderId="20" xfId="0" applyFont="1" applyFill="1" applyBorder="1" applyAlignment="1">
      <alignment horizontal="center"/>
    </xf>
    <xf numFmtId="0" fontId="0" fillId="33" borderId="17" xfId="0" applyFont="1" applyFill="1" applyBorder="1" applyAlignment="1" applyProtection="1">
      <alignment horizontal="center"/>
      <protection locked="0"/>
    </xf>
    <xf numFmtId="0" fontId="0" fillId="33" borderId="20" xfId="0" applyFill="1" applyBorder="1" applyAlignment="1" applyProtection="1">
      <alignment horizontal="center"/>
      <protection locked="0"/>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114300</xdr:colOff>
      <xdr:row>118</xdr:row>
      <xdr:rowOff>152400</xdr:rowOff>
    </xdr:to>
    <xdr:sp>
      <xdr:nvSpPr>
        <xdr:cNvPr id="1" name="Tekstiruutu 2"/>
        <xdr:cNvSpPr txBox="1">
          <a:spLocks noChangeArrowheads="1"/>
        </xdr:cNvSpPr>
      </xdr:nvSpPr>
      <xdr:spPr>
        <a:xfrm>
          <a:off x="38100" y="9525"/>
          <a:ext cx="7172325" cy="19250025"/>
        </a:xfrm>
        <a:prstGeom prst="rect">
          <a:avLst/>
        </a:prstGeom>
        <a:solidFill>
          <a:srgbClr val="FFFFFF"/>
        </a:solidFill>
        <a:ln w="9525" cmpd="sng">
          <a:noFill/>
        </a:ln>
      </xdr:spPr>
      <xdr:txBody>
        <a:bodyPr vertOverflow="clip" wrap="square"/>
        <a:p>
          <a:pPr algn="l">
            <a:defRPr/>
          </a:pPr>
          <a:r>
            <a:rPr lang="en-US" cap="none" sz="1400" b="1" i="0" u="sng" baseline="0">
              <a:solidFill>
                <a:srgbClr val="0066CC"/>
              </a:solidFill>
              <a:latin typeface="Calibri"/>
              <a:ea typeface="Calibri"/>
              <a:cs typeface="Calibri"/>
            </a:rPr>
            <a:t>KUNTALIITON</a:t>
          </a:r>
          <a:r>
            <a:rPr lang="en-US" cap="none" sz="1400" b="1" i="0" u="sng" baseline="0">
              <a:solidFill>
                <a:srgbClr val="0066CC"/>
              </a:solidFill>
              <a:latin typeface="Calibri"/>
              <a:ea typeface="Calibri"/>
              <a:cs typeface="Calibri"/>
            </a:rPr>
            <a:t> V</a:t>
          </a:r>
          <a:r>
            <a:rPr lang="en-US" cap="none" sz="1400" b="1" i="0" u="sng" baseline="0">
              <a:solidFill>
                <a:srgbClr val="0066CC"/>
              </a:solidFill>
              <a:latin typeface="Calibri"/>
              <a:ea typeface="Calibri"/>
              <a:cs typeface="Calibri"/>
            </a:rPr>
            <a:t>ALTIONOSUUSLASKURIN KÄYTTÖOHJEET</a:t>
          </a:r>
          <a:r>
            <a:rPr lang="en-US" cap="none" sz="1400" b="1" i="0" u="none" baseline="0">
              <a:solidFill>
                <a:srgbClr val="0066CC"/>
              </a:solidFill>
              <a:latin typeface="Calibri"/>
              <a:ea typeface="Calibri"/>
              <a:cs typeface="Calibri"/>
            </a:rPr>
            <a:t>  </a:t>
          </a:r>
          <a:r>
            <a:rPr lang="en-US" cap="none" sz="1200" b="0" i="1" u="none" baseline="0">
              <a:solidFill>
                <a:srgbClr val="0066CC"/>
              </a:solidFill>
              <a:latin typeface="Calibri"/>
              <a:ea typeface="Calibri"/>
              <a:cs typeface="Calibri"/>
            </a:rPr>
            <a:t>päivitetty 12.1.2014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s</a:t>
          </a:r>
          <a:r>
            <a:rPr lang="en-US" cap="none" sz="1200" b="0" i="0" u="none" baseline="0">
              <a:solidFill>
                <a:srgbClr val="000000"/>
              </a:solidFill>
              <a:latin typeface="Calibri"/>
              <a:ea typeface="Calibri"/>
              <a:cs typeface="Calibri"/>
            </a:rPr>
            <a:t>illä se päivitetään ennakollisia tietoja vastaavaksi</a:t>
          </a:r>
          <a:r>
            <a:rPr lang="en-US" cap="none" sz="1200" b="0" i="0" u="none" baseline="0">
              <a:solidFill>
                <a:srgbClr val="000000"/>
              </a:solidFill>
              <a:latin typeface="Calibri"/>
              <a:ea typeface="Calibri"/>
              <a:cs typeface="Calibri"/>
            </a:rPr>
            <a:t> ensimmäisen kerran jo </a:t>
          </a:r>
          <a:r>
            <a:rPr lang="en-US" cap="none" sz="1200" b="0" i="0" u="none" baseline="0">
              <a:solidFill>
                <a:srgbClr val="000000"/>
              </a:solidFill>
              <a:latin typeface="Calibri"/>
              <a:ea typeface="Calibri"/>
              <a:cs typeface="Calibri"/>
            </a:rPr>
            <a:t>varainhoitovuotta edeltävänä kesänä. Valtionosuuslaskurin</a:t>
          </a:r>
          <a:r>
            <a:rPr lang="en-US" cap="none" sz="1200" b="0" i="0" u="none" baseline="0">
              <a:solidFill>
                <a:srgbClr val="000000"/>
              </a:solidFill>
              <a:latin typeface="Calibri"/>
              <a:ea typeface="Calibri"/>
              <a:cs typeface="Calibri"/>
            </a:rPr>
            <a:t> täyttäminen on erinomainen tapa päivittää tietonsa valtionosuusjärjestelmästä.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vuosien välisten vertailujen tekoon. Laskuria voidaan käyttää myös skenaariolaskelmiin  ja tarkastella esimerkiksi miten tiettyjen olosuhteiden muutokset vaikuttaisivat kunnan saaman valtionosuuden määrään. Mielenkiintoisia kysymyksiä ovat esimerkiksi muuttoliikkeen aiheuttamasta väestökehityksestä johtuvien ikärakennemuutosten vaikutus valtionosuusrahoitukseen sekä se, miten muutos työllisyydessä, sairastavuudessa ja esimerkiksi huostaanotettujen lasten määrässä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FF66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339966"/>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sisältää oman laskennallisen perusteensa ja oman kunnan itse rahoitettavan osuutensa. Valtionosuusrahoituksen maksatus tapahtuu keskitetysti kuukauden 11. päivään mennessä. Arvioitaessa kunnan saaman valtionosuusrahoituksen kokonaismäärää tulee kumpikin</a:t>
          </a:r>
          <a:r>
            <a:rPr lang="en-US" cap="none" sz="1200" b="0" i="0" u="none" baseline="0">
              <a:solidFill>
                <a:srgbClr val="000000"/>
              </a:solidFill>
              <a:latin typeface="Calibri"/>
              <a:ea typeface="Calibri"/>
              <a:cs typeface="Calibri"/>
            </a:rPr>
            <a:t> edellä mainituista valtionosuusjärjestelmän osista ottaa huomioon.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339966"/>
              </a:solidFill>
              <a:latin typeface="Calibri"/>
              <a:ea typeface="Calibri"/>
              <a:cs typeface="Calibri"/>
            </a:rPr>
            <a:t>vihreällä</a:t>
          </a:r>
          <a:r>
            <a:rPr lang="en-US" cap="none" sz="1200" b="0" i="0" u="none" baseline="0">
              <a:solidFill>
                <a:srgbClr val="339966"/>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33CC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0000"/>
              </a:solidFill>
              <a:latin typeface="Calibri"/>
              <a:ea typeface="Calibri"/>
              <a:cs typeface="Calibri"/>
            </a:rPr>
            <a:t> ja </a:t>
          </a:r>
          <a:r>
            <a:rPr lang="en-US" cap="none" sz="1200" b="1" i="0" u="none" baseline="0">
              <a:solidFill>
                <a:srgbClr val="339966"/>
              </a:solidFill>
              <a:latin typeface="Calibri"/>
              <a:ea typeface="Calibri"/>
              <a:cs typeface="Calibri"/>
            </a:rPr>
            <a:t>vihreistä</a:t>
          </a:r>
          <a:r>
            <a:rPr lang="en-US" cap="none" sz="1200" b="0" i="0" u="none" baseline="0">
              <a:solidFill>
                <a:srgbClr val="000000"/>
              </a:solidFill>
              <a:latin typeface="Calibri"/>
              <a:ea typeface="Calibri"/>
              <a:cs typeface="Calibri"/>
            </a:rPr>
            <a:t> taulukoista tiedot siirtyvät automaattisesti </a:t>
          </a:r>
          <a:r>
            <a:rPr lang="en-US" cap="none" sz="1200" b="1" i="0" u="none" baseline="0">
              <a:solidFill>
                <a:srgbClr val="FF66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Täyttöohjeet
</a:t>
          </a:r>
          <a:r>
            <a:rPr lang="en-US" cap="none" sz="1200" b="1" i="0" u="none" baseline="0">
              <a:solidFill>
                <a:srgbClr val="FF6600"/>
              </a:solidFill>
              <a:latin typeface="Calibri"/>
              <a:ea typeface="Calibri"/>
              <a:cs typeface="Calibri"/>
            </a:rPr>
            <a:t>2. Yhteenveto
</a:t>
          </a:r>
          <a:r>
            <a:rPr lang="en-US" cap="none" sz="1200" b="1" i="0" u="none" baseline="0">
              <a:solidFill>
                <a:srgbClr val="339966"/>
              </a:solidFill>
              <a:latin typeface="Calibri"/>
              <a:ea typeface="Calibri"/>
              <a:cs typeface="Calibri"/>
            </a:rPr>
            <a:t>3. Sosiaali- ja terveys
</a:t>
          </a:r>
          <a:r>
            <a:rPr lang="en-US" cap="none" sz="1200" b="1" i="0" u="none" baseline="0">
              <a:solidFill>
                <a:srgbClr val="339966"/>
              </a:solidFill>
              <a:latin typeface="Calibri"/>
              <a:ea typeface="Calibri"/>
              <a:cs typeface="Calibri"/>
            </a:rPr>
            <a:t>4. Esi- ja perusop. ja kulttuuri
</a:t>
          </a:r>
          <a:r>
            <a:rPr lang="en-US" cap="none" sz="1200" b="1" i="0" u="none" baseline="0">
              <a:solidFill>
                <a:srgbClr val="339966"/>
              </a:solidFill>
              <a:latin typeface="Calibri"/>
              <a:ea typeface="Calibri"/>
              <a:cs typeface="Calibri"/>
            </a:rPr>
            <a:t>5. Yleinen osa ja lisäosat
</a:t>
          </a:r>
          <a:r>
            <a:rPr lang="en-US" cap="none" sz="1200" b="1" i="0" u="none" baseline="0">
              <a:solidFill>
                <a:srgbClr val="339966"/>
              </a:solidFill>
              <a:latin typeface="Calibri"/>
              <a:ea typeface="Calibri"/>
              <a:cs typeface="Calibri"/>
            </a:rPr>
            <a:t>6. Vähennykset ja lisäykset
</a:t>
          </a:r>
          <a:r>
            <a:rPr lang="en-US" cap="none" sz="1200" b="1" i="0" u="none" baseline="0">
              <a:solidFill>
                <a:srgbClr val="339966"/>
              </a:solidFill>
              <a:latin typeface="Calibri"/>
              <a:ea typeface="Calibri"/>
              <a:cs typeface="Calibri"/>
            </a:rPr>
            <a:t>7. Järjestelmämuutoksen tasaus
</a:t>
          </a:r>
          <a:r>
            <a:rPr lang="en-US" cap="none" sz="1200" b="1" i="0" u="none" baseline="0">
              <a:solidFill>
                <a:srgbClr val="339966"/>
              </a:solidFill>
              <a:latin typeface="Calibri"/>
              <a:ea typeface="Calibri"/>
              <a:cs typeface="Calibri"/>
            </a:rPr>
            <a:t>8. Kotikuntakorvaukset
</a:t>
          </a:r>
          <a:r>
            <a:rPr lang="en-US" cap="none" sz="1200" b="1" i="0" u="none" baseline="0">
              <a:solidFill>
                <a:srgbClr val="0066CC"/>
              </a:solidFill>
              <a:latin typeface="Calibri"/>
              <a:ea typeface="Calibri"/>
              <a:cs typeface="Calibri"/>
            </a:rPr>
            <a:t>9. Opetus ja kulttuurin, muu vos </a:t>
          </a:r>
          <a:r>
            <a:rPr lang="en-US" cap="none" sz="1200" b="1" i="1" u="none" baseline="0">
              <a:solidFill>
                <a:srgbClr val="FF0000"/>
              </a:solidFill>
              <a:latin typeface="Calibri"/>
              <a:ea typeface="Calibri"/>
              <a:cs typeface="Calibri"/>
            </a:rPr>
            <a:t>
</a:t>
          </a:r>
          <a:r>
            <a:rPr lang="en-US" cap="none" sz="1200" b="1" i="0" u="none" baseline="0">
              <a:solidFill>
                <a:srgbClr val="0066CC"/>
              </a:solidFill>
              <a:latin typeface="Calibri"/>
              <a:ea typeface="Calibri"/>
              <a:cs typeface="Calibri"/>
            </a:rPr>
            <a:t>10. Lukio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sosiaali- ja terveydenhuollon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200" b="1" i="0" u="none" baseline="0">
              <a:solidFill>
                <a:srgbClr val="FF6600"/>
              </a:solidFill>
              <a:latin typeface="Calibri"/>
              <a:ea typeface="Calibri"/>
              <a:cs typeface="Calibri"/>
            </a:rPr>
            <a:t>
</a:t>
          </a:r>
          <a:r>
            <a:rPr lang="en-US" cap="none" sz="1200" b="1" i="0" u="none" baseline="0">
              <a:solidFill>
                <a:srgbClr val="FF6600"/>
              </a:solidFill>
              <a:latin typeface="Calibri"/>
              <a:ea typeface="Calibri"/>
              <a:cs typeface="Calibri"/>
            </a:rPr>
            <a:t>
</a:t>
          </a:r>
          <a:r>
            <a:rPr lang="en-US" cap="none" sz="1200" b="1" i="0" u="none" baseline="0">
              <a:solidFill>
                <a:srgbClr val="FF6600"/>
              </a:solidFill>
              <a:latin typeface="Calibri"/>
              <a:ea typeface="Calibri"/>
              <a:cs typeface="Calibri"/>
            </a:rPr>
            <a:t>
</a:t>
          </a:r>
          <a:r>
            <a:rPr lang="en-US" cap="none" sz="1200" b="1" i="0" u="none" baseline="0">
              <a:solidFill>
                <a:srgbClr val="FF66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66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339966"/>
              </a:solidFill>
              <a:latin typeface="Calibri"/>
              <a:ea typeface="Calibri"/>
              <a:cs typeface="Calibri"/>
            </a:rPr>
            <a:t>vihreistä</a:t>
          </a:r>
          <a:r>
            <a:rPr lang="en-US" cap="none" sz="1200" b="0" i="0" u="none" baseline="0">
              <a:solidFill>
                <a:srgbClr val="339966"/>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339966"/>
              </a:solidFill>
              <a:latin typeface="Calibri"/>
              <a:ea typeface="Calibri"/>
              <a:cs typeface="Calibri"/>
            </a:rPr>
            <a:t>Kunnan peruspalvelujen valtionosuus (nk. yhden putken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339966"/>
              </a:solidFill>
              <a:latin typeface="Calibri"/>
              <a:ea typeface="Calibri"/>
              <a:cs typeface="Calibri"/>
            </a:rPr>
            <a:t>vihreällä</a:t>
          </a:r>
          <a:r>
            <a:rPr lang="en-US" cap="none" sz="1200" b="0" i="0" u="none" baseline="0">
              <a:solidFill>
                <a:srgbClr val="339966"/>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s</a:t>
          </a:r>
          <a:r>
            <a:rPr lang="en-US" cap="none" sz="1200" b="0" i="0" u="none" baseline="0">
              <a:solidFill>
                <a:srgbClr val="000000"/>
              </a:solidFill>
              <a:latin typeface="Calibri"/>
              <a:ea typeface="Calibri"/>
              <a:cs typeface="Calibri"/>
            </a:rPr>
            <a:t>osiaali- ja</a:t>
          </a:r>
          <a:r>
            <a:rPr lang="en-US" cap="none" sz="1200" b="0" i="0" u="none" baseline="0">
              <a:solidFill>
                <a:srgbClr val="000000"/>
              </a:solidFill>
              <a:latin typeface="Calibri"/>
              <a:ea typeface="Calibri"/>
              <a:cs typeface="Calibri"/>
            </a:rPr>
            <a:t> terveydenhuollon, esi- ja perusopetuksen ja kirjastojen laskennalliset kustannukset sekä yleisen kulttuuritoimen ja asukaskohtaisesti rahoitetun taiteen perusopetuksen laskennallisen perusteen sekä yleisen osan, lisäosat,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Laskuria käytettäessä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ja kotikunnittain. Kotikuntakorvauksen perusosat kunnittain löytyvät kotikuntakorvaustaulukosta. Kotikuntaa vailla olevien 6-15-vuotiaiden kotikuntakorvauksen maksaa valtio. Kotikuntakorvauksen perusosana käytetään kotikuntaa vailla olevien oppilaiden osalta opetuksen järjestäjäkunnan (tai yksityisen koulun sijaintikunnan) kotikuntakorvauksen perusosaa.
</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Opetus- ja kulttuuritoimen valtionosuus </a:t>
          </a:r>
          <a:r>
            <a:rPr lang="en-US" cap="none" sz="1200" b="1" i="1"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ja ammattikorkeakouluille maksettava yksikköhintarahoitus. Lukiokoulutuksessa ylläpitäjä on tyypillisesti kunta, kun taas valtaosa toisen asteen ammatillisen koulutuksen ja ammattikorkeakoulujen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Ammatillisen koulutuksen ja ammattikorkeakoulujen ylläpitäjille maksettavan yksikköhintarahoituksen laskelmista varten on oma laskurinsa ladattavissa Kuntaliiton internet-sivuilta (kts. Valtionosuuslaskuri ylläpitäjille).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9</xdr:row>
      <xdr:rowOff>38100</xdr:rowOff>
    </xdr:from>
    <xdr:ext cx="5981700" cy="1504950"/>
    <xdr:sp>
      <xdr:nvSpPr>
        <xdr:cNvPr id="1" name="Tekstiruutu 1"/>
        <xdr:cNvSpPr txBox="1">
          <a:spLocks noChangeArrowheads="1"/>
        </xdr:cNvSpPr>
      </xdr:nvSpPr>
      <xdr:spPr>
        <a:xfrm>
          <a:off x="66675" y="1533525"/>
          <a:ext cx="5981700" cy="1504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Vuoden 2010 alusta voimaan tulleesta valtionosuusjärjestelmästä aiheutuvat kuntien valtionosuuden lisäykset ja vähennykset tasattiin kuntien kesken . Tasaus on voimassa osana</a:t>
          </a:r>
          <a:r>
            <a:rPr lang="en-US" cap="none" sz="1100" b="0" i="0" u="none" baseline="0">
              <a:solidFill>
                <a:srgbClr val="000000"/>
              </a:solidFill>
              <a:latin typeface="Calibri"/>
              <a:ea typeface="Calibri"/>
              <a:cs typeface="Calibri"/>
            </a:rPr>
            <a:t> valtionosuusjärjestelmää toistaiseksi.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Tasauksessa kunnan valtionosuuteen lisätään tai siitä vähennetään vuosittain euromäärä, joka saadaan vertaamalla kunnalle vuonna 2010 maksettavia valtionosuuksia ja kunnan maksamia ja saamia kotikuntakorvauksia sekä opetus- ja kulttuuritoimen rahoituksesta annetun lain mukaista</a:t>
          </a:r>
          <a:r>
            <a:rPr lang="en-US" cap="none" sz="1100" b="0" i="0" u="none" baseline="0">
              <a:solidFill>
                <a:srgbClr val="000000"/>
              </a:solidFill>
              <a:latin typeface="Calibri"/>
              <a:ea typeface="Calibri"/>
              <a:cs typeface="Calibri"/>
            </a:rPr>
            <a:t> valtionosuus</a:t>
          </a:r>
          <a:r>
            <a:rPr lang="en-US" cap="none" sz="1100" b="0" i="0" u="none" baseline="0">
              <a:solidFill>
                <a:srgbClr val="000000"/>
              </a:solidFill>
              <a:latin typeface="Calibri"/>
              <a:ea typeface="Calibri"/>
              <a:cs typeface="Calibri"/>
            </a:rPr>
            <a:t>rahoitusta niihin vastaavien tehtävien valtionosuuksiin, joita kunta olisi saanut mainittuna vuonna, jos valtionosuudet olisi laskettu vuoden 2009 loppuun voimassa olleen valtionosuuslainsäädännön</a:t>
          </a:r>
          <a:r>
            <a:rPr lang="en-US" cap="none" sz="1100" b="0" i="0" u="none" baseline="0">
              <a:solidFill>
                <a:srgbClr val="000000"/>
              </a:solidFill>
              <a:latin typeface="Calibri"/>
              <a:ea typeface="Calibri"/>
              <a:cs typeface="Calibri"/>
            </a:rPr>
            <a:t> mukaan.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N4" sqref="N4"/>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84"/>
      <c r="L1" s="84"/>
    </row>
    <row r="2" spans="1:12" ht="12.75">
      <c r="A2" s="84"/>
      <c r="L2" s="84"/>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85"/>
      <c r="L19" s="85"/>
    </row>
  </sheetData>
  <sheetProtection sheet="1"/>
  <printOptions/>
  <pageMargins left="0.25" right="0.25" top="0.75" bottom="0.75" header="0.3" footer="0.3"/>
  <pageSetup fitToHeight="0" fitToWidth="1" horizontalDpi="600" verticalDpi="600" orientation="portrait" paperSize="9" scale="90" r:id="rId2"/>
  <rowBreaks count="1" manualBreakCount="1">
    <brk id="66" max="255" man="1"/>
  </rowBreaks>
  <drawing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53"/>
  <sheetViews>
    <sheetView zoomScalePageLayoutView="0" workbookViewId="0" topLeftCell="A1">
      <selection activeCell="A1" sqref="A1"/>
    </sheetView>
  </sheetViews>
  <sheetFormatPr defaultColWidth="9.140625" defaultRowHeight="12.75"/>
  <cols>
    <col min="1" max="4" width="3.00390625" style="0" customWidth="1"/>
    <col min="5" max="5" width="9.421875" style="0" customWidth="1"/>
    <col min="6" max="7" width="10.00390625" style="0" customWidth="1"/>
    <col min="8" max="8" width="11.57421875" style="0" customWidth="1"/>
    <col min="9" max="9" width="10.57421875" style="0" customWidth="1"/>
    <col min="10" max="10" width="11.7109375" style="0" customWidth="1"/>
  </cols>
  <sheetData>
    <row r="1" spans="1:5" ht="18">
      <c r="A1" s="108" t="str">
        <f>'2.Yhteenveto'!A1</f>
        <v>12.1.2014, Kuntaliitto / SL</v>
      </c>
      <c r="E1" s="45"/>
    </row>
    <row r="2" ht="12.75">
      <c r="E2" s="83"/>
    </row>
    <row r="3" spans="2:10" ht="18">
      <c r="B3" s="303" t="s">
        <v>501</v>
      </c>
      <c r="C3" s="304"/>
      <c r="D3" s="304"/>
      <c r="E3" s="304"/>
      <c r="F3" s="304"/>
      <c r="G3" s="304"/>
      <c r="H3" s="304"/>
      <c r="I3" s="304"/>
      <c r="J3" s="305"/>
    </row>
    <row r="5" spans="2:6" ht="12.75">
      <c r="B5" s="76" t="s">
        <v>67</v>
      </c>
      <c r="C5" s="34"/>
      <c r="D5" s="34"/>
      <c r="E5" s="48"/>
      <c r="F5" s="77" t="s">
        <v>442</v>
      </c>
    </row>
    <row r="6" spans="2:6" ht="12.75">
      <c r="B6" s="34"/>
      <c r="C6" s="34"/>
      <c r="D6" s="34"/>
      <c r="E6" s="138"/>
      <c r="F6" s="77" t="s">
        <v>441</v>
      </c>
    </row>
    <row r="7" ht="12.75">
      <c r="M7" s="2"/>
    </row>
    <row r="8" spans="2:8" ht="12.75">
      <c r="B8" s="113" t="s">
        <v>1</v>
      </c>
      <c r="E8" s="194"/>
      <c r="G8" s="9"/>
      <c r="H8" s="195" t="str">
        <f>'2.Yhteenveto'!G12</f>
        <v>Kangasala</v>
      </c>
    </row>
    <row r="9" spans="2:8" ht="12.75">
      <c r="B9" s="113" t="s">
        <v>634</v>
      </c>
      <c r="H9" s="196">
        <f>'2.Yhteenveto'!H13</f>
        <v>30126</v>
      </c>
    </row>
    <row r="11" spans="2:5" ht="15.75">
      <c r="B11" s="1" t="s">
        <v>502</v>
      </c>
      <c r="E11" s="4"/>
    </row>
    <row r="12" spans="5:10" ht="12.75">
      <c r="E12" s="2"/>
      <c r="F12" s="46"/>
      <c r="G12" s="2"/>
      <c r="H12" s="2"/>
      <c r="I12" s="2"/>
      <c r="J12" s="2"/>
    </row>
    <row r="13" spans="3:12" ht="12.75">
      <c r="C13" s="2" t="s">
        <v>32</v>
      </c>
      <c r="F13" s="2"/>
      <c r="G13" s="2"/>
      <c r="H13" s="133">
        <v>6425.98</v>
      </c>
      <c r="I13" s="2"/>
      <c r="J13" s="2"/>
      <c r="K13" s="2"/>
      <c r="L13" s="2"/>
    </row>
    <row r="14" spans="3:12" ht="12.75">
      <c r="C14" s="2" t="s">
        <v>33</v>
      </c>
      <c r="F14" s="2"/>
      <c r="G14" s="2"/>
      <c r="H14" s="197">
        <v>0.9121992</v>
      </c>
      <c r="I14" s="2"/>
      <c r="J14" s="2"/>
      <c r="K14" s="2"/>
      <c r="L14" s="2"/>
    </row>
    <row r="15" spans="5:12" ht="12.75">
      <c r="E15" s="2"/>
      <c r="F15" s="2"/>
      <c r="G15" s="2"/>
      <c r="H15" s="47"/>
      <c r="I15" s="2"/>
      <c r="J15" s="2"/>
      <c r="K15" s="2"/>
      <c r="L15" s="2"/>
    </row>
    <row r="16" spans="5:12" ht="12.75">
      <c r="E16" s="2"/>
      <c r="F16" s="2"/>
      <c r="G16" s="2"/>
      <c r="I16" s="212" t="s">
        <v>34</v>
      </c>
      <c r="K16" s="2"/>
      <c r="L16" s="2"/>
    </row>
    <row r="17" spans="5:12" ht="12.75">
      <c r="E17" s="2"/>
      <c r="F17" s="2"/>
      <c r="G17" s="2"/>
      <c r="I17" s="212" t="s">
        <v>36</v>
      </c>
      <c r="J17" s="213" t="s">
        <v>35</v>
      </c>
      <c r="K17" s="2"/>
      <c r="L17" s="2"/>
    </row>
    <row r="18" spans="4:12" ht="12.75">
      <c r="D18" s="300" t="s">
        <v>644</v>
      </c>
      <c r="F18" s="2"/>
      <c r="G18" s="2"/>
      <c r="I18" s="48"/>
      <c r="J18" s="2">
        <f>IF(I18=0,0,IF(I18&lt;40,206,IF(I18&lt;60,100+0.4*(200-I18)+2.1*(60-I18),IF(I18&lt;200,100+0.4*(200-I18),IF(I18&gt;199,100)))))</f>
        <v>0</v>
      </c>
      <c r="K18" s="2"/>
      <c r="L18" s="2"/>
    </row>
    <row r="19" spans="4:12" ht="12.75">
      <c r="D19" s="300" t="s">
        <v>645</v>
      </c>
      <c r="F19" s="2"/>
      <c r="G19" s="2"/>
      <c r="I19" s="48"/>
      <c r="J19" s="2">
        <f>IF(I19=0,0,IF(I19&lt;40,206,IF(I19&lt;60,100+0.4*(200-I19)+2.1*(60-I19),IF(I19&lt;200,100+0.4*(200-I19),IF(I19&gt;199,100)))))</f>
        <v>0</v>
      </c>
      <c r="K19" s="2"/>
      <c r="L19" s="2"/>
    </row>
    <row r="20" spans="3:12" ht="12.75">
      <c r="C20" s="2" t="s">
        <v>10</v>
      </c>
      <c r="F20" s="2"/>
      <c r="G20" s="2"/>
      <c r="I20" s="49">
        <f>I18+I19</f>
        <v>0</v>
      </c>
      <c r="J20" s="2"/>
      <c r="K20" s="2"/>
      <c r="L20" s="2"/>
    </row>
    <row r="21" spans="6:12" ht="12.75">
      <c r="F21" s="2"/>
      <c r="G21" s="2"/>
      <c r="H21" s="47"/>
      <c r="I21" s="2"/>
      <c r="J21" s="2"/>
      <c r="K21" s="2"/>
      <c r="L21" s="2"/>
    </row>
    <row r="22" spans="3:12" ht="12.75">
      <c r="C22" s="2" t="s">
        <v>37</v>
      </c>
      <c r="F22" s="2"/>
      <c r="G22" s="2"/>
      <c r="H22" s="47"/>
      <c r="I22" s="2"/>
      <c r="J22" s="50">
        <f>IF(I20=0,100,((I18*J18+I19*J19)/I20))</f>
        <v>100</v>
      </c>
      <c r="K22" s="2"/>
      <c r="L22" s="2"/>
    </row>
    <row r="23" spans="6:12" ht="12.75">
      <c r="F23" s="2"/>
      <c r="G23" s="2"/>
      <c r="H23" s="47"/>
      <c r="I23" s="2"/>
      <c r="J23" s="2"/>
      <c r="K23" s="2"/>
      <c r="L23" s="2"/>
    </row>
    <row r="24" spans="3:12" ht="12.75">
      <c r="C24" s="5" t="s">
        <v>507</v>
      </c>
      <c r="F24" s="2"/>
      <c r="G24" s="2"/>
      <c r="H24" s="47"/>
      <c r="I24" s="2"/>
      <c r="J24" s="51">
        <f>IF(I20=0,H13*H14,$H$14*$H$13*J22/100)</f>
        <v>5861.773815215999</v>
      </c>
      <c r="K24" s="2"/>
      <c r="L24" s="2"/>
    </row>
    <row r="25" spans="6:12" ht="12.75">
      <c r="F25" s="2"/>
      <c r="G25" s="2"/>
      <c r="H25" s="47"/>
      <c r="I25" s="2"/>
      <c r="J25" s="2"/>
      <c r="K25" s="2"/>
      <c r="L25" s="2"/>
    </row>
    <row r="26" spans="3:12" ht="12.75">
      <c r="C26" s="5" t="s">
        <v>506</v>
      </c>
      <c r="F26" s="2"/>
      <c r="G26" s="2"/>
      <c r="H26" s="47"/>
      <c r="I26" s="2"/>
      <c r="J26" s="37"/>
      <c r="K26" s="2"/>
      <c r="L26" s="2"/>
    </row>
    <row r="27" spans="6:12" ht="12.75">
      <c r="F27" s="2"/>
      <c r="G27" s="2"/>
      <c r="H27" s="47"/>
      <c r="I27" s="2"/>
      <c r="J27" s="2"/>
      <c r="K27" s="2"/>
      <c r="L27" s="2"/>
    </row>
    <row r="28" spans="2:11" ht="12.75">
      <c r="B28" s="202" t="s">
        <v>646</v>
      </c>
      <c r="C28" s="203"/>
      <c r="D28" s="203"/>
      <c r="E28" s="203"/>
      <c r="F28" s="203"/>
      <c r="G28" s="203"/>
      <c r="H28" s="204"/>
      <c r="I28" s="205">
        <f>ROUND(J24+(J24*J26/100),2)</f>
        <v>5861.77</v>
      </c>
      <c r="J28" s="206" t="s">
        <v>27</v>
      </c>
      <c r="K28" s="2"/>
    </row>
    <row r="29" spans="2:11" ht="12.75">
      <c r="B29" s="207" t="s">
        <v>647</v>
      </c>
      <c r="C29" s="208"/>
      <c r="D29" s="208"/>
      <c r="E29" s="208"/>
      <c r="F29" s="208"/>
      <c r="G29" s="208"/>
      <c r="H29" s="209"/>
      <c r="I29" s="210">
        <f>ROUND(0.58*I28,2)</f>
        <v>3399.83</v>
      </c>
      <c r="J29" s="211" t="s">
        <v>27</v>
      </c>
      <c r="K29" s="2"/>
    </row>
    <row r="30" spans="6:12" ht="12.75">
      <c r="F30" s="2"/>
      <c r="G30" s="2"/>
      <c r="H30" s="47"/>
      <c r="I30" s="2"/>
      <c r="J30" s="2"/>
      <c r="K30" s="2"/>
      <c r="L30" s="2"/>
    </row>
    <row r="31" spans="2:12" ht="12.75">
      <c r="B31" s="76" t="s">
        <v>503</v>
      </c>
      <c r="F31" s="2"/>
      <c r="G31" s="2"/>
      <c r="H31" s="47"/>
      <c r="I31" s="2"/>
      <c r="J31" s="2"/>
      <c r="K31" s="2"/>
      <c r="L31" s="2"/>
    </row>
    <row r="32" spans="6:12" ht="12.75">
      <c r="F32" s="2"/>
      <c r="G32" s="2"/>
      <c r="H32" s="47"/>
      <c r="I32" s="2"/>
      <c r="J32" s="2"/>
      <c r="K32" s="2"/>
      <c r="L32" s="2"/>
    </row>
    <row r="33" spans="2:12" ht="15.75">
      <c r="B33" s="1" t="s">
        <v>504</v>
      </c>
      <c r="E33" s="4"/>
      <c r="F33" s="2"/>
      <c r="G33" s="2"/>
      <c r="H33" s="47"/>
      <c r="I33" s="2"/>
      <c r="J33" s="2"/>
      <c r="K33" s="2"/>
      <c r="L33" s="2"/>
    </row>
    <row r="34" spans="6:12" ht="12.75">
      <c r="F34" s="2"/>
      <c r="G34" s="2"/>
      <c r="H34" s="47"/>
      <c r="I34" s="2"/>
      <c r="J34" s="2"/>
      <c r="K34" s="2"/>
      <c r="L34" s="2"/>
    </row>
    <row r="35" spans="6:12" ht="12.75">
      <c r="F35" s="2"/>
      <c r="G35" s="2"/>
      <c r="H35" s="212" t="s">
        <v>34</v>
      </c>
      <c r="I35" s="213" t="s">
        <v>38</v>
      </c>
      <c r="J35" s="2"/>
      <c r="K35" s="2"/>
      <c r="L35" s="2"/>
    </row>
    <row r="36" spans="6:12" ht="12.75">
      <c r="F36" s="2"/>
      <c r="G36" s="2"/>
      <c r="H36" s="212" t="s">
        <v>12</v>
      </c>
      <c r="I36" s="213" t="s">
        <v>39</v>
      </c>
      <c r="J36" s="2"/>
      <c r="K36" s="2"/>
      <c r="L36" s="2"/>
    </row>
    <row r="37" spans="4:12" ht="12.75">
      <c r="D37" s="5" t="s">
        <v>648</v>
      </c>
      <c r="F37" s="2"/>
      <c r="G37" s="2"/>
      <c r="H37" s="48"/>
      <c r="I37" s="37"/>
      <c r="J37" s="9"/>
      <c r="K37" s="2"/>
      <c r="L37" s="2"/>
    </row>
    <row r="38" spans="4:12" ht="12.75">
      <c r="D38" s="5" t="s">
        <v>649</v>
      </c>
      <c r="F38" s="2"/>
      <c r="G38" s="2"/>
      <c r="H38" s="48"/>
      <c r="I38" s="37"/>
      <c r="J38" s="9"/>
      <c r="K38" s="2"/>
      <c r="L38" s="2"/>
    </row>
    <row r="39" spans="3:12" ht="12.75">
      <c r="C39" t="s">
        <v>40</v>
      </c>
      <c r="F39" s="2"/>
      <c r="G39" s="2"/>
      <c r="H39" s="53">
        <f>(H37*7/12)+(H38*5/12)</f>
        <v>0</v>
      </c>
      <c r="I39" s="53">
        <f>(I37*7/12)+(I38*5/12)</f>
        <v>0</v>
      </c>
      <c r="J39" s="2"/>
      <c r="K39" s="2"/>
      <c r="L39" s="2"/>
    </row>
    <row r="40" spans="6:12" ht="12.75">
      <c r="F40" s="2"/>
      <c r="G40" s="2"/>
      <c r="H40" s="47"/>
      <c r="I40" s="2"/>
      <c r="J40" s="2"/>
      <c r="K40" s="2"/>
      <c r="L40" s="2"/>
    </row>
    <row r="41" spans="3:12" ht="12.75">
      <c r="C41" t="s">
        <v>41</v>
      </c>
      <c r="F41" s="2"/>
      <c r="G41" s="2"/>
      <c r="H41" s="47"/>
      <c r="I41" s="2"/>
      <c r="J41" s="37"/>
      <c r="K41" s="2"/>
      <c r="L41" s="2"/>
    </row>
    <row r="42" spans="6:12" ht="12.75">
      <c r="F42" s="2"/>
      <c r="G42" s="2"/>
      <c r="H42" s="47"/>
      <c r="I42" s="2"/>
      <c r="J42" s="2"/>
      <c r="K42" s="2"/>
      <c r="L42" s="2"/>
    </row>
    <row r="43" spans="6:12" ht="12.75">
      <c r="F43" s="2"/>
      <c r="G43" s="2"/>
      <c r="H43" s="47"/>
      <c r="I43" s="2"/>
      <c r="J43" s="2"/>
      <c r="K43" s="2"/>
      <c r="L43" s="2"/>
    </row>
    <row r="44" spans="3:12" ht="12.75">
      <c r="C44" s="5" t="s">
        <v>42</v>
      </c>
      <c r="F44" s="2"/>
      <c r="G44" s="2"/>
      <c r="H44" s="47"/>
      <c r="I44" s="2"/>
      <c r="J44" s="54">
        <f>I28*(H37*7/12+H38*5/12)</f>
        <v>0</v>
      </c>
      <c r="K44" s="2"/>
      <c r="L44" s="2"/>
    </row>
    <row r="45" spans="3:12" ht="12.75">
      <c r="C45" s="5" t="s">
        <v>43</v>
      </c>
      <c r="F45" s="2"/>
      <c r="G45" s="2"/>
      <c r="H45" s="47"/>
      <c r="I45" s="2"/>
      <c r="J45" s="54">
        <f>I29*(I37*7/12+I38*5/12)</f>
        <v>0</v>
      </c>
      <c r="K45" s="2"/>
      <c r="L45" s="2"/>
    </row>
    <row r="46" spans="3:12" ht="12.75">
      <c r="C46" s="5" t="s">
        <v>44</v>
      </c>
      <c r="F46" s="2"/>
      <c r="G46" s="2"/>
      <c r="H46" s="47"/>
      <c r="I46" s="2"/>
      <c r="J46" s="54">
        <f>I29*J41</f>
        <v>0</v>
      </c>
      <c r="K46" s="2"/>
      <c r="L46" s="2"/>
    </row>
    <row r="47" spans="3:12" ht="12.75">
      <c r="C47" s="5"/>
      <c r="F47" s="2"/>
      <c r="G47" s="2"/>
      <c r="H47" s="47"/>
      <c r="I47" s="2"/>
      <c r="J47" s="54"/>
      <c r="K47" s="2"/>
      <c r="L47" s="2"/>
    </row>
    <row r="48" spans="2:12" ht="12.75">
      <c r="B48" s="76" t="s">
        <v>45</v>
      </c>
      <c r="L48" s="2"/>
    </row>
    <row r="49" spans="2:12" ht="12.75">
      <c r="B49" s="76" t="s">
        <v>107</v>
      </c>
      <c r="L49" s="2"/>
    </row>
    <row r="50" ht="12.75">
      <c r="B50" s="76" t="s">
        <v>46</v>
      </c>
    </row>
    <row r="51" spans="3:11" ht="12.75">
      <c r="C51" s="5"/>
      <c r="F51" s="2"/>
      <c r="G51" s="2"/>
      <c r="H51" s="47"/>
      <c r="I51" s="2"/>
      <c r="J51" s="54"/>
      <c r="K51" s="2"/>
    </row>
    <row r="52" spans="2:11" ht="12.75">
      <c r="B52" s="110" t="s">
        <v>505</v>
      </c>
      <c r="C52" s="111"/>
      <c r="D52" s="111"/>
      <c r="E52" s="137"/>
      <c r="F52" s="111"/>
      <c r="G52" s="111"/>
      <c r="H52" s="214"/>
      <c r="I52" s="111"/>
      <c r="J52" s="112">
        <f>SUM(J44:J46)</f>
        <v>0</v>
      </c>
      <c r="K52" s="2"/>
    </row>
    <row r="53" spans="6:10" ht="12.75">
      <c r="F53" s="2"/>
      <c r="G53" s="2"/>
      <c r="H53" s="47"/>
      <c r="I53" s="2"/>
      <c r="J53" s="2"/>
    </row>
  </sheetData>
  <sheetProtection sheet="1"/>
  <protectedRanges>
    <protectedRange sqref="J41" name="Alue5"/>
    <protectedRange sqref="H37:I38" name="Alue4"/>
    <protectedRange sqref="J26" name="Alue3"/>
    <protectedRange sqref="I18:I19" name="Alue2"/>
    <protectedRange sqref="H13:H14" name="Alue1"/>
  </protectedRanges>
  <mergeCells count="1">
    <mergeCell ref="B3:J3"/>
  </mergeCells>
  <printOptions/>
  <pageMargins left="0.75" right="0.75" top="1" bottom="1" header="0.4921259845" footer="0.4921259845"/>
  <pageSetup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M409"/>
  <sheetViews>
    <sheetView tabSelected="1" zoomScaleSheetLayoutView="100" zoomScalePageLayoutView="0" workbookViewId="0" topLeftCell="A1">
      <selection activeCell="A2" sqref="A2"/>
    </sheetView>
  </sheetViews>
  <sheetFormatPr defaultColWidth="9.140625" defaultRowHeight="12.75"/>
  <cols>
    <col min="1" max="1" width="1.8515625" style="0" customWidth="1"/>
    <col min="2" max="2" width="2.8515625" style="0" customWidth="1"/>
    <col min="3" max="3" width="2.140625" style="0" customWidth="1"/>
    <col min="4" max="5" width="1.8515625" style="0" customWidth="1"/>
    <col min="6" max="6" width="8.710937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3.140625" style="0" customWidth="1"/>
    <col min="13" max="13" width="13.00390625" style="0" customWidth="1"/>
    <col min="14" max="14" width="2.00390625" style="0" customWidth="1"/>
    <col min="15" max="15" width="9.28125" style="0" bestFit="1" customWidth="1"/>
    <col min="16" max="16" width="14.00390625" style="0" customWidth="1"/>
    <col min="17" max="43" width="9.28125" style="0" bestFit="1" customWidth="1"/>
    <col min="44" max="44" width="10.57421875" style="0" bestFit="1" customWidth="1"/>
    <col min="45" max="64" width="9.28125" style="0" bestFit="1" customWidth="1"/>
  </cols>
  <sheetData>
    <row r="1" spans="1:5" ht="12.75">
      <c r="A1" s="108" t="s">
        <v>652</v>
      </c>
      <c r="C1" s="108"/>
      <c r="D1" s="108"/>
      <c r="E1" s="108"/>
    </row>
    <row r="2" spans="2:5" ht="12.75">
      <c r="B2" s="79"/>
      <c r="C2" s="79"/>
      <c r="D2" s="79"/>
      <c r="E2" s="79"/>
    </row>
    <row r="3" spans="2:13" ht="18">
      <c r="B3" s="303" t="s">
        <v>633</v>
      </c>
      <c r="C3" s="304"/>
      <c r="D3" s="304"/>
      <c r="E3" s="304"/>
      <c r="F3" s="304"/>
      <c r="G3" s="304"/>
      <c r="H3" s="304"/>
      <c r="I3" s="304"/>
      <c r="J3" s="304"/>
      <c r="K3" s="304"/>
      <c r="L3" s="304"/>
      <c r="M3" s="305"/>
    </row>
    <row r="5" spans="2:5" ht="12.75">
      <c r="B5" s="1" t="s">
        <v>64</v>
      </c>
      <c r="C5" s="1"/>
      <c r="D5" s="1"/>
      <c r="E5" s="1"/>
    </row>
    <row r="7" ht="12" customHeight="1">
      <c r="F7" s="224" t="s">
        <v>554</v>
      </c>
    </row>
    <row r="8" spans="6:7" ht="12" customHeight="1">
      <c r="F8" s="225"/>
      <c r="G8" s="88" t="s">
        <v>559</v>
      </c>
    </row>
    <row r="9" spans="6:7" ht="12" customHeight="1">
      <c r="F9" s="105"/>
      <c r="G9" s="88" t="s">
        <v>560</v>
      </c>
    </row>
    <row r="12" spans="2:9" ht="20.25" customHeight="1">
      <c r="B12" s="1" t="s">
        <v>1</v>
      </c>
      <c r="F12" s="228">
        <f>INDEX($F$74:$F$377,MATCH(G12,$G$74:$G$377,0),1,1)</f>
        <v>211</v>
      </c>
      <c r="G12" s="306" t="s">
        <v>184</v>
      </c>
      <c r="H12" s="307"/>
      <c r="I12" s="89" t="s">
        <v>524</v>
      </c>
    </row>
    <row r="13" spans="2:9" ht="20.25" customHeight="1">
      <c r="B13" s="1" t="s">
        <v>634</v>
      </c>
      <c r="H13" s="227">
        <f>INDEX(vakiluku,MATCH($G$12,kuntanimi,0),1,1)</f>
        <v>30126</v>
      </c>
      <c r="I13" s="89" t="s">
        <v>544</v>
      </c>
    </row>
    <row r="14" spans="2:13" ht="14.25">
      <c r="B14" s="55"/>
      <c r="C14" s="55"/>
      <c r="D14" s="55"/>
      <c r="E14" s="55"/>
      <c r="M14" s="3"/>
    </row>
    <row r="15" spans="12:13" ht="12.75">
      <c r="L15" s="89"/>
      <c r="M15" s="90"/>
    </row>
    <row r="16" spans="2:13" ht="12.75">
      <c r="B16" s="1" t="s">
        <v>424</v>
      </c>
      <c r="C16" s="1"/>
      <c r="D16" s="1"/>
      <c r="E16" s="1"/>
      <c r="L16" s="89" t="s">
        <v>439</v>
      </c>
      <c r="M16" s="89" t="s">
        <v>555</v>
      </c>
    </row>
    <row r="18" spans="4:13" ht="12.75">
      <c r="D18" s="5" t="s">
        <v>420</v>
      </c>
      <c r="E18" s="5"/>
      <c r="F18" s="5"/>
      <c r="L18" s="107">
        <f>'3.Sosiaali- ja terveys'!I54</f>
        <v>109119453.44163059</v>
      </c>
      <c r="M18" s="229">
        <f>L18/$H$13</f>
        <v>3622.1022851235007</v>
      </c>
    </row>
    <row r="19" ht="12.75">
      <c r="M19" s="229"/>
    </row>
    <row r="20" spans="4:13" ht="12.75">
      <c r="D20" s="5" t="s">
        <v>549</v>
      </c>
      <c r="E20" s="5"/>
      <c r="F20" s="5"/>
      <c r="L20" s="107">
        <f>'4.Esi- ja perusop. ja kulttuuri'!J46</f>
        <v>27824499.219320793</v>
      </c>
      <c r="M20" s="229">
        <f>L20/$H$13</f>
        <v>923.6041697975434</v>
      </c>
    </row>
    <row r="21" ht="12.75">
      <c r="M21" s="229"/>
    </row>
    <row r="22" spans="4:13" ht="12.75">
      <c r="D22" t="s">
        <v>89</v>
      </c>
      <c r="J22" s="39"/>
      <c r="K22" s="3"/>
      <c r="L22" s="106">
        <f>'5.Yleinen osa ja lisäosat'!J34</f>
        <v>1010727.2999999999</v>
      </c>
      <c r="M22" s="229">
        <f>L22/$H$13</f>
        <v>33.55</v>
      </c>
    </row>
    <row r="23" ht="12.75">
      <c r="M23" s="229"/>
    </row>
    <row r="24" spans="4:13" ht="12.75">
      <c r="D24" s="5" t="s">
        <v>421</v>
      </c>
      <c r="E24" s="5"/>
      <c r="F24" s="5"/>
      <c r="L24" s="106">
        <f>'5.Yleinen osa ja lisäosat'!J56</f>
        <v>0</v>
      </c>
      <c r="M24" s="229">
        <f>L24/$H$13</f>
        <v>0</v>
      </c>
    </row>
    <row r="25" ht="12.75">
      <c r="M25" s="229"/>
    </row>
    <row r="26" spans="4:13" ht="12.75">
      <c r="D26" t="s">
        <v>0</v>
      </c>
      <c r="L26" s="106">
        <f>INDEX($AQ$74:$AQ$377,MATCH(F12,$F$74:$F$377,0),1,1)</f>
        <v>-235774.60303405012</v>
      </c>
      <c r="M26" s="229">
        <f>L26/$H$13</f>
        <v>-7.826283045676496</v>
      </c>
    </row>
    <row r="27" ht="12.75">
      <c r="M27" s="229"/>
    </row>
    <row r="28" spans="4:13" ht="12.75">
      <c r="D28" t="s">
        <v>79</v>
      </c>
      <c r="L28" s="106">
        <f>'6.Vähennykset ja lisäykset'!I58</f>
        <v>4551270.915002111</v>
      </c>
      <c r="M28" s="229">
        <f>L28/$H$13</f>
        <v>151.07451752645926</v>
      </c>
    </row>
    <row r="29" spans="4:13" ht="12.75">
      <c r="D29" s="88"/>
      <c r="E29" s="284" t="s">
        <v>550</v>
      </c>
      <c r="F29" s="284"/>
      <c r="G29" s="89"/>
      <c r="H29" s="89"/>
      <c r="I29" s="89"/>
      <c r="J29" s="89"/>
      <c r="K29" s="89"/>
      <c r="L29" s="89"/>
      <c r="M29" s="229"/>
    </row>
    <row r="30" spans="2:13" ht="12.75">
      <c r="B30" t="s">
        <v>105</v>
      </c>
      <c r="E30" s="5"/>
      <c r="F30" s="5" t="s">
        <v>551</v>
      </c>
      <c r="L30" s="87">
        <f>'6.Vähennykset ja lisäykset'!I48</f>
        <v>38862.54</v>
      </c>
      <c r="M30">
        <f>L30/H13</f>
        <v>1.29</v>
      </c>
    </row>
    <row r="31" ht="12.75">
      <c r="M31" s="229"/>
    </row>
    <row r="32" spans="4:16" ht="12.75">
      <c r="D32" s="5" t="s">
        <v>422</v>
      </c>
      <c r="E32" s="5"/>
      <c r="J32" s="233">
        <v>-3282.6</v>
      </c>
      <c r="K32" s="89" t="s">
        <v>2</v>
      </c>
      <c r="L32" s="106">
        <f>J32*H13</f>
        <v>-98891607.6</v>
      </c>
      <c r="M32" s="229">
        <f>L32/$H$13</f>
        <v>-3282.6</v>
      </c>
      <c r="P32" s="87">
        <f>SUM(L18:L28)+L32</f>
        <v>43378568.67291945</v>
      </c>
    </row>
    <row r="33" spans="2:13" ht="12.75">
      <c r="B33" s="64"/>
      <c r="C33" s="231"/>
      <c r="D33" s="231"/>
      <c r="E33" s="231"/>
      <c r="F33" s="231"/>
      <c r="G33" s="231"/>
      <c r="H33" s="231"/>
      <c r="I33" s="231"/>
      <c r="J33" s="231"/>
      <c r="K33" s="231"/>
      <c r="L33" s="231"/>
      <c r="M33" s="232"/>
    </row>
    <row r="34" spans="3:13" ht="12.75">
      <c r="C34" s="1" t="s">
        <v>423</v>
      </c>
      <c r="D34" s="1"/>
      <c r="E34" s="1"/>
      <c r="L34" s="80">
        <f>SUM(L18:L28)-L30+L32</f>
        <v>43339706.13291946</v>
      </c>
      <c r="M34" s="230">
        <f>L34/$H$13</f>
        <v>1438.6146894018277</v>
      </c>
    </row>
    <row r="36" spans="3:13" ht="12.75">
      <c r="C36" s="5" t="s">
        <v>425</v>
      </c>
      <c r="D36" s="5"/>
      <c r="E36" s="5"/>
      <c r="L36" s="226">
        <f>INDEX(tasaus,MATCH(G12,kuntanimi,0),1,1)</f>
        <v>-2253186.810478754</v>
      </c>
      <c r="M36" s="229">
        <f>L36/$H$13</f>
        <v>-74.79210019513889</v>
      </c>
    </row>
    <row r="37" spans="2:13" ht="13.5" thickBot="1">
      <c r="B37" s="154"/>
      <c r="C37" s="154"/>
      <c r="D37" s="154"/>
      <c r="E37" s="154"/>
      <c r="F37" s="154"/>
      <c r="G37" s="154"/>
      <c r="H37" s="154"/>
      <c r="I37" s="154"/>
      <c r="J37" s="154"/>
      <c r="K37" s="154"/>
      <c r="L37" s="154"/>
      <c r="M37" s="234"/>
    </row>
    <row r="38" spans="2:16" ht="13.5" thickTop="1">
      <c r="B38" s="1" t="s">
        <v>426</v>
      </c>
      <c r="C38" s="1"/>
      <c r="D38" s="1"/>
      <c r="E38" s="1"/>
      <c r="L38" s="80">
        <f>L34+L36</f>
        <v>41086519.322440706</v>
      </c>
      <c r="M38" s="229">
        <f>L38/$H$13</f>
        <v>1363.8225892066887</v>
      </c>
      <c r="P38" s="87">
        <f>P32+L36</f>
        <v>41125381.8624407</v>
      </c>
    </row>
    <row r="39" ht="12.75">
      <c r="M39" s="229"/>
    </row>
    <row r="40" spans="2:13" ht="12.75">
      <c r="B40" s="1" t="s">
        <v>427</v>
      </c>
      <c r="C40" s="1"/>
      <c r="D40" s="1"/>
      <c r="E40" s="1"/>
      <c r="L40" s="109">
        <f>'9.Opetus ja kulttuuri, muu vos'!K88</f>
        <v>-10395759.576</v>
      </c>
      <c r="M40" s="229">
        <f>L40/$H$13</f>
        <v>-345.07599999999996</v>
      </c>
    </row>
    <row r="42" spans="2:13" ht="12.75">
      <c r="B42" s="1" t="s">
        <v>631</v>
      </c>
      <c r="C42" s="5"/>
      <c r="D42" s="5"/>
      <c r="E42" s="5"/>
      <c r="K42" s="58"/>
      <c r="L42" s="251"/>
      <c r="M42" s="229">
        <f>L42/$H$13</f>
        <v>0</v>
      </c>
    </row>
    <row r="44" spans="1:13" ht="12.75">
      <c r="A44" s="110" t="s">
        <v>650</v>
      </c>
      <c r="B44" s="111"/>
      <c r="C44" s="137"/>
      <c r="D44" s="137"/>
      <c r="E44" s="137"/>
      <c r="F44" s="111"/>
      <c r="G44" s="111"/>
      <c r="H44" s="111"/>
      <c r="I44" s="111"/>
      <c r="J44" s="111"/>
      <c r="K44" s="111"/>
      <c r="L44" s="235">
        <f>L38+L40+L42</f>
        <v>30690759.74644071</v>
      </c>
      <c r="M44" s="236">
        <f>L44/$H$13</f>
        <v>1018.7465892066889</v>
      </c>
    </row>
    <row r="45" ht="12.75">
      <c r="M45" s="229"/>
    </row>
    <row r="46" spans="2:13" ht="12.75">
      <c r="B46" s="1" t="s">
        <v>106</v>
      </c>
      <c r="C46" s="1"/>
      <c r="D46" s="1"/>
      <c r="E46" s="1"/>
      <c r="M46" s="229"/>
    </row>
    <row r="47" spans="6:13" ht="12.75">
      <c r="F47" s="5" t="s">
        <v>428</v>
      </c>
      <c r="L47" s="107">
        <f>'8.Kotikuntakorvaukset'!H20</f>
        <v>0</v>
      </c>
      <c r="M47" s="229"/>
    </row>
    <row r="48" spans="6:13" ht="12.75">
      <c r="F48" s="5" t="s">
        <v>429</v>
      </c>
      <c r="L48" s="107">
        <f>-'8.Kotikuntakorvaukset'!H16</f>
        <v>0</v>
      </c>
      <c r="M48" s="229"/>
    </row>
    <row r="50" spans="2:13" ht="12.75">
      <c r="B50" s="1" t="s">
        <v>77</v>
      </c>
      <c r="C50" s="1"/>
      <c r="D50" s="1"/>
      <c r="E50" s="1"/>
      <c r="L50" s="87">
        <f>L30</f>
        <v>38862.54</v>
      </c>
      <c r="M50" s="229">
        <f>L50/$H$13</f>
        <v>1.29</v>
      </c>
    </row>
    <row r="52" spans="1:13" ht="12.75">
      <c r="A52" s="202" t="s">
        <v>566</v>
      </c>
      <c r="B52" s="240"/>
      <c r="C52" s="203"/>
      <c r="D52" s="203"/>
      <c r="E52" s="203"/>
      <c r="F52" s="240"/>
      <c r="G52" s="240"/>
      <c r="H52" s="240"/>
      <c r="I52" s="240"/>
      <c r="J52" s="240"/>
      <c r="K52" s="240"/>
      <c r="L52" s="241"/>
      <c r="M52" s="242"/>
    </row>
    <row r="53" spans="1:13" ht="12.75">
      <c r="A53" s="248"/>
      <c r="B53" s="250" t="s">
        <v>567</v>
      </c>
      <c r="C53" s="237"/>
      <c r="D53" s="237"/>
      <c r="E53" s="237"/>
      <c r="F53" s="238"/>
      <c r="G53" s="238"/>
      <c r="H53" s="238"/>
      <c r="I53" s="238"/>
      <c r="J53" s="238"/>
      <c r="K53" s="238"/>
      <c r="L53" s="271" t="s">
        <v>439</v>
      </c>
      <c r="M53" s="272" t="s">
        <v>555</v>
      </c>
    </row>
    <row r="54" spans="1:13" ht="12.75">
      <c r="A54" s="248"/>
      <c r="B54" s="250" t="s">
        <v>568</v>
      </c>
      <c r="C54" s="237"/>
      <c r="D54" s="237"/>
      <c r="E54" s="237"/>
      <c r="F54" s="238"/>
      <c r="G54" s="238"/>
      <c r="H54" s="238"/>
      <c r="I54" s="238"/>
      <c r="J54" s="238"/>
      <c r="K54" s="238"/>
      <c r="L54" s="239">
        <f>L38+L40+L47+L48+L50</f>
        <v>30729622.286440708</v>
      </c>
      <c r="M54" s="249">
        <f>L54/H13</f>
        <v>1020.0365892066889</v>
      </c>
    </row>
    <row r="55" spans="1:13" ht="12.75">
      <c r="A55" s="245"/>
      <c r="B55" s="246" t="s">
        <v>557</v>
      </c>
      <c r="C55" s="247"/>
      <c r="D55" s="247"/>
      <c r="E55" s="247"/>
      <c r="F55" s="247"/>
      <c r="G55" s="247"/>
      <c r="H55" s="247"/>
      <c r="I55" s="247"/>
      <c r="J55" s="247"/>
      <c r="K55" s="247"/>
      <c r="L55" s="243">
        <f>(L38+L40+L47+L48+L50)/12</f>
        <v>2560801.8572033923</v>
      </c>
      <c r="M55" s="244">
        <f>L55/H13</f>
        <v>85.0030491005574</v>
      </c>
    </row>
    <row r="73" spans="6:65" s="289" customFormat="1" ht="12.75">
      <c r="F73" s="289" t="s">
        <v>508</v>
      </c>
      <c r="G73" s="289" t="s">
        <v>509</v>
      </c>
      <c r="H73" s="289" t="s">
        <v>513</v>
      </c>
      <c r="I73" s="289" t="s">
        <v>514</v>
      </c>
      <c r="J73" s="289" t="s">
        <v>515</v>
      </c>
      <c r="K73" s="289" t="s">
        <v>516</v>
      </c>
      <c r="L73" s="289" t="s">
        <v>517</v>
      </c>
      <c r="M73" s="289" t="s">
        <v>518</v>
      </c>
      <c r="N73" s="289" t="s">
        <v>519</v>
      </c>
      <c r="O73" s="289" t="s">
        <v>520</v>
      </c>
      <c r="P73" s="289" t="s">
        <v>521</v>
      </c>
      <c r="Q73" s="289" t="s">
        <v>522</v>
      </c>
      <c r="R73" s="289" t="s">
        <v>523</v>
      </c>
      <c r="S73" s="289" t="s">
        <v>545</v>
      </c>
      <c r="T73" s="289" t="s">
        <v>510</v>
      </c>
      <c r="U73" s="289" t="s">
        <v>511</v>
      </c>
      <c r="V73" s="289" t="s">
        <v>512</v>
      </c>
      <c r="W73" s="289" t="s">
        <v>528</v>
      </c>
      <c r="X73" s="289" t="s">
        <v>529</v>
      </c>
      <c r="Y73" s="289" t="s">
        <v>530</v>
      </c>
      <c r="Z73" s="289" t="s">
        <v>533</v>
      </c>
      <c r="AA73" s="289" t="s">
        <v>531</v>
      </c>
      <c r="AB73" s="289" t="s">
        <v>532</v>
      </c>
      <c r="AC73" s="289" t="s">
        <v>534</v>
      </c>
      <c r="AD73" s="289" t="s">
        <v>535</v>
      </c>
      <c r="AE73" s="289" t="s">
        <v>536</v>
      </c>
      <c r="AF73" s="289" t="s">
        <v>537</v>
      </c>
      <c r="AG73" s="289" t="s">
        <v>538</v>
      </c>
      <c r="AH73" s="289" t="s">
        <v>539</v>
      </c>
      <c r="AI73" s="289" t="s">
        <v>525</v>
      </c>
      <c r="AJ73" s="289" t="s">
        <v>542</v>
      </c>
      <c r="AK73" s="289" t="s">
        <v>541</v>
      </c>
      <c r="AL73" s="289" t="s">
        <v>540</v>
      </c>
      <c r="AM73" s="289" t="s">
        <v>526</v>
      </c>
      <c r="AN73" s="289" t="s">
        <v>527</v>
      </c>
      <c r="AO73" s="289" t="s">
        <v>511</v>
      </c>
      <c r="AP73" s="289" t="s">
        <v>543</v>
      </c>
      <c r="AQ73" s="289" t="s">
        <v>552</v>
      </c>
      <c r="AR73" s="289" t="s">
        <v>556</v>
      </c>
      <c r="AS73" s="289" t="s">
        <v>572</v>
      </c>
      <c r="AT73" s="289" t="s">
        <v>574</v>
      </c>
      <c r="AU73" s="289" t="s">
        <v>575</v>
      </c>
      <c r="AV73" s="289" t="s">
        <v>576</v>
      </c>
      <c r="AW73" s="289" t="s">
        <v>577</v>
      </c>
      <c r="AX73" s="289" t="s">
        <v>578</v>
      </c>
      <c r="AY73" s="289" t="s">
        <v>579</v>
      </c>
      <c r="AZ73" s="289" t="s">
        <v>580</v>
      </c>
      <c r="BA73" s="289" t="s">
        <v>581</v>
      </c>
      <c r="BB73" s="289" t="s">
        <v>582</v>
      </c>
      <c r="BC73" s="289" t="s">
        <v>583</v>
      </c>
      <c r="BD73" s="289" t="s">
        <v>584</v>
      </c>
      <c r="BE73" s="289" t="s">
        <v>585</v>
      </c>
      <c r="BF73" s="289" t="s">
        <v>586</v>
      </c>
      <c r="BG73" s="289" t="s">
        <v>587</v>
      </c>
      <c r="BH73" s="289" t="s">
        <v>588</v>
      </c>
      <c r="BI73" s="289" t="s">
        <v>589</v>
      </c>
      <c r="BJ73" s="289" t="s">
        <v>590</v>
      </c>
      <c r="BK73" s="289" t="s">
        <v>623</v>
      </c>
      <c r="BL73" s="289" t="s">
        <v>624</v>
      </c>
      <c r="BM73" s="301" t="s">
        <v>632</v>
      </c>
    </row>
    <row r="74" spans="6:65" s="289" customFormat="1" ht="12.75">
      <c r="F74" s="289">
        <v>5</v>
      </c>
      <c r="G74" s="289" t="s">
        <v>118</v>
      </c>
      <c r="H74" s="289">
        <v>860</v>
      </c>
      <c r="I74" s="289">
        <v>124</v>
      </c>
      <c r="J74" s="289">
        <v>752</v>
      </c>
      <c r="K74" s="289">
        <v>442</v>
      </c>
      <c r="L74" s="289">
        <v>7148</v>
      </c>
      <c r="M74" s="289">
        <v>1127</v>
      </c>
      <c r="N74" s="289">
        <v>817</v>
      </c>
      <c r="O74" s="289">
        <v>316</v>
      </c>
      <c r="P74" s="289">
        <v>10268</v>
      </c>
      <c r="Q74" s="289">
        <v>0</v>
      </c>
      <c r="R74" s="289">
        <v>10</v>
      </c>
      <c r="S74" s="289">
        <v>1008.74</v>
      </c>
      <c r="T74" s="289">
        <v>10.179035232071694</v>
      </c>
      <c r="U74" s="289">
        <v>0</v>
      </c>
      <c r="V74" s="289">
        <v>0</v>
      </c>
      <c r="W74" s="289">
        <v>3754</v>
      </c>
      <c r="X74" s="289">
        <v>467</v>
      </c>
      <c r="Y74" s="289">
        <v>69</v>
      </c>
      <c r="Z74" s="289">
        <v>0.9007799909680237</v>
      </c>
      <c r="AA74" s="289">
        <v>16</v>
      </c>
      <c r="AB74" s="289">
        <v>16</v>
      </c>
      <c r="AC74" s="289">
        <v>0.9374395098032704</v>
      </c>
      <c r="AD74" s="289">
        <v>692</v>
      </c>
      <c r="AE74" s="289">
        <v>94</v>
      </c>
      <c r="AF74" s="289">
        <v>33</v>
      </c>
      <c r="AG74" s="289">
        <v>5</v>
      </c>
      <c r="AH74" s="289">
        <v>824</v>
      </c>
      <c r="AI74" s="289">
        <v>1.5734293051606278</v>
      </c>
      <c r="AJ74" s="289">
        <v>4355</v>
      </c>
      <c r="AK74" s="289">
        <v>394</v>
      </c>
      <c r="AL74" s="289">
        <v>0.9238416827169759</v>
      </c>
      <c r="AM74" s="289">
        <v>1.3859844279649154</v>
      </c>
      <c r="AN74" s="289">
        <v>0</v>
      </c>
      <c r="AO74" s="289">
        <v>0</v>
      </c>
      <c r="AP74" s="289">
        <f>MAX(AN74,AO74)</f>
        <v>0</v>
      </c>
      <c r="AQ74" s="289">
        <v>191146.63372095674</v>
      </c>
      <c r="AR74" s="289">
        <v>8816896.664756102</v>
      </c>
      <c r="AS74" s="289">
        <v>1</v>
      </c>
      <c r="AT74" s="289">
        <v>10268</v>
      </c>
      <c r="AU74" s="289">
        <v>0</v>
      </c>
      <c r="AV74" s="289">
        <v>0</v>
      </c>
      <c r="AW74" s="289">
        <v>0</v>
      </c>
      <c r="AX74" s="289">
        <v>0</v>
      </c>
      <c r="AY74" s="289">
        <v>1008.75</v>
      </c>
      <c r="AZ74" s="289">
        <v>10.178934324659231</v>
      </c>
      <c r="BA74" s="289">
        <v>6052</v>
      </c>
      <c r="BB74" s="289">
        <v>0.5894039735099338</v>
      </c>
      <c r="BC74" s="289">
        <v>0</v>
      </c>
      <c r="BD74" s="289">
        <v>0</v>
      </c>
      <c r="BE74" s="289">
        <v>10573</v>
      </c>
      <c r="BF74" s="289">
        <v>10268</v>
      </c>
      <c r="BG74" s="289">
        <v>-0.028847063274378134</v>
      </c>
      <c r="BH74" s="289">
        <v>0</v>
      </c>
      <c r="BI74" s="289">
        <v>0</v>
      </c>
      <c r="BJ74" s="289">
        <v>0</v>
      </c>
      <c r="BK74" s="289">
        <v>2114868.0941913426</v>
      </c>
      <c r="BL74" s="289">
        <v>6886.82</v>
      </c>
      <c r="BM74" s="301">
        <v>3478</v>
      </c>
    </row>
    <row r="75" spans="6:65" s="289" customFormat="1" ht="12.75">
      <c r="F75" s="289">
        <v>9</v>
      </c>
      <c r="G75" s="289" t="s">
        <v>119</v>
      </c>
      <c r="H75" s="289">
        <v>255</v>
      </c>
      <c r="I75" s="289">
        <v>33</v>
      </c>
      <c r="J75" s="289">
        <v>225</v>
      </c>
      <c r="K75" s="289">
        <v>112</v>
      </c>
      <c r="L75" s="289">
        <v>1950</v>
      </c>
      <c r="M75" s="289">
        <v>247</v>
      </c>
      <c r="N75" s="289">
        <v>241</v>
      </c>
      <c r="O75" s="289">
        <v>68</v>
      </c>
      <c r="P75" s="289">
        <v>2761</v>
      </c>
      <c r="Q75" s="289">
        <v>0</v>
      </c>
      <c r="R75" s="289">
        <v>5</v>
      </c>
      <c r="S75" s="289">
        <v>251.36</v>
      </c>
      <c r="T75" s="289">
        <v>10.984245703373647</v>
      </c>
      <c r="U75" s="289">
        <v>0</v>
      </c>
      <c r="V75" s="289">
        <v>0</v>
      </c>
      <c r="W75" s="289">
        <v>1059</v>
      </c>
      <c r="X75" s="289">
        <v>199</v>
      </c>
      <c r="Y75" s="289">
        <v>18</v>
      </c>
      <c r="Z75" s="289">
        <v>0.8354935289313696</v>
      </c>
      <c r="AA75" s="289">
        <v>4</v>
      </c>
      <c r="AB75" s="289">
        <v>2</v>
      </c>
      <c r="AC75" s="289">
        <v>0.43578544398134644</v>
      </c>
      <c r="AD75" s="289">
        <v>183</v>
      </c>
      <c r="AE75" s="289">
        <v>16</v>
      </c>
      <c r="AF75" s="289">
        <v>6</v>
      </c>
      <c r="AG75" s="289">
        <v>0</v>
      </c>
      <c r="AH75" s="289">
        <v>205</v>
      </c>
      <c r="AI75" s="289">
        <v>1.4557719174514705</v>
      </c>
      <c r="AJ75" s="289">
        <v>1179</v>
      </c>
      <c r="AK75" s="289">
        <v>110</v>
      </c>
      <c r="AL75" s="289">
        <v>0.9527267754777285</v>
      </c>
      <c r="AM75" s="289">
        <v>1.4725846456216678</v>
      </c>
      <c r="AN75" s="289">
        <v>0</v>
      </c>
      <c r="AO75" s="289">
        <v>0</v>
      </c>
      <c r="AP75" s="289">
        <f aca="true" t="shared" si="0" ref="AP75:AP138">MAX(AN75,AO75)</f>
        <v>0</v>
      </c>
      <c r="AQ75" s="289">
        <v>-17372.005542550236</v>
      </c>
      <c r="AR75" s="289">
        <v>2583759.0268604653</v>
      </c>
      <c r="AS75" s="289">
        <v>1</v>
      </c>
      <c r="AT75" s="289">
        <v>2761</v>
      </c>
      <c r="AU75" s="289">
        <v>0</v>
      </c>
      <c r="AV75" s="289">
        <v>0</v>
      </c>
      <c r="AW75" s="289">
        <v>0</v>
      </c>
      <c r="AX75" s="289">
        <v>0</v>
      </c>
      <c r="AY75" s="289">
        <v>251.37</v>
      </c>
      <c r="AZ75" s="289">
        <v>10.983808728169631</v>
      </c>
      <c r="BA75" s="289">
        <v>1396</v>
      </c>
      <c r="BB75" s="289">
        <v>0.5056139080043462</v>
      </c>
      <c r="BC75" s="289">
        <v>0</v>
      </c>
      <c r="BD75" s="289">
        <v>0</v>
      </c>
      <c r="BE75" s="289">
        <v>2776</v>
      </c>
      <c r="BF75" s="289">
        <v>2761</v>
      </c>
      <c r="BG75" s="289">
        <v>-0.005403458213256484</v>
      </c>
      <c r="BH75" s="289">
        <v>0</v>
      </c>
      <c r="BI75" s="289">
        <v>0</v>
      </c>
      <c r="BJ75" s="289">
        <v>0</v>
      </c>
      <c r="BK75" s="289">
        <v>596134.6889996743</v>
      </c>
      <c r="BL75" s="289">
        <v>6846.94</v>
      </c>
      <c r="BM75" s="301">
        <v>1037</v>
      </c>
    </row>
    <row r="76" spans="6:65" s="289" customFormat="1" ht="12.75">
      <c r="F76" s="289">
        <v>10</v>
      </c>
      <c r="G76" s="289" t="s">
        <v>120</v>
      </c>
      <c r="H76" s="289">
        <v>998</v>
      </c>
      <c r="I76" s="289">
        <v>157</v>
      </c>
      <c r="J76" s="289">
        <v>871</v>
      </c>
      <c r="K76" s="289">
        <v>477</v>
      </c>
      <c r="L76" s="289">
        <v>8529</v>
      </c>
      <c r="M76" s="289">
        <v>1405</v>
      </c>
      <c r="N76" s="289">
        <v>1003</v>
      </c>
      <c r="O76" s="289">
        <v>406</v>
      </c>
      <c r="P76" s="289">
        <v>12341</v>
      </c>
      <c r="Q76" s="289">
        <v>0</v>
      </c>
      <c r="R76" s="289">
        <v>12</v>
      </c>
      <c r="S76" s="289">
        <v>1088.16</v>
      </c>
      <c r="T76" s="289">
        <v>11.341163064255255</v>
      </c>
      <c r="U76" s="289">
        <v>0</v>
      </c>
      <c r="V76" s="289">
        <v>0</v>
      </c>
      <c r="W76" s="289">
        <v>4809</v>
      </c>
      <c r="X76" s="289">
        <v>549</v>
      </c>
      <c r="Y76" s="289">
        <v>67</v>
      </c>
      <c r="Z76" s="289">
        <v>0.9162142549551977</v>
      </c>
      <c r="AA76" s="289">
        <v>16</v>
      </c>
      <c r="AB76" s="289">
        <v>16</v>
      </c>
      <c r="AC76" s="289">
        <v>0.7799715490365433</v>
      </c>
      <c r="AD76" s="289">
        <v>805</v>
      </c>
      <c r="AE76" s="289">
        <v>96</v>
      </c>
      <c r="AF76" s="289">
        <v>33</v>
      </c>
      <c r="AG76" s="289">
        <v>4</v>
      </c>
      <c r="AH76" s="289">
        <v>938</v>
      </c>
      <c r="AI76" s="289">
        <v>1.490247387040356</v>
      </c>
      <c r="AJ76" s="289">
        <v>5318</v>
      </c>
      <c r="AK76" s="289">
        <v>442</v>
      </c>
      <c r="AL76" s="289">
        <v>0.848718027596504</v>
      </c>
      <c r="AM76" s="289">
        <v>1.3869587564597967</v>
      </c>
      <c r="AN76" s="289">
        <v>0</v>
      </c>
      <c r="AO76" s="289">
        <v>0</v>
      </c>
      <c r="AP76" s="289">
        <f t="shared" si="0"/>
        <v>0</v>
      </c>
      <c r="AQ76" s="289">
        <v>-158146.872291727</v>
      </c>
      <c r="AR76" s="289">
        <v>10909365.39380685</v>
      </c>
      <c r="AS76" s="289">
        <v>1</v>
      </c>
      <c r="AT76" s="289">
        <v>12341</v>
      </c>
      <c r="AU76" s="289">
        <v>0</v>
      </c>
      <c r="AV76" s="289">
        <v>0</v>
      </c>
      <c r="AW76" s="289">
        <v>0</v>
      </c>
      <c r="AX76" s="289">
        <v>0</v>
      </c>
      <c r="AY76" s="289">
        <v>1088.17</v>
      </c>
      <c r="AZ76" s="289">
        <v>11.341058841908891</v>
      </c>
      <c r="BA76" s="289">
        <v>7091</v>
      </c>
      <c r="BB76" s="289">
        <v>0.5745887691435054</v>
      </c>
      <c r="BC76" s="289">
        <v>0</v>
      </c>
      <c r="BD76" s="289">
        <v>0</v>
      </c>
      <c r="BE76" s="289">
        <v>12586</v>
      </c>
      <c r="BF76" s="289">
        <v>12341</v>
      </c>
      <c r="BG76" s="289">
        <v>-0.01946607341490545</v>
      </c>
      <c r="BH76" s="289">
        <v>0</v>
      </c>
      <c r="BI76" s="289">
        <v>1</v>
      </c>
      <c r="BJ76" s="289">
        <v>8.103071063933231E-05</v>
      </c>
      <c r="BK76" s="289">
        <v>2718127.502941551</v>
      </c>
      <c r="BL76" s="289">
        <v>6814.83</v>
      </c>
      <c r="BM76" s="301">
        <v>2963</v>
      </c>
    </row>
    <row r="77" spans="6:65" s="289" customFormat="1" ht="12.75">
      <c r="F77" s="289">
        <v>16</v>
      </c>
      <c r="G77" s="289" t="s">
        <v>121</v>
      </c>
      <c r="H77" s="289">
        <v>541</v>
      </c>
      <c r="I77" s="289">
        <v>88</v>
      </c>
      <c r="J77" s="289">
        <v>525</v>
      </c>
      <c r="K77" s="289">
        <v>264</v>
      </c>
      <c r="L77" s="289">
        <v>5714</v>
      </c>
      <c r="M77" s="289">
        <v>1246</v>
      </c>
      <c r="N77" s="289">
        <v>707</v>
      </c>
      <c r="O77" s="289">
        <v>253</v>
      </c>
      <c r="P77" s="289">
        <v>8461</v>
      </c>
      <c r="Q77" s="289">
        <v>0</v>
      </c>
      <c r="R77" s="289">
        <v>7</v>
      </c>
      <c r="S77" s="289">
        <v>563.38</v>
      </c>
      <c r="T77" s="289">
        <v>15.018282509141255</v>
      </c>
      <c r="U77" s="289">
        <v>1</v>
      </c>
      <c r="V77" s="289">
        <v>0</v>
      </c>
      <c r="W77" s="289">
        <v>3350</v>
      </c>
      <c r="X77" s="289">
        <v>290</v>
      </c>
      <c r="Y77" s="289">
        <v>61</v>
      </c>
      <c r="Z77" s="289">
        <v>0.940716188806971</v>
      </c>
      <c r="AA77" s="289">
        <v>16</v>
      </c>
      <c r="AB77" s="289">
        <v>16</v>
      </c>
      <c r="AC77" s="289">
        <v>1.1376467186691857</v>
      </c>
      <c r="AD77" s="289">
        <v>450</v>
      </c>
      <c r="AE77" s="289">
        <v>37</v>
      </c>
      <c r="AF77" s="289">
        <v>13</v>
      </c>
      <c r="AG77" s="289">
        <v>0</v>
      </c>
      <c r="AH77" s="289">
        <v>500</v>
      </c>
      <c r="AI77" s="289">
        <v>1.1586551390983333</v>
      </c>
      <c r="AJ77" s="289">
        <v>3723</v>
      </c>
      <c r="AK77" s="289">
        <v>315</v>
      </c>
      <c r="AL77" s="289">
        <v>0.8639866029614345</v>
      </c>
      <c r="AM77" s="289">
        <v>0.9699660490184695</v>
      </c>
      <c r="AN77" s="289">
        <v>0</v>
      </c>
      <c r="AO77" s="289">
        <v>0</v>
      </c>
      <c r="AP77" s="289">
        <f t="shared" si="0"/>
        <v>0</v>
      </c>
      <c r="AQ77" s="289">
        <v>98970.00168253854</v>
      </c>
      <c r="AR77" s="289">
        <v>2160078.3128750008</v>
      </c>
      <c r="AS77" s="289">
        <v>1</v>
      </c>
      <c r="AT77" s="289">
        <v>8461</v>
      </c>
      <c r="AU77" s="289">
        <v>1</v>
      </c>
      <c r="AV77" s="289">
        <v>521</v>
      </c>
      <c r="AW77" s="289">
        <v>0.061576645786550054</v>
      </c>
      <c r="AX77" s="289">
        <v>0</v>
      </c>
      <c r="AY77" s="289">
        <v>563.37</v>
      </c>
      <c r="AZ77" s="289">
        <v>15.018549088520865</v>
      </c>
      <c r="BA77" s="289">
        <v>5323</v>
      </c>
      <c r="BB77" s="289">
        <v>0.6291218532088405</v>
      </c>
      <c r="BC77" s="289">
        <v>0</v>
      </c>
      <c r="BD77" s="289">
        <v>0</v>
      </c>
      <c r="BE77" s="289">
        <v>8551</v>
      </c>
      <c r="BF77" s="289">
        <v>8461</v>
      </c>
      <c r="BG77" s="289">
        <v>-0.010525084785405215</v>
      </c>
      <c r="BH77" s="289">
        <v>0</v>
      </c>
      <c r="BI77" s="289">
        <v>4</v>
      </c>
      <c r="BJ77" s="289">
        <v>0.00047275735728637277</v>
      </c>
      <c r="BK77" s="289">
        <v>1695083.2070367457</v>
      </c>
      <c r="BL77" s="289">
        <v>6623</v>
      </c>
      <c r="BM77" s="301">
        <v>2220</v>
      </c>
    </row>
    <row r="78" spans="6:65" s="289" customFormat="1" ht="12.75">
      <c r="F78" s="289">
        <v>18</v>
      </c>
      <c r="G78" s="289" t="s">
        <v>122</v>
      </c>
      <c r="H78" s="289">
        <v>469</v>
      </c>
      <c r="I78" s="289">
        <v>66</v>
      </c>
      <c r="J78" s="289">
        <v>440</v>
      </c>
      <c r="K78" s="289">
        <v>200</v>
      </c>
      <c r="L78" s="289">
        <v>3769</v>
      </c>
      <c r="M78" s="289">
        <v>432</v>
      </c>
      <c r="N78" s="289">
        <v>215</v>
      </c>
      <c r="O78" s="289">
        <v>103</v>
      </c>
      <c r="P78" s="289">
        <v>4988</v>
      </c>
      <c r="Q78" s="289">
        <v>17</v>
      </c>
      <c r="R78" s="289">
        <v>14</v>
      </c>
      <c r="S78" s="289">
        <v>212.41</v>
      </c>
      <c r="T78" s="289">
        <v>23.482886869733065</v>
      </c>
      <c r="U78" s="289">
        <v>0</v>
      </c>
      <c r="V78" s="289">
        <v>0</v>
      </c>
      <c r="W78" s="289">
        <v>2327</v>
      </c>
      <c r="X78" s="289">
        <v>147</v>
      </c>
      <c r="Y78" s="289">
        <v>27</v>
      </c>
      <c r="Z78" s="289">
        <v>0.9722425090815573</v>
      </c>
      <c r="AA78" s="289">
        <v>5</v>
      </c>
      <c r="AB78" s="289">
        <v>5</v>
      </c>
      <c r="AC78" s="289">
        <v>0.6030491233121981</v>
      </c>
      <c r="AD78" s="289">
        <v>152</v>
      </c>
      <c r="AE78" s="289">
        <v>22</v>
      </c>
      <c r="AF78" s="289">
        <v>9</v>
      </c>
      <c r="AG78" s="289">
        <v>0</v>
      </c>
      <c r="AH78" s="289">
        <v>183</v>
      </c>
      <c r="AI78" s="289">
        <v>0.7193339002164045</v>
      </c>
      <c r="AJ78" s="289">
        <v>2476</v>
      </c>
      <c r="AK78" s="289">
        <v>157</v>
      </c>
      <c r="AL78" s="289">
        <v>0.6474981066281905</v>
      </c>
      <c r="AM78" s="289">
        <v>0.7396598225252328</v>
      </c>
      <c r="AN78" s="289">
        <v>0</v>
      </c>
      <c r="AO78" s="289">
        <v>0</v>
      </c>
      <c r="AP78" s="289">
        <f t="shared" si="0"/>
        <v>0</v>
      </c>
      <c r="AQ78" s="289">
        <v>113498.53809232544</v>
      </c>
      <c r="AR78" s="289">
        <v>302665.8700000002</v>
      </c>
      <c r="AS78" s="289">
        <v>0</v>
      </c>
      <c r="AT78" s="289">
        <v>4988</v>
      </c>
      <c r="AU78" s="289">
        <v>0</v>
      </c>
      <c r="AV78" s="289">
        <v>0</v>
      </c>
      <c r="AW78" s="289">
        <v>0</v>
      </c>
      <c r="AX78" s="289">
        <v>0</v>
      </c>
      <c r="AY78" s="289">
        <v>212.42</v>
      </c>
      <c r="AZ78" s="289">
        <v>23.48178137651822</v>
      </c>
      <c r="BA78" s="289">
        <v>2618</v>
      </c>
      <c r="BB78" s="289">
        <v>0.52485966319166</v>
      </c>
      <c r="BC78" s="289">
        <v>0</v>
      </c>
      <c r="BD78" s="289">
        <v>0</v>
      </c>
      <c r="BE78" s="289">
        <v>4831</v>
      </c>
      <c r="BF78" s="289">
        <v>4988</v>
      </c>
      <c r="BG78" s="289">
        <v>0.032498447526392055</v>
      </c>
      <c r="BH78" s="289">
        <v>0</v>
      </c>
      <c r="BI78" s="289">
        <v>1</v>
      </c>
      <c r="BJ78" s="289">
        <v>0.00020048115477145148</v>
      </c>
      <c r="BK78" s="289">
        <v>826795.5617262768</v>
      </c>
      <c r="BL78" s="289">
        <v>6350.46</v>
      </c>
      <c r="BM78" s="301">
        <v>1695</v>
      </c>
    </row>
    <row r="79" spans="6:65" s="289" customFormat="1" ht="12.75">
      <c r="F79" s="289">
        <v>19</v>
      </c>
      <c r="G79" s="289" t="s">
        <v>123</v>
      </c>
      <c r="H79" s="289">
        <v>364</v>
      </c>
      <c r="I79" s="289">
        <v>47</v>
      </c>
      <c r="J79" s="289">
        <v>344</v>
      </c>
      <c r="K79" s="289">
        <v>168</v>
      </c>
      <c r="L79" s="289">
        <v>2998</v>
      </c>
      <c r="M79" s="289">
        <v>361</v>
      </c>
      <c r="N79" s="289">
        <v>177</v>
      </c>
      <c r="O79" s="289">
        <v>71</v>
      </c>
      <c r="P79" s="289">
        <v>3971</v>
      </c>
      <c r="Q79" s="289">
        <v>3</v>
      </c>
      <c r="R79" s="289">
        <v>19</v>
      </c>
      <c r="S79" s="289">
        <v>95</v>
      </c>
      <c r="T79" s="289">
        <v>41.8</v>
      </c>
      <c r="U79" s="289">
        <v>0</v>
      </c>
      <c r="V79" s="289">
        <v>0</v>
      </c>
      <c r="W79" s="289">
        <v>1897</v>
      </c>
      <c r="X79" s="289">
        <v>73</v>
      </c>
      <c r="Y79" s="289">
        <v>29</v>
      </c>
      <c r="Z79" s="289">
        <v>0.9943152061658083</v>
      </c>
      <c r="AA79" s="289">
        <v>3</v>
      </c>
      <c r="AB79" s="289">
        <v>2</v>
      </c>
      <c r="AC79" s="289">
        <v>0.3029976355659777</v>
      </c>
      <c r="AD79" s="289">
        <v>146</v>
      </c>
      <c r="AE79" s="289">
        <v>39</v>
      </c>
      <c r="AF79" s="289">
        <v>6</v>
      </c>
      <c r="AG79" s="289">
        <v>3</v>
      </c>
      <c r="AH79" s="289">
        <v>194</v>
      </c>
      <c r="AI79" s="289">
        <v>0.9578725457520694</v>
      </c>
      <c r="AJ79" s="289">
        <v>1984</v>
      </c>
      <c r="AK79" s="289">
        <v>137</v>
      </c>
      <c r="AL79" s="289">
        <v>0.7051286975599759</v>
      </c>
      <c r="AM79" s="289">
        <v>0.8520804630787737</v>
      </c>
      <c r="AN79" s="289">
        <v>0</v>
      </c>
      <c r="AO79" s="289">
        <v>0</v>
      </c>
      <c r="AP79" s="289">
        <f t="shared" si="0"/>
        <v>0</v>
      </c>
      <c r="AQ79" s="289">
        <v>-55272.213284444064</v>
      </c>
      <c r="AR79" s="289">
        <v>1011671.3411111109</v>
      </c>
      <c r="AS79" s="289">
        <v>0</v>
      </c>
      <c r="AT79" s="289">
        <v>3971</v>
      </c>
      <c r="AU79" s="289">
        <v>0</v>
      </c>
      <c r="AV79" s="289">
        <v>0</v>
      </c>
      <c r="AW79" s="289">
        <v>0</v>
      </c>
      <c r="AX79" s="289">
        <v>0</v>
      </c>
      <c r="AY79" s="289">
        <v>94.99</v>
      </c>
      <c r="AZ79" s="289">
        <v>41.804400463206655</v>
      </c>
      <c r="BA79" s="289">
        <v>2651</v>
      </c>
      <c r="BB79" s="289">
        <v>0.667590027700831</v>
      </c>
      <c r="BC79" s="289">
        <v>0</v>
      </c>
      <c r="BD79" s="289">
        <v>0</v>
      </c>
      <c r="BE79" s="289">
        <v>3840</v>
      </c>
      <c r="BF79" s="289">
        <v>3971</v>
      </c>
      <c r="BG79" s="289">
        <v>0.03411458333333333</v>
      </c>
      <c r="BH79" s="289">
        <v>0</v>
      </c>
      <c r="BI79" s="289">
        <v>1</v>
      </c>
      <c r="BJ79" s="289">
        <v>0.0002518257365902795</v>
      </c>
      <c r="BK79" s="289">
        <v>559519.107300112</v>
      </c>
      <c r="BL79" s="289">
        <v>5988.18</v>
      </c>
      <c r="BM79" s="301">
        <v>1432</v>
      </c>
    </row>
    <row r="80" spans="6:65" s="289" customFormat="1" ht="12.75">
      <c r="F80" s="289">
        <v>20</v>
      </c>
      <c r="G80" s="289" t="s">
        <v>117</v>
      </c>
      <c r="H80" s="289">
        <v>1493</v>
      </c>
      <c r="I80" s="289">
        <v>223</v>
      </c>
      <c r="J80" s="289">
        <v>1307</v>
      </c>
      <c r="K80" s="289">
        <v>625</v>
      </c>
      <c r="L80" s="289">
        <v>12422</v>
      </c>
      <c r="M80" s="289">
        <v>1723</v>
      </c>
      <c r="N80" s="289">
        <v>1048</v>
      </c>
      <c r="O80" s="289">
        <v>448</v>
      </c>
      <c r="P80" s="289">
        <v>17134</v>
      </c>
      <c r="Q80" s="289">
        <v>5</v>
      </c>
      <c r="R80" s="289">
        <v>27</v>
      </c>
      <c r="S80" s="289">
        <v>293.14</v>
      </c>
      <c r="T80" s="289">
        <v>58.449887425803375</v>
      </c>
      <c r="U80" s="289">
        <v>0</v>
      </c>
      <c r="V80" s="289">
        <v>0</v>
      </c>
      <c r="W80" s="289">
        <v>7243</v>
      </c>
      <c r="X80" s="289">
        <v>204</v>
      </c>
      <c r="Y80" s="289">
        <v>79</v>
      </c>
      <c r="Z80" s="289">
        <v>1.0097589554207487</v>
      </c>
      <c r="AA80" s="289">
        <v>33</v>
      </c>
      <c r="AB80" s="289">
        <v>33</v>
      </c>
      <c r="AC80" s="289">
        <v>1.158682127859006</v>
      </c>
      <c r="AD80" s="289">
        <v>817</v>
      </c>
      <c r="AE80" s="289">
        <v>176</v>
      </c>
      <c r="AF80" s="289">
        <v>26</v>
      </c>
      <c r="AG80" s="289">
        <v>9</v>
      </c>
      <c r="AH80" s="289">
        <v>1028</v>
      </c>
      <c r="AI80" s="289">
        <v>1.176359963068111</v>
      </c>
      <c r="AJ80" s="289">
        <v>7973</v>
      </c>
      <c r="AK80" s="289">
        <v>828</v>
      </c>
      <c r="AL80" s="289">
        <v>1.0604692096537909</v>
      </c>
      <c r="AM80" s="289">
        <v>0.8730931383567914</v>
      </c>
      <c r="AN80" s="289">
        <v>0</v>
      </c>
      <c r="AO80" s="289">
        <v>0</v>
      </c>
      <c r="AP80" s="289">
        <f t="shared" si="0"/>
        <v>0</v>
      </c>
      <c r="AQ80" s="289">
        <v>-115745.45612722076</v>
      </c>
      <c r="AR80" s="289">
        <v>4667799.611898745</v>
      </c>
      <c r="AS80" s="289">
        <v>1</v>
      </c>
      <c r="AT80" s="289">
        <v>17134</v>
      </c>
      <c r="AU80" s="289">
        <v>0</v>
      </c>
      <c r="AV80" s="289">
        <v>0</v>
      </c>
      <c r="AW80" s="289">
        <v>0</v>
      </c>
      <c r="AX80" s="289">
        <v>0</v>
      </c>
      <c r="AY80" s="289">
        <v>293.14</v>
      </c>
      <c r="AZ80" s="289">
        <v>58.449887425803375</v>
      </c>
      <c r="BA80" s="289">
        <v>14767</v>
      </c>
      <c r="BB80" s="289">
        <v>0.8618536243725925</v>
      </c>
      <c r="BC80" s="289">
        <v>0</v>
      </c>
      <c r="BD80" s="289">
        <v>0</v>
      </c>
      <c r="BE80" s="289">
        <v>16858</v>
      </c>
      <c r="BF80" s="289">
        <v>17134</v>
      </c>
      <c r="BG80" s="289">
        <v>0.016372048878870567</v>
      </c>
      <c r="BH80" s="289">
        <v>0</v>
      </c>
      <c r="BI80" s="289">
        <v>1</v>
      </c>
      <c r="BJ80" s="289">
        <v>5.836348780203105E-05</v>
      </c>
      <c r="BK80" s="289">
        <v>2935597.9701744486</v>
      </c>
      <c r="BL80" s="289">
        <v>5953.25</v>
      </c>
      <c r="BM80" s="301">
        <v>5454</v>
      </c>
    </row>
    <row r="81" spans="6:65" s="289" customFormat="1" ht="12.75">
      <c r="F81" s="289">
        <v>46</v>
      </c>
      <c r="G81" s="289" t="s">
        <v>124</v>
      </c>
      <c r="H81" s="289">
        <v>92</v>
      </c>
      <c r="I81" s="289">
        <v>14</v>
      </c>
      <c r="J81" s="289">
        <v>77</v>
      </c>
      <c r="K81" s="289">
        <v>46</v>
      </c>
      <c r="L81" s="289">
        <v>968</v>
      </c>
      <c r="M81" s="289">
        <v>244</v>
      </c>
      <c r="N81" s="289">
        <v>163</v>
      </c>
      <c r="O81" s="289">
        <v>65</v>
      </c>
      <c r="P81" s="289">
        <v>1532</v>
      </c>
      <c r="Q81" s="289">
        <v>0</v>
      </c>
      <c r="R81" s="289">
        <v>6</v>
      </c>
      <c r="S81" s="289">
        <v>305.82</v>
      </c>
      <c r="T81" s="289">
        <v>5.00948270224315</v>
      </c>
      <c r="U81" s="289">
        <v>2</v>
      </c>
      <c r="V81" s="289">
        <v>0</v>
      </c>
      <c r="W81" s="289">
        <v>525</v>
      </c>
      <c r="X81" s="289">
        <v>119</v>
      </c>
      <c r="Y81" s="289">
        <v>9</v>
      </c>
      <c r="Z81" s="289">
        <v>0.7946175679536551</v>
      </c>
      <c r="AA81" s="289">
        <v>1</v>
      </c>
      <c r="AB81" s="289">
        <v>2</v>
      </c>
      <c r="AC81" s="289">
        <v>0.7853809470186015</v>
      </c>
      <c r="AD81" s="289">
        <v>113</v>
      </c>
      <c r="AE81" s="289">
        <v>4</v>
      </c>
      <c r="AF81" s="289">
        <v>0</v>
      </c>
      <c r="AG81" s="289">
        <v>2</v>
      </c>
      <c r="AH81" s="289">
        <v>119</v>
      </c>
      <c r="AI81" s="289">
        <v>1.5229795753229882</v>
      </c>
      <c r="AJ81" s="289">
        <v>678</v>
      </c>
      <c r="AK81" s="289">
        <v>91</v>
      </c>
      <c r="AL81" s="289">
        <v>1.3705698982868064</v>
      </c>
      <c r="AM81" s="289">
        <v>1.1512280110225166</v>
      </c>
      <c r="AN81" s="289">
        <v>0</v>
      </c>
      <c r="AO81" s="289">
        <v>0</v>
      </c>
      <c r="AP81" s="289">
        <f t="shared" si="0"/>
        <v>0</v>
      </c>
      <c r="AQ81" s="289">
        <v>129093.88504570909</v>
      </c>
      <c r="AR81" s="289">
        <v>1252159.1503797467</v>
      </c>
      <c r="AS81" s="289">
        <v>1</v>
      </c>
      <c r="AT81" s="289">
        <v>1532</v>
      </c>
      <c r="AU81" s="289">
        <v>2</v>
      </c>
      <c r="AV81" s="289">
        <v>0</v>
      </c>
      <c r="AW81" s="289">
        <v>0</v>
      </c>
      <c r="AX81" s="289">
        <v>0.11358333333333333</v>
      </c>
      <c r="AY81" s="289">
        <v>305.84</v>
      </c>
      <c r="AZ81" s="289">
        <v>5.009155113784986</v>
      </c>
      <c r="BA81" s="289">
        <v>623</v>
      </c>
      <c r="BB81" s="289">
        <v>0.4066579634464752</v>
      </c>
      <c r="BC81" s="289">
        <v>0</v>
      </c>
      <c r="BD81" s="289">
        <v>0</v>
      </c>
      <c r="BE81" s="289">
        <v>1617</v>
      </c>
      <c r="BF81" s="289">
        <v>1532</v>
      </c>
      <c r="BG81" s="289">
        <v>-0.05256648113790971</v>
      </c>
      <c r="BH81" s="289">
        <v>0</v>
      </c>
      <c r="BI81" s="289">
        <v>0</v>
      </c>
      <c r="BJ81" s="289">
        <v>0</v>
      </c>
      <c r="BK81" s="289">
        <v>396663.3586594099</v>
      </c>
      <c r="BL81" s="289">
        <v>7828.93</v>
      </c>
      <c r="BM81" s="301">
        <v>377</v>
      </c>
    </row>
    <row r="82" spans="6:65" s="289" customFormat="1" ht="12.75">
      <c r="F82" s="289">
        <v>47</v>
      </c>
      <c r="G82" s="289" t="s">
        <v>125</v>
      </c>
      <c r="H82" s="289">
        <v>119</v>
      </c>
      <c r="I82" s="289">
        <v>12</v>
      </c>
      <c r="J82" s="289">
        <v>82</v>
      </c>
      <c r="K82" s="289">
        <v>63</v>
      </c>
      <c r="L82" s="289">
        <v>1365</v>
      </c>
      <c r="M82" s="289">
        <v>236</v>
      </c>
      <c r="N82" s="289">
        <v>124</v>
      </c>
      <c r="O82" s="289">
        <v>36</v>
      </c>
      <c r="P82" s="289">
        <v>1880</v>
      </c>
      <c r="Q82" s="289">
        <v>0</v>
      </c>
      <c r="R82" s="289">
        <v>2</v>
      </c>
      <c r="S82" s="289">
        <v>7945.490000000001</v>
      </c>
      <c r="T82" s="289">
        <v>0.23661221649010947</v>
      </c>
      <c r="U82" s="289">
        <v>0</v>
      </c>
      <c r="V82" s="289">
        <v>0</v>
      </c>
      <c r="W82" s="289">
        <v>718</v>
      </c>
      <c r="X82" s="289">
        <v>75</v>
      </c>
      <c r="Y82" s="289">
        <v>21</v>
      </c>
      <c r="Z82" s="289">
        <v>0.9103175165245823</v>
      </c>
      <c r="AA82" s="289">
        <v>0</v>
      </c>
      <c r="AB82" s="289">
        <v>2</v>
      </c>
      <c r="AC82" s="289">
        <v>0.6400019206555838</v>
      </c>
      <c r="AD82" s="289">
        <v>119</v>
      </c>
      <c r="AE82" s="289">
        <v>13</v>
      </c>
      <c r="AF82" s="289">
        <v>3</v>
      </c>
      <c r="AG82" s="289">
        <v>0</v>
      </c>
      <c r="AH82" s="289">
        <v>135</v>
      </c>
      <c r="AI82" s="289">
        <v>1.4079323966042394</v>
      </c>
      <c r="AJ82" s="289">
        <v>891</v>
      </c>
      <c r="AK82" s="289">
        <v>162</v>
      </c>
      <c r="AL82" s="289">
        <v>1.8566361459309786</v>
      </c>
      <c r="AM82" s="289">
        <v>1.0717831846046941</v>
      </c>
      <c r="AN82" s="289">
        <v>0.17</v>
      </c>
      <c r="AO82" s="289">
        <v>0</v>
      </c>
      <c r="AP82" s="289">
        <f t="shared" si="0"/>
        <v>0.17</v>
      </c>
      <c r="AQ82" s="289">
        <v>358000.4534871001</v>
      </c>
      <c r="AR82" s="289">
        <v>1445963.642530121</v>
      </c>
      <c r="AS82" s="289">
        <v>1</v>
      </c>
      <c r="AT82" s="289">
        <v>1880</v>
      </c>
      <c r="AU82" s="289">
        <v>0</v>
      </c>
      <c r="AV82" s="289">
        <v>0</v>
      </c>
      <c r="AW82" s="289">
        <v>0</v>
      </c>
      <c r="AX82" s="289">
        <v>1.8982833333333333</v>
      </c>
      <c r="AY82" s="289">
        <v>7945.54</v>
      </c>
      <c r="AZ82" s="289">
        <v>0.23661072752764445</v>
      </c>
      <c r="BA82" s="289">
        <v>552</v>
      </c>
      <c r="BB82" s="289">
        <v>0.2936170212765957</v>
      </c>
      <c r="BC82" s="289">
        <v>0</v>
      </c>
      <c r="BD82" s="289">
        <v>1</v>
      </c>
      <c r="BE82" s="289">
        <v>1882</v>
      </c>
      <c r="BF82" s="289">
        <v>1880</v>
      </c>
      <c r="BG82" s="289">
        <v>-0.0010626992561105207</v>
      </c>
      <c r="BH82" s="289">
        <v>0</v>
      </c>
      <c r="BI82" s="289">
        <v>205</v>
      </c>
      <c r="BJ82" s="289">
        <v>0.10904255319148937</v>
      </c>
      <c r="BK82" s="289">
        <v>528942.0427650985</v>
      </c>
      <c r="BL82" s="289">
        <v>9985.91</v>
      </c>
      <c r="BM82" s="301">
        <v>506</v>
      </c>
    </row>
    <row r="83" spans="6:65" s="289" customFormat="1" ht="12.75">
      <c r="F83" s="289">
        <v>49</v>
      </c>
      <c r="G83" s="289" t="s">
        <v>126</v>
      </c>
      <c r="H83" s="289">
        <v>25005</v>
      </c>
      <c r="I83" s="289">
        <v>3554</v>
      </c>
      <c r="J83" s="289">
        <v>18987</v>
      </c>
      <c r="K83" s="289">
        <v>8904</v>
      </c>
      <c r="L83" s="289">
        <v>199361</v>
      </c>
      <c r="M83" s="289">
        <v>20451</v>
      </c>
      <c r="N83" s="289">
        <v>9088</v>
      </c>
      <c r="O83" s="289">
        <v>2919</v>
      </c>
      <c r="P83" s="289">
        <v>256824</v>
      </c>
      <c r="Q83" s="289">
        <v>2906</v>
      </c>
      <c r="R83" s="289">
        <v>3269</v>
      </c>
      <c r="S83" s="289">
        <v>312.2</v>
      </c>
      <c r="T83" s="289">
        <v>822.6265214606022</v>
      </c>
      <c r="U83" s="289">
        <v>1</v>
      </c>
      <c r="V83" s="289">
        <v>1</v>
      </c>
      <c r="W83" s="289">
        <v>125460</v>
      </c>
      <c r="X83" s="289">
        <v>194</v>
      </c>
      <c r="Y83" s="289">
        <v>1545</v>
      </c>
      <c r="Z83" s="289">
        <v>1.0362513218964675</v>
      </c>
      <c r="AA83" s="289">
        <v>448</v>
      </c>
      <c r="AB83" s="289">
        <v>448</v>
      </c>
      <c r="AC83" s="289">
        <v>1.0494253217241358</v>
      </c>
      <c r="AD83" s="289">
        <v>4866</v>
      </c>
      <c r="AE83" s="289">
        <v>1460</v>
      </c>
      <c r="AF83" s="289">
        <v>428</v>
      </c>
      <c r="AG83" s="289">
        <v>50</v>
      </c>
      <c r="AH83" s="289">
        <v>6804</v>
      </c>
      <c r="AI83" s="289">
        <v>0.5194390339027695</v>
      </c>
      <c r="AJ83" s="289">
        <v>130645</v>
      </c>
      <c r="AK83" s="289">
        <v>7687</v>
      </c>
      <c r="AL83" s="289">
        <v>0.6008327245263337</v>
      </c>
      <c r="AM83" s="289">
        <v>0.593593346367164</v>
      </c>
      <c r="AN83" s="289">
        <v>0</v>
      </c>
      <c r="AO83" s="289">
        <v>0</v>
      </c>
      <c r="AP83" s="289">
        <f t="shared" si="0"/>
        <v>0</v>
      </c>
      <c r="AQ83" s="289">
        <v>-266216.5658850074</v>
      </c>
      <c r="AR83" s="289">
        <v>-185621231.94625196</v>
      </c>
      <c r="AS83" s="289">
        <v>1</v>
      </c>
      <c r="AT83" s="289">
        <v>256824</v>
      </c>
      <c r="AU83" s="289">
        <v>1</v>
      </c>
      <c r="AV83" s="289">
        <v>672</v>
      </c>
      <c r="AW83" s="289">
        <v>0.00261657788991683</v>
      </c>
      <c r="AX83" s="289">
        <v>0</v>
      </c>
      <c r="AY83" s="289">
        <v>312.2</v>
      </c>
      <c r="AZ83" s="289">
        <v>822.6265214606022</v>
      </c>
      <c r="BA83" s="289">
        <v>251552</v>
      </c>
      <c r="BB83" s="289">
        <v>0.9794723234588668</v>
      </c>
      <c r="BC83" s="289">
        <v>1</v>
      </c>
      <c r="BD83" s="289">
        <v>0</v>
      </c>
      <c r="BE83" s="289">
        <v>244330</v>
      </c>
      <c r="BF83" s="289">
        <v>256824</v>
      </c>
      <c r="BG83" s="289">
        <v>0.051135759014447675</v>
      </c>
      <c r="BH83" s="289">
        <v>0</v>
      </c>
      <c r="BI83" s="289">
        <v>13</v>
      </c>
      <c r="BJ83" s="289">
        <v>5.0618322275176776E-05</v>
      </c>
      <c r="BK83" s="289">
        <v>21432841.780897632</v>
      </c>
      <c r="BL83" s="289">
        <v>6431.07</v>
      </c>
      <c r="BM83" s="301">
        <v>96041</v>
      </c>
    </row>
    <row r="84" spans="6:65" s="289" customFormat="1" ht="12.75">
      <c r="F84" s="289">
        <v>50</v>
      </c>
      <c r="G84" s="289" t="s">
        <v>127</v>
      </c>
      <c r="H84" s="289">
        <v>900</v>
      </c>
      <c r="I84" s="289">
        <v>145</v>
      </c>
      <c r="J84" s="289">
        <v>844</v>
      </c>
      <c r="K84" s="289">
        <v>438</v>
      </c>
      <c r="L84" s="289">
        <v>8588</v>
      </c>
      <c r="M84" s="289">
        <v>1544</v>
      </c>
      <c r="N84" s="289">
        <v>946</v>
      </c>
      <c r="O84" s="289">
        <v>428</v>
      </c>
      <c r="P84" s="289">
        <v>12406</v>
      </c>
      <c r="Q84" s="289">
        <v>0</v>
      </c>
      <c r="R84" s="289">
        <v>24</v>
      </c>
      <c r="S84" s="289">
        <v>578.7700000000001</v>
      </c>
      <c r="T84" s="289">
        <v>21.435112393524193</v>
      </c>
      <c r="U84" s="289">
        <v>0</v>
      </c>
      <c r="V84" s="289">
        <v>0</v>
      </c>
      <c r="W84" s="289">
        <v>5190</v>
      </c>
      <c r="X84" s="289">
        <v>376</v>
      </c>
      <c r="Y84" s="289">
        <v>67</v>
      </c>
      <c r="Z84" s="289">
        <v>0.9611226964346764</v>
      </c>
      <c r="AA84" s="289">
        <v>32</v>
      </c>
      <c r="AB84" s="289">
        <v>32</v>
      </c>
      <c r="AC84" s="289">
        <v>1.5517699317523745</v>
      </c>
      <c r="AD84" s="289">
        <v>559</v>
      </c>
      <c r="AE84" s="289">
        <v>102</v>
      </c>
      <c r="AF84" s="289">
        <v>30</v>
      </c>
      <c r="AG84" s="289">
        <v>10</v>
      </c>
      <c r="AH84" s="289">
        <v>701</v>
      </c>
      <c r="AI84" s="289">
        <v>1.1078784738787055</v>
      </c>
      <c r="AJ84" s="289">
        <v>5638</v>
      </c>
      <c r="AK84" s="289">
        <v>390</v>
      </c>
      <c r="AL84" s="289">
        <v>0.7063647628630628</v>
      </c>
      <c r="AM84" s="289">
        <v>1.0106120158303367</v>
      </c>
      <c r="AN84" s="289">
        <v>0</v>
      </c>
      <c r="AO84" s="289">
        <v>0</v>
      </c>
      <c r="AP84" s="289">
        <f t="shared" si="0"/>
        <v>0</v>
      </c>
      <c r="AQ84" s="289">
        <v>147021.0045784153</v>
      </c>
      <c r="AR84" s="289">
        <v>711372.9462195126</v>
      </c>
      <c r="AS84" s="289">
        <v>1</v>
      </c>
      <c r="AT84" s="289">
        <v>12406</v>
      </c>
      <c r="AU84" s="289">
        <v>0</v>
      </c>
      <c r="AV84" s="289">
        <v>0</v>
      </c>
      <c r="AW84" s="289">
        <v>0</v>
      </c>
      <c r="AX84" s="289">
        <v>0</v>
      </c>
      <c r="AY84" s="289">
        <v>578.86</v>
      </c>
      <c r="AZ84" s="289">
        <v>21.43177970493729</v>
      </c>
      <c r="BA84" s="289">
        <v>8719</v>
      </c>
      <c r="BB84" s="289">
        <v>0.7028050943092052</v>
      </c>
      <c r="BC84" s="289">
        <v>0</v>
      </c>
      <c r="BD84" s="289">
        <v>0</v>
      </c>
      <c r="BE84" s="289">
        <v>12554</v>
      </c>
      <c r="BF84" s="289">
        <v>12406</v>
      </c>
      <c r="BG84" s="289">
        <v>-0.011789071212362594</v>
      </c>
      <c r="BH84" s="289">
        <v>0</v>
      </c>
      <c r="BI84" s="289">
        <v>0</v>
      </c>
      <c r="BJ84" s="289">
        <v>0</v>
      </c>
      <c r="BK84" s="289">
        <v>2046741.2136023666</v>
      </c>
      <c r="BL84" s="289">
        <v>6389.83</v>
      </c>
      <c r="BM84" s="301">
        <v>3802</v>
      </c>
    </row>
    <row r="85" spans="6:65" s="289" customFormat="1" ht="12.75">
      <c r="F85" s="289">
        <v>51</v>
      </c>
      <c r="G85" s="289" t="s">
        <v>128</v>
      </c>
      <c r="H85" s="289">
        <v>523</v>
      </c>
      <c r="I85" s="289">
        <v>76</v>
      </c>
      <c r="J85" s="289">
        <v>428</v>
      </c>
      <c r="K85" s="289">
        <v>195</v>
      </c>
      <c r="L85" s="289">
        <v>4194</v>
      </c>
      <c r="M85" s="289">
        <v>687</v>
      </c>
      <c r="N85" s="289">
        <v>357</v>
      </c>
      <c r="O85" s="289">
        <v>161</v>
      </c>
      <c r="P85" s="289">
        <v>5922</v>
      </c>
      <c r="Q85" s="289">
        <v>0</v>
      </c>
      <c r="R85" s="289">
        <v>13</v>
      </c>
      <c r="S85" s="289">
        <v>345.39</v>
      </c>
      <c r="T85" s="289">
        <v>17.14583514288196</v>
      </c>
      <c r="U85" s="289">
        <v>0</v>
      </c>
      <c r="V85" s="289">
        <v>0</v>
      </c>
      <c r="W85" s="289">
        <v>2483</v>
      </c>
      <c r="X85" s="289">
        <v>147</v>
      </c>
      <c r="Y85" s="289">
        <v>46</v>
      </c>
      <c r="Z85" s="289">
        <v>0.9691382215917426</v>
      </c>
      <c r="AA85" s="289">
        <v>5</v>
      </c>
      <c r="AB85" s="289">
        <v>5</v>
      </c>
      <c r="AC85" s="289">
        <v>0.5079380322663363</v>
      </c>
      <c r="AD85" s="289">
        <v>254</v>
      </c>
      <c r="AE85" s="289">
        <v>40</v>
      </c>
      <c r="AF85" s="289">
        <v>9</v>
      </c>
      <c r="AG85" s="289">
        <v>4</v>
      </c>
      <c r="AH85" s="289">
        <v>307</v>
      </c>
      <c r="AI85" s="289">
        <v>1.0164262098941832</v>
      </c>
      <c r="AJ85" s="289">
        <v>2780</v>
      </c>
      <c r="AK85" s="289">
        <v>232</v>
      </c>
      <c r="AL85" s="289">
        <v>0.8521826338877442</v>
      </c>
      <c r="AM85" s="289">
        <v>0.9752762373769275</v>
      </c>
      <c r="AN85" s="289">
        <v>0</v>
      </c>
      <c r="AO85" s="289">
        <v>0</v>
      </c>
      <c r="AP85" s="289">
        <f t="shared" si="0"/>
        <v>0</v>
      </c>
      <c r="AQ85" s="289">
        <v>518807.43686433695</v>
      </c>
      <c r="AR85" s="289">
        <v>-1256793.4651499984</v>
      </c>
      <c r="AS85" s="289">
        <v>0</v>
      </c>
      <c r="AT85" s="289">
        <v>5922</v>
      </c>
      <c r="AU85" s="289">
        <v>0</v>
      </c>
      <c r="AV85" s="289">
        <v>0</v>
      </c>
      <c r="AW85" s="289">
        <v>0</v>
      </c>
      <c r="AX85" s="289">
        <v>0</v>
      </c>
      <c r="AY85" s="289">
        <v>345.39</v>
      </c>
      <c r="AZ85" s="289">
        <v>17.14583514288196</v>
      </c>
      <c r="BA85" s="289">
        <v>3719</v>
      </c>
      <c r="BB85" s="289">
        <v>0.6279972982100641</v>
      </c>
      <c r="BC85" s="289">
        <v>0</v>
      </c>
      <c r="BD85" s="289">
        <v>0</v>
      </c>
      <c r="BE85" s="289">
        <v>5874</v>
      </c>
      <c r="BF85" s="289">
        <v>5922</v>
      </c>
      <c r="BG85" s="289">
        <v>0.008171603677221655</v>
      </c>
      <c r="BH85" s="289">
        <v>0</v>
      </c>
      <c r="BI85" s="289">
        <v>0</v>
      </c>
      <c r="BJ85" s="289">
        <v>0</v>
      </c>
      <c r="BK85" s="289">
        <v>1722676.9727350269</v>
      </c>
      <c r="BL85" s="289">
        <v>6546.23</v>
      </c>
      <c r="BM85" s="301">
        <v>1851</v>
      </c>
    </row>
    <row r="86" spans="6:65" s="289" customFormat="1" ht="12.75">
      <c r="F86" s="289">
        <v>52</v>
      </c>
      <c r="G86" s="289" t="s">
        <v>129</v>
      </c>
      <c r="H86" s="289">
        <v>203</v>
      </c>
      <c r="I86" s="289">
        <v>28</v>
      </c>
      <c r="J86" s="289">
        <v>166</v>
      </c>
      <c r="K86" s="289">
        <v>98</v>
      </c>
      <c r="L86" s="289">
        <v>1814</v>
      </c>
      <c r="M86" s="289">
        <v>343</v>
      </c>
      <c r="N86" s="289">
        <v>240</v>
      </c>
      <c r="O86" s="289">
        <v>86</v>
      </c>
      <c r="P86" s="289">
        <v>2686</v>
      </c>
      <c r="Q86" s="289">
        <v>4</v>
      </c>
      <c r="R86" s="289">
        <v>7</v>
      </c>
      <c r="S86" s="289">
        <v>354.07</v>
      </c>
      <c r="T86" s="289">
        <v>7.586070551020985</v>
      </c>
      <c r="U86" s="289">
        <v>0</v>
      </c>
      <c r="V86" s="289">
        <v>0</v>
      </c>
      <c r="W86" s="289">
        <v>1121</v>
      </c>
      <c r="X86" s="289">
        <v>245</v>
      </c>
      <c r="Y86" s="289">
        <v>23</v>
      </c>
      <c r="Z86" s="289">
        <v>0.7995955670401463</v>
      </c>
      <c r="AA86" s="289">
        <v>6</v>
      </c>
      <c r="AB86" s="289">
        <v>6</v>
      </c>
      <c r="AC86" s="289">
        <v>1.3438610694331692</v>
      </c>
      <c r="AD86" s="289">
        <v>191</v>
      </c>
      <c r="AE86" s="289">
        <v>24</v>
      </c>
      <c r="AF86" s="289">
        <v>6</v>
      </c>
      <c r="AG86" s="289">
        <v>1</v>
      </c>
      <c r="AH86" s="289">
        <v>222</v>
      </c>
      <c r="AI86" s="289">
        <v>1.6205142302935531</v>
      </c>
      <c r="AJ86" s="289">
        <v>1188</v>
      </c>
      <c r="AK86" s="289">
        <v>72</v>
      </c>
      <c r="AL86" s="289">
        <v>0.6188787153103261</v>
      </c>
      <c r="AM86" s="289">
        <v>1.285453030165037</v>
      </c>
      <c r="AN86" s="289">
        <v>0</v>
      </c>
      <c r="AO86" s="289">
        <v>0</v>
      </c>
      <c r="AP86" s="289">
        <f t="shared" si="0"/>
        <v>0</v>
      </c>
      <c r="AQ86" s="289">
        <v>216915.193710112</v>
      </c>
      <c r="AR86" s="289">
        <v>2126622.1100000003</v>
      </c>
      <c r="AS86" s="289">
        <v>1</v>
      </c>
      <c r="AT86" s="289">
        <v>2686</v>
      </c>
      <c r="AU86" s="289">
        <v>0</v>
      </c>
      <c r="AV86" s="289">
        <v>0</v>
      </c>
      <c r="AW86" s="289">
        <v>0</v>
      </c>
      <c r="AX86" s="289">
        <v>0</v>
      </c>
      <c r="AY86" s="289">
        <v>354.01</v>
      </c>
      <c r="AZ86" s="289">
        <v>7.587356289370357</v>
      </c>
      <c r="BA86" s="289">
        <v>938</v>
      </c>
      <c r="BB86" s="289">
        <v>0.3492181682799702</v>
      </c>
      <c r="BC86" s="289">
        <v>0</v>
      </c>
      <c r="BD86" s="289">
        <v>0</v>
      </c>
      <c r="BE86" s="289">
        <v>2772</v>
      </c>
      <c r="BF86" s="289">
        <v>2686</v>
      </c>
      <c r="BG86" s="289">
        <v>-0.031024531024531024</v>
      </c>
      <c r="BH86" s="289">
        <v>0</v>
      </c>
      <c r="BI86" s="289">
        <v>0</v>
      </c>
      <c r="BJ86" s="289">
        <v>0</v>
      </c>
      <c r="BK86" s="289">
        <v>520867.96420812374</v>
      </c>
      <c r="BL86" s="289">
        <v>7120.92</v>
      </c>
      <c r="BM86" s="301">
        <v>900</v>
      </c>
    </row>
    <row r="87" spans="6:65" s="289" customFormat="1" ht="12.75">
      <c r="F87" s="289">
        <v>61</v>
      </c>
      <c r="G87" s="289" t="s">
        <v>130</v>
      </c>
      <c r="H87" s="289">
        <v>1051</v>
      </c>
      <c r="I87" s="289">
        <v>159</v>
      </c>
      <c r="J87" s="289">
        <v>953</v>
      </c>
      <c r="K87" s="289">
        <v>523</v>
      </c>
      <c r="L87" s="289">
        <v>12311</v>
      </c>
      <c r="M87" s="289">
        <v>2325</v>
      </c>
      <c r="N87" s="289">
        <v>1467</v>
      </c>
      <c r="O87" s="289">
        <v>573</v>
      </c>
      <c r="P87" s="289">
        <v>17727</v>
      </c>
      <c r="Q87" s="289">
        <v>2</v>
      </c>
      <c r="R87" s="289">
        <v>51</v>
      </c>
      <c r="S87" s="289">
        <v>248.78</v>
      </c>
      <c r="T87" s="289">
        <v>71.25572795240775</v>
      </c>
      <c r="U87" s="289">
        <v>0</v>
      </c>
      <c r="V87" s="289">
        <v>0</v>
      </c>
      <c r="W87" s="289">
        <v>7095</v>
      </c>
      <c r="X87" s="289">
        <v>201</v>
      </c>
      <c r="Y87" s="289">
        <v>82</v>
      </c>
      <c r="Z87" s="289">
        <v>1.0089025010598007</v>
      </c>
      <c r="AA87" s="289">
        <v>56</v>
      </c>
      <c r="AB87" s="289">
        <v>56</v>
      </c>
      <c r="AC87" s="289">
        <v>1.9004739156828527</v>
      </c>
      <c r="AD87" s="289">
        <v>912</v>
      </c>
      <c r="AE87" s="289">
        <v>104</v>
      </c>
      <c r="AF87" s="289">
        <v>35</v>
      </c>
      <c r="AG87" s="289">
        <v>0</v>
      </c>
      <c r="AH87" s="289">
        <v>1051</v>
      </c>
      <c r="AI87" s="289">
        <v>1.162447517305631</v>
      </c>
      <c r="AJ87" s="289">
        <v>8237</v>
      </c>
      <c r="AK87" s="289">
        <v>1100</v>
      </c>
      <c r="AL87" s="289">
        <v>1.363682005934493</v>
      </c>
      <c r="AM87" s="289">
        <v>1.3067034550199688</v>
      </c>
      <c r="AN87" s="289">
        <v>0</v>
      </c>
      <c r="AO87" s="289">
        <v>0</v>
      </c>
      <c r="AP87" s="289">
        <f t="shared" si="0"/>
        <v>0</v>
      </c>
      <c r="AQ87" s="289">
        <v>86203.58749876171</v>
      </c>
      <c r="AR87" s="289">
        <v>4594776.730384615</v>
      </c>
      <c r="AS87" s="289">
        <v>1</v>
      </c>
      <c r="AT87" s="289">
        <v>17727</v>
      </c>
      <c r="AU87" s="289">
        <v>0</v>
      </c>
      <c r="AV87" s="289">
        <v>0</v>
      </c>
      <c r="AW87" s="289">
        <v>0</v>
      </c>
      <c r="AX87" s="289">
        <v>0</v>
      </c>
      <c r="AY87" s="289">
        <v>248.78</v>
      </c>
      <c r="AZ87" s="289">
        <v>71.25572795240775</v>
      </c>
      <c r="BA87" s="289">
        <v>15945</v>
      </c>
      <c r="BB87" s="289">
        <v>0.8994753765442546</v>
      </c>
      <c r="BC87" s="289">
        <v>0</v>
      </c>
      <c r="BD87" s="289">
        <v>0</v>
      </c>
      <c r="BE87" s="289">
        <v>17807</v>
      </c>
      <c r="BF87" s="289">
        <v>17727</v>
      </c>
      <c r="BG87" s="289">
        <v>-0.0044926152636603585</v>
      </c>
      <c r="BH87" s="289">
        <v>0</v>
      </c>
      <c r="BI87" s="289">
        <v>1</v>
      </c>
      <c r="BJ87" s="289">
        <v>5.6411124273706776E-05</v>
      </c>
      <c r="BK87" s="289">
        <v>3623945.598305457</v>
      </c>
      <c r="BL87" s="289">
        <v>5983.3</v>
      </c>
      <c r="BM87" s="301">
        <v>5225</v>
      </c>
    </row>
    <row r="88" spans="6:65" s="289" customFormat="1" ht="12.75">
      <c r="F88" s="289">
        <v>69</v>
      </c>
      <c r="G88" s="289" t="s">
        <v>131</v>
      </c>
      <c r="H88" s="289">
        <v>693</v>
      </c>
      <c r="I88" s="289">
        <v>105</v>
      </c>
      <c r="J88" s="289">
        <v>633</v>
      </c>
      <c r="K88" s="289">
        <v>361</v>
      </c>
      <c r="L88" s="289">
        <v>5499</v>
      </c>
      <c r="M88" s="289">
        <v>778</v>
      </c>
      <c r="N88" s="289">
        <v>489</v>
      </c>
      <c r="O88" s="289">
        <v>182</v>
      </c>
      <c r="P88" s="289">
        <v>7641</v>
      </c>
      <c r="Q88" s="289">
        <v>0</v>
      </c>
      <c r="R88" s="289">
        <v>9</v>
      </c>
      <c r="S88" s="289">
        <v>765.66</v>
      </c>
      <c r="T88" s="289">
        <v>9.979625421205235</v>
      </c>
      <c r="U88" s="289">
        <v>0</v>
      </c>
      <c r="V88" s="289">
        <v>0</v>
      </c>
      <c r="W88" s="289">
        <v>2853</v>
      </c>
      <c r="X88" s="289">
        <v>340</v>
      </c>
      <c r="Y88" s="289">
        <v>41</v>
      </c>
      <c r="Z88" s="289">
        <v>0.910486800045428</v>
      </c>
      <c r="AA88" s="289">
        <v>16</v>
      </c>
      <c r="AB88" s="289">
        <v>16</v>
      </c>
      <c r="AC88" s="289">
        <v>1.2597341822614816</v>
      </c>
      <c r="AD88" s="289">
        <v>455</v>
      </c>
      <c r="AE88" s="289">
        <v>61</v>
      </c>
      <c r="AF88" s="289">
        <v>9</v>
      </c>
      <c r="AG88" s="289">
        <v>2</v>
      </c>
      <c r="AH88" s="289">
        <v>527</v>
      </c>
      <c r="AI88" s="289">
        <v>1.3522789835144868</v>
      </c>
      <c r="AJ88" s="289">
        <v>3160</v>
      </c>
      <c r="AK88" s="289">
        <v>287</v>
      </c>
      <c r="AL88" s="289">
        <v>0.9274367583392562</v>
      </c>
      <c r="AM88" s="289">
        <v>1.624212798243367</v>
      </c>
      <c r="AN88" s="289">
        <v>0</v>
      </c>
      <c r="AO88" s="289">
        <v>0</v>
      </c>
      <c r="AP88" s="289">
        <f t="shared" si="0"/>
        <v>0</v>
      </c>
      <c r="AQ88" s="289">
        <v>-113460.30353241414</v>
      </c>
      <c r="AR88" s="289">
        <v>5908354.782499998</v>
      </c>
      <c r="AS88" s="289">
        <v>1</v>
      </c>
      <c r="AT88" s="289">
        <v>7641</v>
      </c>
      <c r="AU88" s="289">
        <v>0</v>
      </c>
      <c r="AV88" s="289">
        <v>0</v>
      </c>
      <c r="AW88" s="289">
        <v>0</v>
      </c>
      <c r="AX88" s="289">
        <v>0.13203333333333334</v>
      </c>
      <c r="AY88" s="289">
        <v>765.64</v>
      </c>
      <c r="AZ88" s="289">
        <v>9.979886108353796</v>
      </c>
      <c r="BA88" s="289">
        <v>5079</v>
      </c>
      <c r="BB88" s="289">
        <v>0.6647035728307813</v>
      </c>
      <c r="BC88" s="289">
        <v>0</v>
      </c>
      <c r="BD88" s="289">
        <v>0</v>
      </c>
      <c r="BE88" s="289">
        <v>7714</v>
      </c>
      <c r="BF88" s="289">
        <v>7641</v>
      </c>
      <c r="BG88" s="289">
        <v>-0.009463313456053928</v>
      </c>
      <c r="BH88" s="289">
        <v>0</v>
      </c>
      <c r="BI88" s="289">
        <v>0</v>
      </c>
      <c r="BJ88" s="289">
        <v>0</v>
      </c>
      <c r="BK88" s="289">
        <v>1435724.0095933974</v>
      </c>
      <c r="BL88" s="289">
        <v>6901.95</v>
      </c>
      <c r="BM88" s="301">
        <v>2785</v>
      </c>
    </row>
    <row r="89" spans="6:65" s="289" customFormat="1" ht="12.75">
      <c r="F89" s="289">
        <v>71</v>
      </c>
      <c r="G89" s="289" t="s">
        <v>132</v>
      </c>
      <c r="H89" s="289">
        <v>668</v>
      </c>
      <c r="I89" s="289">
        <v>95</v>
      </c>
      <c r="J89" s="289">
        <v>638</v>
      </c>
      <c r="K89" s="289">
        <v>302</v>
      </c>
      <c r="L89" s="289">
        <v>5296</v>
      </c>
      <c r="M89" s="289">
        <v>667</v>
      </c>
      <c r="N89" s="289">
        <v>465</v>
      </c>
      <c r="O89" s="289">
        <v>187</v>
      </c>
      <c r="P89" s="289">
        <v>7283</v>
      </c>
      <c r="Q89" s="289">
        <v>0</v>
      </c>
      <c r="R89" s="289">
        <v>8</v>
      </c>
      <c r="S89" s="289">
        <v>1049.77</v>
      </c>
      <c r="T89" s="289">
        <v>6.9377101650837805</v>
      </c>
      <c r="U89" s="289">
        <v>0</v>
      </c>
      <c r="V89" s="289">
        <v>0</v>
      </c>
      <c r="W89" s="289">
        <v>2854</v>
      </c>
      <c r="X89" s="289">
        <v>420</v>
      </c>
      <c r="Y89" s="289">
        <v>47</v>
      </c>
      <c r="Z89" s="289">
        <v>0.8788715565764976</v>
      </c>
      <c r="AA89" s="289">
        <v>9</v>
      </c>
      <c r="AB89" s="289">
        <v>9</v>
      </c>
      <c r="AC89" s="289">
        <v>0.7434321363100699</v>
      </c>
      <c r="AD89" s="289">
        <v>466</v>
      </c>
      <c r="AE89" s="289">
        <v>59</v>
      </c>
      <c r="AF89" s="289">
        <v>19</v>
      </c>
      <c r="AG89" s="289">
        <v>3</v>
      </c>
      <c r="AH89" s="289">
        <v>547</v>
      </c>
      <c r="AI89" s="289">
        <v>1.4725935683524145</v>
      </c>
      <c r="AJ89" s="289">
        <v>3154</v>
      </c>
      <c r="AK89" s="289">
        <v>311</v>
      </c>
      <c r="AL89" s="289">
        <v>1.0069042890345399</v>
      </c>
      <c r="AM89" s="289">
        <v>1.6210117300849287</v>
      </c>
      <c r="AN89" s="289">
        <v>0</v>
      </c>
      <c r="AO89" s="289">
        <v>0</v>
      </c>
      <c r="AP89" s="289">
        <f t="shared" si="0"/>
        <v>0</v>
      </c>
      <c r="AQ89" s="289">
        <v>-11546.944741975516</v>
      </c>
      <c r="AR89" s="289">
        <v>5843691.467590364</v>
      </c>
      <c r="AS89" s="289">
        <v>1</v>
      </c>
      <c r="AT89" s="289">
        <v>7283</v>
      </c>
      <c r="AU89" s="289">
        <v>0</v>
      </c>
      <c r="AV89" s="289">
        <v>0</v>
      </c>
      <c r="AW89" s="289">
        <v>0</v>
      </c>
      <c r="AX89" s="289">
        <v>0.2576</v>
      </c>
      <c r="AY89" s="289">
        <v>1049.73</v>
      </c>
      <c r="AZ89" s="289">
        <v>6.937974526783077</v>
      </c>
      <c r="BA89" s="289">
        <v>4274</v>
      </c>
      <c r="BB89" s="289">
        <v>0.5868460799121241</v>
      </c>
      <c r="BC89" s="289">
        <v>0</v>
      </c>
      <c r="BD89" s="289">
        <v>0</v>
      </c>
      <c r="BE89" s="289">
        <v>7396</v>
      </c>
      <c r="BF89" s="289">
        <v>7283</v>
      </c>
      <c r="BG89" s="289">
        <v>-0.015278528934559221</v>
      </c>
      <c r="BH89" s="289">
        <v>0</v>
      </c>
      <c r="BI89" s="289">
        <v>2</v>
      </c>
      <c r="BJ89" s="289">
        <v>0.0002746121103940684</v>
      </c>
      <c r="BK89" s="289">
        <v>1309886.2380733618</v>
      </c>
      <c r="BL89" s="289">
        <v>7158.04</v>
      </c>
      <c r="BM89" s="301">
        <v>2844</v>
      </c>
    </row>
    <row r="90" spans="6:65" s="289" customFormat="1" ht="12.75">
      <c r="F90" s="289">
        <v>72</v>
      </c>
      <c r="G90" s="289" t="s">
        <v>133</v>
      </c>
      <c r="H90" s="289">
        <v>56</v>
      </c>
      <c r="I90" s="289">
        <v>13</v>
      </c>
      <c r="J90" s="289">
        <v>43</v>
      </c>
      <c r="K90" s="289">
        <v>22</v>
      </c>
      <c r="L90" s="289">
        <v>621</v>
      </c>
      <c r="M90" s="289">
        <v>194</v>
      </c>
      <c r="N90" s="289">
        <v>82</v>
      </c>
      <c r="O90" s="289">
        <v>33</v>
      </c>
      <c r="P90" s="289">
        <v>986</v>
      </c>
      <c r="Q90" s="289">
        <v>0</v>
      </c>
      <c r="R90" s="289">
        <v>2</v>
      </c>
      <c r="S90" s="289">
        <v>200.55999999999995</v>
      </c>
      <c r="T90" s="289">
        <v>4.91623454327882</v>
      </c>
      <c r="U90" s="289">
        <v>3</v>
      </c>
      <c r="V90" s="289">
        <v>0</v>
      </c>
      <c r="W90" s="289">
        <v>363</v>
      </c>
      <c r="X90" s="289">
        <v>49</v>
      </c>
      <c r="Y90" s="289">
        <v>10</v>
      </c>
      <c r="Z90" s="289">
        <v>0.8800227869170525</v>
      </c>
      <c r="AA90" s="289">
        <v>0</v>
      </c>
      <c r="AB90" s="289">
        <v>2</v>
      </c>
      <c r="AC90" s="289">
        <v>1.2202876377611538</v>
      </c>
      <c r="AD90" s="289">
        <v>71</v>
      </c>
      <c r="AE90" s="289">
        <v>2</v>
      </c>
      <c r="AF90" s="289">
        <v>3</v>
      </c>
      <c r="AG90" s="289">
        <v>1</v>
      </c>
      <c r="AH90" s="289">
        <v>77</v>
      </c>
      <c r="AI90" s="289">
        <v>1.531156890785288</v>
      </c>
      <c r="AJ90" s="289">
        <v>400</v>
      </c>
      <c r="AK90" s="289">
        <v>45</v>
      </c>
      <c r="AL90" s="289">
        <v>1.1487936152947928</v>
      </c>
      <c r="AM90" s="289">
        <v>1.2408025420320785</v>
      </c>
      <c r="AN90" s="289">
        <v>0</v>
      </c>
      <c r="AO90" s="289">
        <v>0.1</v>
      </c>
      <c r="AP90" s="289">
        <f t="shared" si="0"/>
        <v>0.1</v>
      </c>
      <c r="AQ90" s="289">
        <v>41680.04681260092</v>
      </c>
      <c r="AR90" s="289">
        <v>352574.00000000035</v>
      </c>
      <c r="AS90" s="289">
        <v>0</v>
      </c>
      <c r="AT90" s="289">
        <v>986</v>
      </c>
      <c r="AU90" s="289">
        <v>3</v>
      </c>
      <c r="AV90" s="289">
        <v>986</v>
      </c>
      <c r="AW90" s="289">
        <v>1</v>
      </c>
      <c r="AX90" s="289">
        <v>0.8267333333333333</v>
      </c>
      <c r="AY90" s="289">
        <v>200.56</v>
      </c>
      <c r="AZ90" s="289">
        <v>4.9162345432788195</v>
      </c>
      <c r="BA90" s="289">
        <v>529</v>
      </c>
      <c r="BB90" s="289">
        <v>0.5365111561866126</v>
      </c>
      <c r="BC90" s="289">
        <v>0</v>
      </c>
      <c r="BD90" s="289">
        <v>0</v>
      </c>
      <c r="BE90" s="289">
        <v>1019</v>
      </c>
      <c r="BF90" s="289">
        <v>986</v>
      </c>
      <c r="BG90" s="289">
        <v>-0.0323846908734053</v>
      </c>
      <c r="BH90" s="289">
        <v>0</v>
      </c>
      <c r="BI90" s="289">
        <v>0</v>
      </c>
      <c r="BJ90" s="289">
        <v>0</v>
      </c>
      <c r="BK90" s="289">
        <v>206895.18037318444</v>
      </c>
      <c r="BL90" s="289">
        <v>9154.06</v>
      </c>
      <c r="BM90" s="301">
        <v>224</v>
      </c>
    </row>
    <row r="91" spans="6:65" s="289" customFormat="1" ht="12.75">
      <c r="F91" s="289">
        <v>74</v>
      </c>
      <c r="G91" s="289" t="s">
        <v>134</v>
      </c>
      <c r="H91" s="289">
        <v>68</v>
      </c>
      <c r="I91" s="289">
        <v>9</v>
      </c>
      <c r="J91" s="289">
        <v>77</v>
      </c>
      <c r="K91" s="289">
        <v>52</v>
      </c>
      <c r="L91" s="289">
        <v>848</v>
      </c>
      <c r="M91" s="289">
        <v>160</v>
      </c>
      <c r="N91" s="289">
        <v>132</v>
      </c>
      <c r="O91" s="289">
        <v>40</v>
      </c>
      <c r="P91" s="289">
        <v>1248</v>
      </c>
      <c r="Q91" s="289">
        <v>0</v>
      </c>
      <c r="R91" s="289">
        <v>2</v>
      </c>
      <c r="S91" s="289">
        <v>412.71</v>
      </c>
      <c r="T91" s="289">
        <v>3.023915097768409</v>
      </c>
      <c r="U91" s="289">
        <v>0</v>
      </c>
      <c r="V91" s="289">
        <v>0</v>
      </c>
      <c r="W91" s="289">
        <v>508</v>
      </c>
      <c r="X91" s="289">
        <v>139</v>
      </c>
      <c r="Y91" s="289">
        <v>14</v>
      </c>
      <c r="Z91" s="289">
        <v>0.734330556076888</v>
      </c>
      <c r="AA91" s="289">
        <v>0</v>
      </c>
      <c r="AB91" s="289">
        <v>2</v>
      </c>
      <c r="AC91" s="289">
        <v>0.9641054573978346</v>
      </c>
      <c r="AD91" s="289">
        <v>90</v>
      </c>
      <c r="AE91" s="289">
        <v>5</v>
      </c>
      <c r="AF91" s="289">
        <v>3</v>
      </c>
      <c r="AG91" s="289">
        <v>0</v>
      </c>
      <c r="AH91" s="289">
        <v>98</v>
      </c>
      <c r="AI91" s="289">
        <v>1.539633575203971</v>
      </c>
      <c r="AJ91" s="289">
        <v>560</v>
      </c>
      <c r="AK91" s="289">
        <v>48</v>
      </c>
      <c r="AL91" s="289">
        <v>0.8752713259388899</v>
      </c>
      <c r="AM91" s="289">
        <v>0.9911305287066494</v>
      </c>
      <c r="AN91" s="289">
        <v>0.05</v>
      </c>
      <c r="AO91" s="289">
        <v>0</v>
      </c>
      <c r="AP91" s="289">
        <f t="shared" si="0"/>
        <v>0.05</v>
      </c>
      <c r="AQ91" s="289">
        <v>55446.229112515226</v>
      </c>
      <c r="AR91" s="289">
        <v>993371.1925000007</v>
      </c>
      <c r="AS91" s="289">
        <v>1</v>
      </c>
      <c r="AT91" s="289">
        <v>1248</v>
      </c>
      <c r="AU91" s="289">
        <v>0</v>
      </c>
      <c r="AV91" s="289">
        <v>0</v>
      </c>
      <c r="AW91" s="289">
        <v>0</v>
      </c>
      <c r="AX91" s="289">
        <v>0.8178666666666667</v>
      </c>
      <c r="AY91" s="289">
        <v>412.7</v>
      </c>
      <c r="AZ91" s="289">
        <v>3.0239883692755027</v>
      </c>
      <c r="BA91" s="289">
        <v>499</v>
      </c>
      <c r="BB91" s="289">
        <v>0.3998397435897436</v>
      </c>
      <c r="BC91" s="289">
        <v>0</v>
      </c>
      <c r="BD91" s="289">
        <v>0</v>
      </c>
      <c r="BE91" s="289">
        <v>1323</v>
      </c>
      <c r="BF91" s="289">
        <v>1248</v>
      </c>
      <c r="BG91" s="289">
        <v>-0.05668934240362812</v>
      </c>
      <c r="BH91" s="289">
        <v>0</v>
      </c>
      <c r="BI91" s="289">
        <v>0</v>
      </c>
      <c r="BJ91" s="289">
        <v>0</v>
      </c>
      <c r="BK91" s="289">
        <v>257125.64241465024</v>
      </c>
      <c r="BL91" s="289">
        <v>7999.89</v>
      </c>
      <c r="BM91" s="301">
        <v>372</v>
      </c>
    </row>
    <row r="92" spans="6:65" s="289" customFormat="1" ht="12.75">
      <c r="F92" s="289">
        <v>75</v>
      </c>
      <c r="G92" s="289" t="s">
        <v>135</v>
      </c>
      <c r="H92" s="289">
        <v>1367</v>
      </c>
      <c r="I92" s="289">
        <v>183</v>
      </c>
      <c r="J92" s="289">
        <v>1319</v>
      </c>
      <c r="K92" s="289">
        <v>637</v>
      </c>
      <c r="L92" s="289">
        <v>14800</v>
      </c>
      <c r="M92" s="289">
        <v>2826</v>
      </c>
      <c r="N92" s="289">
        <v>1657</v>
      </c>
      <c r="O92" s="289">
        <v>606</v>
      </c>
      <c r="P92" s="289">
        <v>21256</v>
      </c>
      <c r="Q92" s="289">
        <v>6</v>
      </c>
      <c r="R92" s="289">
        <v>107</v>
      </c>
      <c r="S92" s="289">
        <v>609.5099999999999</v>
      </c>
      <c r="T92" s="289">
        <v>34.873915112139265</v>
      </c>
      <c r="U92" s="289">
        <v>0</v>
      </c>
      <c r="V92" s="289">
        <v>0</v>
      </c>
      <c r="W92" s="289">
        <v>8282</v>
      </c>
      <c r="X92" s="289">
        <v>305</v>
      </c>
      <c r="Y92" s="289">
        <v>97</v>
      </c>
      <c r="Z92" s="289">
        <v>0.999811091829226</v>
      </c>
      <c r="AA92" s="289">
        <v>30</v>
      </c>
      <c r="AB92" s="289">
        <v>30</v>
      </c>
      <c r="AC92" s="289">
        <v>0.849080455517852</v>
      </c>
      <c r="AD92" s="289">
        <v>1011</v>
      </c>
      <c r="AE92" s="289">
        <v>114</v>
      </c>
      <c r="AF92" s="289">
        <v>27</v>
      </c>
      <c r="AG92" s="289">
        <v>12</v>
      </c>
      <c r="AH92" s="289">
        <v>1164</v>
      </c>
      <c r="AI92" s="289">
        <v>1.0736860780527289</v>
      </c>
      <c r="AJ92" s="289">
        <v>9601</v>
      </c>
      <c r="AK92" s="289">
        <v>1170</v>
      </c>
      <c r="AL92" s="289">
        <v>1.2443967919035357</v>
      </c>
      <c r="AM92" s="289">
        <v>1.024748672551362</v>
      </c>
      <c r="AN92" s="289">
        <v>0</v>
      </c>
      <c r="AO92" s="289">
        <v>0</v>
      </c>
      <c r="AP92" s="289">
        <f t="shared" si="0"/>
        <v>0</v>
      </c>
      <c r="AQ92" s="289">
        <v>23925.74176903814</v>
      </c>
      <c r="AR92" s="289">
        <v>124312.92670732175</v>
      </c>
      <c r="AS92" s="289">
        <v>1</v>
      </c>
      <c r="AT92" s="289">
        <v>21256</v>
      </c>
      <c r="AU92" s="289">
        <v>0</v>
      </c>
      <c r="AV92" s="289">
        <v>0</v>
      </c>
      <c r="AW92" s="289">
        <v>0</v>
      </c>
      <c r="AX92" s="289">
        <v>0</v>
      </c>
      <c r="AY92" s="289">
        <v>609.51</v>
      </c>
      <c r="AZ92" s="289">
        <v>34.87391511213926</v>
      </c>
      <c r="BA92" s="289">
        <v>18323</v>
      </c>
      <c r="BB92" s="289">
        <v>0.8620154309371472</v>
      </c>
      <c r="BC92" s="289">
        <v>0</v>
      </c>
      <c r="BD92" s="289">
        <v>0</v>
      </c>
      <c r="BE92" s="289">
        <v>21483</v>
      </c>
      <c r="BF92" s="289">
        <v>21256</v>
      </c>
      <c r="BG92" s="289">
        <v>-0.01056649443746218</v>
      </c>
      <c r="BH92" s="289">
        <v>0</v>
      </c>
      <c r="BI92" s="289">
        <v>0</v>
      </c>
      <c r="BJ92" s="289">
        <v>0</v>
      </c>
      <c r="BK92" s="289">
        <v>3708260.7408799795</v>
      </c>
      <c r="BL92" s="289">
        <v>6102.42</v>
      </c>
      <c r="BM92" s="301">
        <v>6011</v>
      </c>
    </row>
    <row r="93" spans="6:65" s="289" customFormat="1" ht="12.75">
      <c r="F93" s="289">
        <v>77</v>
      </c>
      <c r="G93" s="289" t="s">
        <v>136</v>
      </c>
      <c r="H93" s="289">
        <v>395</v>
      </c>
      <c r="I93" s="289">
        <v>47</v>
      </c>
      <c r="J93" s="289">
        <v>326</v>
      </c>
      <c r="K93" s="289">
        <v>189</v>
      </c>
      <c r="L93" s="289">
        <v>3675</v>
      </c>
      <c r="M93" s="289">
        <v>690</v>
      </c>
      <c r="N93" s="289">
        <v>484</v>
      </c>
      <c r="O93" s="289">
        <v>209</v>
      </c>
      <c r="P93" s="289">
        <v>5453</v>
      </c>
      <c r="Q93" s="289">
        <v>0</v>
      </c>
      <c r="R93" s="289">
        <v>4</v>
      </c>
      <c r="S93" s="289">
        <v>571.73</v>
      </c>
      <c r="T93" s="289">
        <v>9.537718853304881</v>
      </c>
      <c r="U93" s="289">
        <v>0</v>
      </c>
      <c r="V93" s="289">
        <v>0</v>
      </c>
      <c r="W93" s="289">
        <v>1986</v>
      </c>
      <c r="X93" s="289">
        <v>296</v>
      </c>
      <c r="Y93" s="289">
        <v>41</v>
      </c>
      <c r="Z93" s="289">
        <v>0.8725058964599527</v>
      </c>
      <c r="AA93" s="289">
        <v>9</v>
      </c>
      <c r="AB93" s="289">
        <v>9</v>
      </c>
      <c r="AC93" s="289">
        <v>0.9929243074905996</v>
      </c>
      <c r="AD93" s="289">
        <v>355</v>
      </c>
      <c r="AE93" s="289">
        <v>41</v>
      </c>
      <c r="AF93" s="289">
        <v>12</v>
      </c>
      <c r="AG93" s="289">
        <v>1</v>
      </c>
      <c r="AH93" s="289">
        <v>409</v>
      </c>
      <c r="AI93" s="289">
        <v>1.470597059582468</v>
      </c>
      <c r="AJ93" s="289">
        <v>2292</v>
      </c>
      <c r="AK93" s="289">
        <v>305</v>
      </c>
      <c r="AL93" s="289">
        <v>1.3588600064569007</v>
      </c>
      <c r="AM93" s="289">
        <v>1.361156540126301</v>
      </c>
      <c r="AN93" s="289">
        <v>0</v>
      </c>
      <c r="AO93" s="289">
        <v>0</v>
      </c>
      <c r="AP93" s="289">
        <f t="shared" si="0"/>
        <v>0</v>
      </c>
      <c r="AQ93" s="289">
        <v>157787.49098494463</v>
      </c>
      <c r="AR93" s="289">
        <v>5080340.18695122</v>
      </c>
      <c r="AS93" s="289">
        <v>1</v>
      </c>
      <c r="AT93" s="289">
        <v>5453</v>
      </c>
      <c r="AU93" s="289">
        <v>0</v>
      </c>
      <c r="AV93" s="289">
        <v>0</v>
      </c>
      <c r="AW93" s="289">
        <v>0</v>
      </c>
      <c r="AX93" s="289">
        <v>0.0984</v>
      </c>
      <c r="AY93" s="289">
        <v>571.85</v>
      </c>
      <c r="AZ93" s="289">
        <v>9.535717408411296</v>
      </c>
      <c r="BA93" s="289">
        <v>2602</v>
      </c>
      <c r="BB93" s="289">
        <v>0.4771685310838071</v>
      </c>
      <c r="BC93" s="289">
        <v>0</v>
      </c>
      <c r="BD93" s="289">
        <v>0</v>
      </c>
      <c r="BE93" s="289">
        <v>5514</v>
      </c>
      <c r="BF93" s="289">
        <v>5453</v>
      </c>
      <c r="BG93" s="289">
        <v>-0.011062749365252086</v>
      </c>
      <c r="BH93" s="289">
        <v>0</v>
      </c>
      <c r="BI93" s="289">
        <v>0</v>
      </c>
      <c r="BJ93" s="289">
        <v>0</v>
      </c>
      <c r="BK93" s="289">
        <v>1339047.1767982044</v>
      </c>
      <c r="BL93" s="289">
        <v>6931.16</v>
      </c>
      <c r="BM93" s="301">
        <v>1583</v>
      </c>
    </row>
    <row r="94" spans="6:65" s="289" customFormat="1" ht="12.75">
      <c r="F94" s="289">
        <v>78</v>
      </c>
      <c r="G94" s="289" t="s">
        <v>137</v>
      </c>
      <c r="H94" s="289">
        <v>602</v>
      </c>
      <c r="I94" s="289">
        <v>73</v>
      </c>
      <c r="J94" s="289">
        <v>532</v>
      </c>
      <c r="K94" s="289">
        <v>292</v>
      </c>
      <c r="L94" s="289">
        <v>6375</v>
      </c>
      <c r="M94" s="289">
        <v>1480</v>
      </c>
      <c r="N94" s="289">
        <v>587</v>
      </c>
      <c r="O94" s="289">
        <v>223</v>
      </c>
      <c r="P94" s="289">
        <v>9267</v>
      </c>
      <c r="Q94" s="289">
        <v>385</v>
      </c>
      <c r="R94" s="289">
        <v>40</v>
      </c>
      <c r="S94" s="289">
        <v>116.88999999999999</v>
      </c>
      <c r="T94" s="289">
        <v>79.2796646419711</v>
      </c>
      <c r="U94" s="289">
        <v>0</v>
      </c>
      <c r="V94" s="289">
        <v>1</v>
      </c>
      <c r="W94" s="289">
        <v>3877</v>
      </c>
      <c r="X94" s="289">
        <v>15</v>
      </c>
      <c r="Y94" s="289">
        <v>40</v>
      </c>
      <c r="Z94" s="289">
        <v>1.035909559624321</v>
      </c>
      <c r="AA94" s="289">
        <v>22</v>
      </c>
      <c r="AB94" s="289">
        <v>22</v>
      </c>
      <c r="AC94" s="289">
        <v>1.4282119045168309</v>
      </c>
      <c r="AD94" s="289">
        <v>390</v>
      </c>
      <c r="AE94" s="289">
        <v>29</v>
      </c>
      <c r="AF94" s="289">
        <v>11</v>
      </c>
      <c r="AG94" s="289">
        <v>3</v>
      </c>
      <c r="AH94" s="289">
        <v>433</v>
      </c>
      <c r="AI94" s="289">
        <v>0.9161247502141929</v>
      </c>
      <c r="AJ94" s="289">
        <v>4369</v>
      </c>
      <c r="AK94" s="289">
        <v>454</v>
      </c>
      <c r="AL94" s="289">
        <v>1.0611170648637338</v>
      </c>
      <c r="AM94" s="289">
        <v>1.0576553011537144</v>
      </c>
      <c r="AN94" s="289">
        <v>0</v>
      </c>
      <c r="AO94" s="289">
        <v>0</v>
      </c>
      <c r="AP94" s="289">
        <f t="shared" si="0"/>
        <v>0</v>
      </c>
      <c r="AQ94" s="289">
        <v>82923.98256242089</v>
      </c>
      <c r="AR94" s="289">
        <v>-1442949.7305072283</v>
      </c>
      <c r="AS94" s="289">
        <v>1</v>
      </c>
      <c r="AT94" s="289">
        <v>9267</v>
      </c>
      <c r="AU94" s="289">
        <v>0</v>
      </c>
      <c r="AV94" s="289">
        <v>0</v>
      </c>
      <c r="AW94" s="289">
        <v>0</v>
      </c>
      <c r="AX94" s="289">
        <v>0.4212166666666667</v>
      </c>
      <c r="AY94" s="289">
        <v>116.89</v>
      </c>
      <c r="AZ94" s="289">
        <v>79.27966464197108</v>
      </c>
      <c r="BA94" s="289">
        <v>8825</v>
      </c>
      <c r="BB94" s="289">
        <v>0.9523038739613683</v>
      </c>
      <c r="BC94" s="289">
        <v>1</v>
      </c>
      <c r="BD94" s="289">
        <v>0</v>
      </c>
      <c r="BE94" s="289">
        <v>9597</v>
      </c>
      <c r="BF94" s="289">
        <v>9267</v>
      </c>
      <c r="BG94" s="289">
        <v>-0.03438574554548297</v>
      </c>
      <c r="BH94" s="289">
        <v>0</v>
      </c>
      <c r="BI94" s="289">
        <v>1</v>
      </c>
      <c r="BJ94" s="289">
        <v>0.00010790978741771878</v>
      </c>
      <c r="BK94" s="289">
        <v>1580253.8924853394</v>
      </c>
      <c r="BL94" s="289">
        <v>6629.02</v>
      </c>
      <c r="BM94" s="301">
        <v>2603</v>
      </c>
    </row>
    <row r="95" spans="6:65" s="289" customFormat="1" ht="12.75">
      <c r="F95" s="289">
        <v>79</v>
      </c>
      <c r="G95" s="289" t="s">
        <v>138</v>
      </c>
      <c r="H95" s="289">
        <v>446</v>
      </c>
      <c r="I95" s="289">
        <v>72</v>
      </c>
      <c r="J95" s="289">
        <v>465</v>
      </c>
      <c r="K95" s="289">
        <v>236</v>
      </c>
      <c r="L95" s="289">
        <v>5071</v>
      </c>
      <c r="M95" s="289">
        <v>1102</v>
      </c>
      <c r="N95" s="289">
        <v>618</v>
      </c>
      <c r="O95" s="289">
        <v>249</v>
      </c>
      <c r="P95" s="289">
        <v>7486</v>
      </c>
      <c r="Q95" s="289">
        <v>2</v>
      </c>
      <c r="R95" s="289">
        <v>17</v>
      </c>
      <c r="S95" s="289">
        <v>123.46</v>
      </c>
      <c r="T95" s="289">
        <v>60.635023489389276</v>
      </c>
      <c r="U95" s="289">
        <v>0</v>
      </c>
      <c r="V95" s="289">
        <v>0</v>
      </c>
      <c r="W95" s="289">
        <v>2937</v>
      </c>
      <c r="X95" s="289">
        <v>55</v>
      </c>
      <c r="Y95" s="289">
        <v>35</v>
      </c>
      <c r="Z95" s="289">
        <v>1.0186159675444018</v>
      </c>
      <c r="AA95" s="289">
        <v>15</v>
      </c>
      <c r="AB95" s="289">
        <v>15</v>
      </c>
      <c r="AC95" s="289">
        <v>1.2054537912428176</v>
      </c>
      <c r="AD95" s="289">
        <v>437</v>
      </c>
      <c r="AE95" s="289">
        <v>52</v>
      </c>
      <c r="AF95" s="289">
        <v>23</v>
      </c>
      <c r="AG95" s="289">
        <v>5</v>
      </c>
      <c r="AH95" s="289">
        <v>517</v>
      </c>
      <c r="AI95" s="289">
        <v>1.3540871079877068</v>
      </c>
      <c r="AJ95" s="289">
        <v>3363</v>
      </c>
      <c r="AK95" s="289">
        <v>347</v>
      </c>
      <c r="AL95" s="289">
        <v>1.053639632622442</v>
      </c>
      <c r="AM95" s="289">
        <v>1.4504598918100853</v>
      </c>
      <c r="AN95" s="289">
        <v>0</v>
      </c>
      <c r="AO95" s="289">
        <v>0</v>
      </c>
      <c r="AP95" s="289">
        <f t="shared" si="0"/>
        <v>0</v>
      </c>
      <c r="AQ95" s="289">
        <v>93941.89818028547</v>
      </c>
      <c r="AR95" s="289">
        <v>-477514.36487733293</v>
      </c>
      <c r="AS95" s="289">
        <v>1</v>
      </c>
      <c r="AT95" s="289">
        <v>7486</v>
      </c>
      <c r="AU95" s="289">
        <v>0</v>
      </c>
      <c r="AV95" s="289">
        <v>0</v>
      </c>
      <c r="AW95" s="289">
        <v>0</v>
      </c>
      <c r="AX95" s="289">
        <v>0</v>
      </c>
      <c r="AY95" s="289">
        <v>123.46</v>
      </c>
      <c r="AZ95" s="289">
        <v>60.635023489389276</v>
      </c>
      <c r="BA95" s="289">
        <v>6880</v>
      </c>
      <c r="BB95" s="289">
        <v>0.9190488912636923</v>
      </c>
      <c r="BC95" s="289">
        <v>0</v>
      </c>
      <c r="BD95" s="289">
        <v>0</v>
      </c>
      <c r="BE95" s="289">
        <v>7548</v>
      </c>
      <c r="BF95" s="289">
        <v>7486</v>
      </c>
      <c r="BG95" s="289">
        <v>-0.008214096449390567</v>
      </c>
      <c r="BH95" s="289">
        <v>0</v>
      </c>
      <c r="BI95" s="289">
        <v>0</v>
      </c>
      <c r="BJ95" s="289">
        <v>0</v>
      </c>
      <c r="BK95" s="289">
        <v>1311099.773088154</v>
      </c>
      <c r="BL95" s="289">
        <v>5969.63</v>
      </c>
      <c r="BM95" s="301">
        <v>2112</v>
      </c>
    </row>
    <row r="96" spans="6:65" s="289" customFormat="1" ht="12.75">
      <c r="F96" s="289">
        <v>81</v>
      </c>
      <c r="G96" s="289" t="s">
        <v>139</v>
      </c>
      <c r="H96" s="289">
        <v>127</v>
      </c>
      <c r="I96" s="289">
        <v>25</v>
      </c>
      <c r="J96" s="289">
        <v>156</v>
      </c>
      <c r="K96" s="289">
        <v>113</v>
      </c>
      <c r="L96" s="289">
        <v>2136</v>
      </c>
      <c r="M96" s="289">
        <v>488</v>
      </c>
      <c r="N96" s="289">
        <v>325</v>
      </c>
      <c r="O96" s="289">
        <v>129</v>
      </c>
      <c r="P96" s="289">
        <v>3205</v>
      </c>
      <c r="Q96" s="289">
        <v>1</v>
      </c>
      <c r="R96" s="289">
        <v>1</v>
      </c>
      <c r="S96" s="289">
        <v>542.95</v>
      </c>
      <c r="T96" s="289">
        <v>5.9029376554010495</v>
      </c>
      <c r="U96" s="289">
        <v>0</v>
      </c>
      <c r="V96" s="289">
        <v>0</v>
      </c>
      <c r="W96" s="289">
        <v>1206</v>
      </c>
      <c r="X96" s="289">
        <v>208</v>
      </c>
      <c r="Y96" s="289">
        <v>22</v>
      </c>
      <c r="Z96" s="289">
        <v>0.8504121746837869</v>
      </c>
      <c r="AA96" s="289">
        <v>8</v>
      </c>
      <c r="AB96" s="289">
        <v>8</v>
      </c>
      <c r="AC96" s="289">
        <v>1.5016581726458629</v>
      </c>
      <c r="AD96" s="289">
        <v>191</v>
      </c>
      <c r="AE96" s="289">
        <v>21</v>
      </c>
      <c r="AF96" s="289">
        <v>2</v>
      </c>
      <c r="AG96" s="289">
        <v>1</v>
      </c>
      <c r="AH96" s="289">
        <v>215</v>
      </c>
      <c r="AI96" s="289">
        <v>1.3152742236261246</v>
      </c>
      <c r="AJ96" s="289">
        <v>1404</v>
      </c>
      <c r="AK96" s="289">
        <v>146</v>
      </c>
      <c r="AL96" s="289">
        <v>1.0618795051157948</v>
      </c>
      <c r="AM96" s="289">
        <v>1.0586859763986203</v>
      </c>
      <c r="AN96" s="289">
        <v>0</v>
      </c>
      <c r="AO96" s="289">
        <v>0</v>
      </c>
      <c r="AP96" s="289">
        <f t="shared" si="0"/>
        <v>0</v>
      </c>
      <c r="AQ96" s="289">
        <v>-49133.1341699101</v>
      </c>
      <c r="AR96" s="289">
        <v>2655857.2389024394</v>
      </c>
      <c r="AS96" s="289">
        <v>0</v>
      </c>
      <c r="AT96" s="289">
        <v>3205</v>
      </c>
      <c r="AU96" s="289">
        <v>0</v>
      </c>
      <c r="AV96" s="289">
        <v>0</v>
      </c>
      <c r="AW96" s="289">
        <v>0</v>
      </c>
      <c r="AX96" s="289">
        <v>0.35675</v>
      </c>
      <c r="AY96" s="289">
        <v>542.95</v>
      </c>
      <c r="AZ96" s="289">
        <v>5.9029376554010495</v>
      </c>
      <c r="BA96" s="289">
        <v>1717</v>
      </c>
      <c r="BB96" s="289">
        <v>0.5357254290171607</v>
      </c>
      <c r="BC96" s="289">
        <v>0</v>
      </c>
      <c r="BD96" s="289">
        <v>0</v>
      </c>
      <c r="BE96" s="289">
        <v>3388</v>
      </c>
      <c r="BF96" s="289">
        <v>3205</v>
      </c>
      <c r="BG96" s="289">
        <v>-0.05401416765053128</v>
      </c>
      <c r="BH96" s="289">
        <v>0</v>
      </c>
      <c r="BI96" s="289">
        <v>0</v>
      </c>
      <c r="BJ96" s="289">
        <v>0</v>
      </c>
      <c r="BK96" s="289">
        <v>765059.5869081982</v>
      </c>
      <c r="BL96" s="289">
        <v>7244.81</v>
      </c>
      <c r="BM96" s="301">
        <v>750</v>
      </c>
    </row>
    <row r="97" spans="6:65" s="289" customFormat="1" ht="12.75">
      <c r="F97" s="289">
        <v>82</v>
      </c>
      <c r="G97" s="289" t="s">
        <v>140</v>
      </c>
      <c r="H97" s="289">
        <v>847</v>
      </c>
      <c r="I97" s="289">
        <v>132</v>
      </c>
      <c r="J97" s="289">
        <v>745</v>
      </c>
      <c r="K97" s="289">
        <v>357</v>
      </c>
      <c r="L97" s="289">
        <v>7135</v>
      </c>
      <c r="M97" s="289">
        <v>1033</v>
      </c>
      <c r="N97" s="289">
        <v>527</v>
      </c>
      <c r="O97" s="289">
        <v>178</v>
      </c>
      <c r="P97" s="289">
        <v>9720</v>
      </c>
      <c r="Q97" s="289">
        <v>2</v>
      </c>
      <c r="R97" s="289">
        <v>6</v>
      </c>
      <c r="S97" s="289">
        <v>357.81</v>
      </c>
      <c r="T97" s="289">
        <v>27.165255303093822</v>
      </c>
      <c r="U97" s="289">
        <v>0</v>
      </c>
      <c r="V97" s="289">
        <v>0</v>
      </c>
      <c r="W97" s="289">
        <v>4408</v>
      </c>
      <c r="X97" s="289">
        <v>145</v>
      </c>
      <c r="Y97" s="289">
        <v>46</v>
      </c>
      <c r="Z97" s="289">
        <v>1.0052844719766418</v>
      </c>
      <c r="AA97" s="289">
        <v>7</v>
      </c>
      <c r="AB97" s="289">
        <v>7</v>
      </c>
      <c r="AC97" s="289">
        <v>0.4332523290034714</v>
      </c>
      <c r="AD97" s="289">
        <v>310</v>
      </c>
      <c r="AE97" s="289">
        <v>67</v>
      </c>
      <c r="AF97" s="289">
        <v>15</v>
      </c>
      <c r="AG97" s="289">
        <v>0</v>
      </c>
      <c r="AH97" s="289">
        <v>392</v>
      </c>
      <c r="AI97" s="289">
        <v>0.7907253917096938</v>
      </c>
      <c r="AJ97" s="289">
        <v>4778</v>
      </c>
      <c r="AK97" s="289">
        <v>303</v>
      </c>
      <c r="AL97" s="289">
        <v>0.6475688859761355</v>
      </c>
      <c r="AM97" s="289">
        <v>0.6760286127556803</v>
      </c>
      <c r="AN97" s="289">
        <v>0</v>
      </c>
      <c r="AO97" s="289">
        <v>0</v>
      </c>
      <c r="AP97" s="289">
        <f t="shared" si="0"/>
        <v>0</v>
      </c>
      <c r="AQ97" s="289">
        <v>-115651.5479556378</v>
      </c>
      <c r="AR97" s="289">
        <v>-328437.8962999989</v>
      </c>
      <c r="AS97" s="289">
        <v>1</v>
      </c>
      <c r="AT97" s="289">
        <v>9720</v>
      </c>
      <c r="AU97" s="289">
        <v>0</v>
      </c>
      <c r="AV97" s="289">
        <v>0</v>
      </c>
      <c r="AW97" s="289">
        <v>0</v>
      </c>
      <c r="AX97" s="289">
        <v>0</v>
      </c>
      <c r="AY97" s="289">
        <v>357.82</v>
      </c>
      <c r="AZ97" s="289">
        <v>27.164496115365267</v>
      </c>
      <c r="BA97" s="289">
        <v>7318</v>
      </c>
      <c r="BB97" s="289">
        <v>0.752880658436214</v>
      </c>
      <c r="BC97" s="289">
        <v>0</v>
      </c>
      <c r="BD97" s="289">
        <v>0</v>
      </c>
      <c r="BE97" s="289">
        <v>9625</v>
      </c>
      <c r="BF97" s="289">
        <v>9720</v>
      </c>
      <c r="BG97" s="289">
        <v>0.009870129870129871</v>
      </c>
      <c r="BH97" s="289">
        <v>0</v>
      </c>
      <c r="BI97" s="289">
        <v>0</v>
      </c>
      <c r="BJ97" s="289">
        <v>0</v>
      </c>
      <c r="BK97" s="289">
        <v>1496155.0357554262</v>
      </c>
      <c r="BL97" s="289">
        <v>6209.73</v>
      </c>
      <c r="BM97" s="301">
        <v>3239</v>
      </c>
    </row>
    <row r="98" spans="6:65" s="289" customFormat="1" ht="12.75">
      <c r="F98" s="289">
        <v>86</v>
      </c>
      <c r="G98" s="289" t="s">
        <v>141</v>
      </c>
      <c r="H98" s="289">
        <v>822</v>
      </c>
      <c r="I98" s="289">
        <v>120</v>
      </c>
      <c r="J98" s="289">
        <v>713</v>
      </c>
      <c r="K98" s="289">
        <v>360</v>
      </c>
      <c r="L98" s="289">
        <v>6513</v>
      </c>
      <c r="M98" s="289">
        <v>857</v>
      </c>
      <c r="N98" s="289">
        <v>491</v>
      </c>
      <c r="O98" s="289">
        <v>183</v>
      </c>
      <c r="P98" s="289">
        <v>8866</v>
      </c>
      <c r="Q98" s="289">
        <v>6</v>
      </c>
      <c r="R98" s="289">
        <v>19</v>
      </c>
      <c r="S98" s="289">
        <v>389.30999999999995</v>
      </c>
      <c r="T98" s="289">
        <v>22.77362513164317</v>
      </c>
      <c r="U98" s="289">
        <v>0</v>
      </c>
      <c r="V98" s="289">
        <v>0</v>
      </c>
      <c r="W98" s="289">
        <v>4004</v>
      </c>
      <c r="X98" s="289">
        <v>221</v>
      </c>
      <c r="Y98" s="289">
        <v>49</v>
      </c>
      <c r="Z98" s="289">
        <v>0.9799574162222838</v>
      </c>
      <c r="AA98" s="289">
        <v>14</v>
      </c>
      <c r="AB98" s="289">
        <v>14</v>
      </c>
      <c r="AC98" s="289">
        <v>0.9499690137409749</v>
      </c>
      <c r="AD98" s="289">
        <v>300</v>
      </c>
      <c r="AE98" s="289">
        <v>48</v>
      </c>
      <c r="AF98" s="289">
        <v>8</v>
      </c>
      <c r="AG98" s="289">
        <v>0</v>
      </c>
      <c r="AH98" s="289">
        <v>356</v>
      </c>
      <c r="AI98" s="289">
        <v>0.787278069695537</v>
      </c>
      <c r="AJ98" s="289">
        <v>4361</v>
      </c>
      <c r="AK98" s="289">
        <v>291</v>
      </c>
      <c r="AL98" s="289">
        <v>0.6813910001289913</v>
      </c>
      <c r="AM98" s="289">
        <v>0.8281815141538441</v>
      </c>
      <c r="AN98" s="289">
        <v>0</v>
      </c>
      <c r="AO98" s="289">
        <v>0</v>
      </c>
      <c r="AP98" s="289">
        <f t="shared" si="0"/>
        <v>0</v>
      </c>
      <c r="AQ98" s="289">
        <v>26314.203572351485</v>
      </c>
      <c r="AR98" s="289">
        <v>881802.9490000012</v>
      </c>
      <c r="AS98" s="289">
        <v>0</v>
      </c>
      <c r="AT98" s="289">
        <v>8866</v>
      </c>
      <c r="AU98" s="289">
        <v>0</v>
      </c>
      <c r="AV98" s="289">
        <v>0</v>
      </c>
      <c r="AW98" s="289">
        <v>0</v>
      </c>
      <c r="AX98" s="289">
        <v>0</v>
      </c>
      <c r="AY98" s="289">
        <v>389.81</v>
      </c>
      <c r="AZ98" s="289">
        <v>22.74441394525538</v>
      </c>
      <c r="BA98" s="289">
        <v>5535</v>
      </c>
      <c r="BB98" s="289">
        <v>0.6242950597789307</v>
      </c>
      <c r="BC98" s="289">
        <v>0</v>
      </c>
      <c r="BD98" s="289">
        <v>0</v>
      </c>
      <c r="BE98" s="289">
        <v>8826</v>
      </c>
      <c r="BF98" s="289">
        <v>8866</v>
      </c>
      <c r="BG98" s="289">
        <v>0.004532064355313846</v>
      </c>
      <c r="BH98" s="289">
        <v>0</v>
      </c>
      <c r="BI98" s="289">
        <v>0</v>
      </c>
      <c r="BJ98" s="289">
        <v>0</v>
      </c>
      <c r="BK98" s="289">
        <v>1504419.145835669</v>
      </c>
      <c r="BL98" s="289">
        <v>6350.88</v>
      </c>
      <c r="BM98" s="301">
        <v>2796</v>
      </c>
    </row>
    <row r="99" spans="6:65" s="289" customFormat="1" ht="12.75">
      <c r="F99" s="289">
        <v>90</v>
      </c>
      <c r="G99" s="289" t="s">
        <v>143</v>
      </c>
      <c r="H99" s="289">
        <v>181</v>
      </c>
      <c r="I99" s="289">
        <v>22</v>
      </c>
      <c r="J99" s="289">
        <v>217</v>
      </c>
      <c r="K99" s="289">
        <v>104</v>
      </c>
      <c r="L99" s="289">
        <v>2386</v>
      </c>
      <c r="M99" s="289">
        <v>617</v>
      </c>
      <c r="N99" s="289">
        <v>419</v>
      </c>
      <c r="O99" s="289">
        <v>139</v>
      </c>
      <c r="P99" s="289">
        <v>3742</v>
      </c>
      <c r="Q99" s="289">
        <v>1</v>
      </c>
      <c r="R99" s="289">
        <v>6</v>
      </c>
      <c r="S99" s="289">
        <v>1030.28</v>
      </c>
      <c r="T99" s="289">
        <v>3.6320223628528168</v>
      </c>
      <c r="U99" s="289">
        <v>0</v>
      </c>
      <c r="V99" s="289">
        <v>0</v>
      </c>
      <c r="W99" s="289">
        <v>1286</v>
      </c>
      <c r="X99" s="289">
        <v>162</v>
      </c>
      <c r="Y99" s="289">
        <v>22</v>
      </c>
      <c r="Z99" s="289">
        <v>0.900466551115456</v>
      </c>
      <c r="AA99" s="289">
        <v>2</v>
      </c>
      <c r="AB99" s="289">
        <v>2</v>
      </c>
      <c r="AC99" s="289">
        <v>0.3215402487526717</v>
      </c>
      <c r="AD99" s="289">
        <v>329</v>
      </c>
      <c r="AE99" s="289">
        <v>21</v>
      </c>
      <c r="AF99" s="289">
        <v>1</v>
      </c>
      <c r="AG99" s="289">
        <v>1</v>
      </c>
      <c r="AH99" s="289">
        <v>352</v>
      </c>
      <c r="AI99" s="289">
        <v>1.8443560440580822</v>
      </c>
      <c r="AJ99" s="289">
        <v>1516</v>
      </c>
      <c r="AK99" s="289">
        <v>194</v>
      </c>
      <c r="AL99" s="289">
        <v>1.306748527512107</v>
      </c>
      <c r="AM99" s="289">
        <v>1.6444170985886164</v>
      </c>
      <c r="AN99" s="289">
        <v>0.05</v>
      </c>
      <c r="AO99" s="289">
        <v>0</v>
      </c>
      <c r="AP99" s="289">
        <f t="shared" si="0"/>
        <v>0.05</v>
      </c>
      <c r="AQ99" s="289">
        <v>50519.79779796116</v>
      </c>
      <c r="AR99" s="289">
        <v>2580171.036829269</v>
      </c>
      <c r="AS99" s="289">
        <v>1</v>
      </c>
      <c r="AT99" s="289">
        <v>3742</v>
      </c>
      <c r="AU99" s="289">
        <v>0</v>
      </c>
      <c r="AV99" s="289">
        <v>0</v>
      </c>
      <c r="AW99" s="289">
        <v>0</v>
      </c>
      <c r="AX99" s="289">
        <v>0.68</v>
      </c>
      <c r="AY99" s="289">
        <v>1030.28</v>
      </c>
      <c r="AZ99" s="289">
        <v>3.6320223628528168</v>
      </c>
      <c r="BA99" s="289">
        <v>1543</v>
      </c>
      <c r="BB99" s="289">
        <v>0.4123463388562266</v>
      </c>
      <c r="BC99" s="289">
        <v>0</v>
      </c>
      <c r="BD99" s="289">
        <v>0</v>
      </c>
      <c r="BE99" s="289">
        <v>3975</v>
      </c>
      <c r="BF99" s="289">
        <v>3742</v>
      </c>
      <c r="BG99" s="289">
        <v>-0.05861635220125786</v>
      </c>
      <c r="BH99" s="289">
        <v>0</v>
      </c>
      <c r="BI99" s="289">
        <v>0</v>
      </c>
      <c r="BJ99" s="289">
        <v>0</v>
      </c>
      <c r="BK99" s="289">
        <v>772276.8886479214</v>
      </c>
      <c r="BL99" s="289">
        <v>7723.11</v>
      </c>
      <c r="BM99" s="301">
        <v>849</v>
      </c>
    </row>
    <row r="100" spans="6:65" s="289" customFormat="1" ht="12.75">
      <c r="F100" s="289">
        <v>91</v>
      </c>
      <c r="G100" s="289" t="s">
        <v>144</v>
      </c>
      <c r="H100" s="289">
        <v>42224</v>
      </c>
      <c r="I100" s="289">
        <v>5464</v>
      </c>
      <c r="J100" s="289">
        <v>30054</v>
      </c>
      <c r="K100" s="289">
        <v>15128</v>
      </c>
      <c r="L100" s="289">
        <v>466364</v>
      </c>
      <c r="M100" s="289">
        <v>54439</v>
      </c>
      <c r="N100" s="289">
        <v>28934</v>
      </c>
      <c r="O100" s="289">
        <v>12007</v>
      </c>
      <c r="P100" s="289">
        <v>603968</v>
      </c>
      <c r="Q100" s="289">
        <v>3162</v>
      </c>
      <c r="R100" s="289">
        <v>7781</v>
      </c>
      <c r="S100" s="289">
        <v>213.75</v>
      </c>
      <c r="T100" s="289">
        <v>2825.581286549708</v>
      </c>
      <c r="U100" s="289">
        <v>1</v>
      </c>
      <c r="V100" s="289">
        <v>1</v>
      </c>
      <c r="W100" s="289">
        <v>295312</v>
      </c>
      <c r="X100" s="289">
        <v>448</v>
      </c>
      <c r="Y100" s="289">
        <v>3978</v>
      </c>
      <c r="Z100" s="289">
        <v>1.035067527459816</v>
      </c>
      <c r="AA100" s="289">
        <v>1176</v>
      </c>
      <c r="AB100" s="289">
        <v>1176</v>
      </c>
      <c r="AC100" s="289">
        <v>1.1713927280410694</v>
      </c>
      <c r="AD100" s="289">
        <v>16498</v>
      </c>
      <c r="AE100" s="289">
        <v>2604</v>
      </c>
      <c r="AF100" s="289">
        <v>1033</v>
      </c>
      <c r="AG100" s="289">
        <v>228</v>
      </c>
      <c r="AH100" s="289">
        <v>20363</v>
      </c>
      <c r="AI100" s="289">
        <v>0.6610490952802257</v>
      </c>
      <c r="AJ100" s="289">
        <v>315455</v>
      </c>
      <c r="AK100" s="289">
        <v>24726</v>
      </c>
      <c r="AL100" s="289">
        <v>0.8003978995216167</v>
      </c>
      <c r="AM100" s="289">
        <v>0.7926806058638272</v>
      </c>
      <c r="AN100" s="289">
        <v>0</v>
      </c>
      <c r="AO100" s="289">
        <v>0</v>
      </c>
      <c r="AP100" s="289">
        <f t="shared" si="0"/>
        <v>0</v>
      </c>
      <c r="AQ100" s="289">
        <v>-5538615.30365333</v>
      </c>
      <c r="AR100" s="289">
        <v>-312171227.2006501</v>
      </c>
      <c r="AS100" s="289">
        <v>1</v>
      </c>
      <c r="AT100" s="289">
        <v>603968</v>
      </c>
      <c r="AU100" s="289">
        <v>1</v>
      </c>
      <c r="AV100" s="289">
        <v>798</v>
      </c>
      <c r="AW100" s="289">
        <v>0.0013212620536187348</v>
      </c>
      <c r="AX100" s="289">
        <v>0</v>
      </c>
      <c r="AY100" s="289">
        <v>213.75</v>
      </c>
      <c r="AZ100" s="289">
        <v>2825.581286549708</v>
      </c>
      <c r="BA100" s="289">
        <v>586343</v>
      </c>
      <c r="BB100" s="289">
        <v>0.970817990357105</v>
      </c>
      <c r="BC100" s="289">
        <v>1</v>
      </c>
      <c r="BD100" s="289">
        <v>0</v>
      </c>
      <c r="BE100" s="289">
        <v>583350</v>
      </c>
      <c r="BF100" s="289">
        <v>603968</v>
      </c>
      <c r="BG100" s="289">
        <v>0.03534413302477072</v>
      </c>
      <c r="BH100" s="289">
        <v>0</v>
      </c>
      <c r="BI100" s="289">
        <v>59</v>
      </c>
      <c r="BJ100" s="289">
        <v>9.768729469110946E-05</v>
      </c>
      <c r="BK100" s="289">
        <v>69567903.39807385</v>
      </c>
      <c r="BL100" s="289">
        <v>6475.34</v>
      </c>
      <c r="BM100" s="301">
        <v>203377</v>
      </c>
    </row>
    <row r="101" spans="6:65" s="289" customFormat="1" ht="12.75">
      <c r="F101" s="289">
        <v>92</v>
      </c>
      <c r="G101" s="289" t="s">
        <v>401</v>
      </c>
      <c r="H101" s="289">
        <v>18700</v>
      </c>
      <c r="I101" s="289">
        <v>2614</v>
      </c>
      <c r="J101" s="289">
        <v>14097</v>
      </c>
      <c r="K101" s="289">
        <v>6874</v>
      </c>
      <c r="L101" s="289">
        <v>159033</v>
      </c>
      <c r="M101" s="289">
        <v>17690</v>
      </c>
      <c r="N101" s="289">
        <v>7883</v>
      </c>
      <c r="O101" s="289">
        <v>2006</v>
      </c>
      <c r="P101" s="289">
        <v>205312</v>
      </c>
      <c r="Q101" s="289">
        <v>614</v>
      </c>
      <c r="R101" s="289">
        <v>3248</v>
      </c>
      <c r="S101" s="289">
        <v>238.37</v>
      </c>
      <c r="T101" s="289">
        <v>861.3164408272853</v>
      </c>
      <c r="U101" s="289">
        <v>0</v>
      </c>
      <c r="V101" s="289">
        <v>1</v>
      </c>
      <c r="W101" s="289">
        <v>101348</v>
      </c>
      <c r="X101" s="289">
        <v>192</v>
      </c>
      <c r="Y101" s="289">
        <v>1098</v>
      </c>
      <c r="Z101" s="289">
        <v>1.0374414460456194</v>
      </c>
      <c r="AA101" s="289">
        <v>470</v>
      </c>
      <c r="AB101" s="289">
        <v>470</v>
      </c>
      <c r="AC101" s="289">
        <v>1.3771861778446313</v>
      </c>
      <c r="AD101" s="289">
        <v>4863</v>
      </c>
      <c r="AE101" s="289">
        <v>1264</v>
      </c>
      <c r="AF101" s="289">
        <v>412</v>
      </c>
      <c r="AG101" s="289">
        <v>44</v>
      </c>
      <c r="AH101" s="289">
        <v>6583</v>
      </c>
      <c r="AI101" s="289">
        <v>0.6286593866054601</v>
      </c>
      <c r="AJ101" s="289">
        <v>108814</v>
      </c>
      <c r="AK101" s="289">
        <v>9144</v>
      </c>
      <c r="AL101" s="289">
        <v>0.8581059886702149</v>
      </c>
      <c r="AM101" s="289">
        <v>0.7264507822172329</v>
      </c>
      <c r="AN101" s="289">
        <v>0</v>
      </c>
      <c r="AO101" s="289">
        <v>0</v>
      </c>
      <c r="AP101" s="289">
        <f t="shared" si="0"/>
        <v>0</v>
      </c>
      <c r="AQ101" s="289">
        <v>-133128.08959154785</v>
      </c>
      <c r="AR101" s="289">
        <v>-68126461.70246185</v>
      </c>
      <c r="AS101" s="289">
        <v>1</v>
      </c>
      <c r="AT101" s="289">
        <v>205312</v>
      </c>
      <c r="AU101" s="289">
        <v>0</v>
      </c>
      <c r="AV101" s="289">
        <v>0</v>
      </c>
      <c r="AW101" s="289">
        <v>0</v>
      </c>
      <c r="AX101" s="289">
        <v>0</v>
      </c>
      <c r="AY101" s="289">
        <v>238.37</v>
      </c>
      <c r="AZ101" s="289">
        <v>861.3164408272853</v>
      </c>
      <c r="BA101" s="289">
        <v>201577</v>
      </c>
      <c r="BB101" s="289">
        <v>0.9818081748753117</v>
      </c>
      <c r="BC101" s="289">
        <v>1</v>
      </c>
      <c r="BD101" s="289">
        <v>0</v>
      </c>
      <c r="BE101" s="289">
        <v>197636</v>
      </c>
      <c r="BF101" s="289">
        <v>205312</v>
      </c>
      <c r="BG101" s="289">
        <v>0.038839077900787305</v>
      </c>
      <c r="BH101" s="289">
        <v>0</v>
      </c>
      <c r="BI101" s="289">
        <v>15</v>
      </c>
      <c r="BJ101" s="289">
        <v>7.305953865336659E-05</v>
      </c>
      <c r="BK101" s="289">
        <v>21196489.556067355</v>
      </c>
      <c r="BL101" s="289">
        <v>6422.9</v>
      </c>
      <c r="BM101" s="301">
        <v>74087</v>
      </c>
    </row>
    <row r="102" spans="6:65" s="289" customFormat="1" ht="12.75">
      <c r="F102" s="289">
        <v>97</v>
      </c>
      <c r="G102" s="289" t="s">
        <v>145</v>
      </c>
      <c r="H102" s="289">
        <v>93</v>
      </c>
      <c r="I102" s="289">
        <v>19</v>
      </c>
      <c r="J102" s="289">
        <v>117</v>
      </c>
      <c r="K102" s="289">
        <v>100</v>
      </c>
      <c r="L102" s="289">
        <v>1568</v>
      </c>
      <c r="M102" s="289">
        <v>351</v>
      </c>
      <c r="N102" s="289">
        <v>265</v>
      </c>
      <c r="O102" s="289">
        <v>100</v>
      </c>
      <c r="P102" s="289">
        <v>2377</v>
      </c>
      <c r="Q102" s="289">
        <v>0</v>
      </c>
      <c r="R102" s="289">
        <v>4</v>
      </c>
      <c r="S102" s="289">
        <v>465.38000000000005</v>
      </c>
      <c r="T102" s="289">
        <v>5.107653960204564</v>
      </c>
      <c r="U102" s="289">
        <v>1</v>
      </c>
      <c r="V102" s="289">
        <v>0</v>
      </c>
      <c r="W102" s="289">
        <v>860</v>
      </c>
      <c r="X102" s="289">
        <v>141</v>
      </c>
      <c r="Y102" s="289">
        <v>25</v>
      </c>
      <c r="Z102" s="289">
        <v>0.8479846256338651</v>
      </c>
      <c r="AA102" s="289">
        <v>3</v>
      </c>
      <c r="AB102" s="289">
        <v>2</v>
      </c>
      <c r="AC102" s="289">
        <v>0.5061857849526704</v>
      </c>
      <c r="AD102" s="289">
        <v>149</v>
      </c>
      <c r="AE102" s="289">
        <v>15</v>
      </c>
      <c r="AF102" s="289">
        <v>4</v>
      </c>
      <c r="AG102" s="289">
        <v>0</v>
      </c>
      <c r="AH102" s="289">
        <v>168</v>
      </c>
      <c r="AI102" s="289">
        <v>1.3857534961388707</v>
      </c>
      <c r="AJ102" s="289">
        <v>978</v>
      </c>
      <c r="AK102" s="289">
        <v>95</v>
      </c>
      <c r="AL102" s="289">
        <v>0.9919145053670104</v>
      </c>
      <c r="AM102" s="289">
        <v>1.3075794883689653</v>
      </c>
      <c r="AN102" s="289">
        <v>0</v>
      </c>
      <c r="AO102" s="289">
        <v>0</v>
      </c>
      <c r="AP102" s="289">
        <f t="shared" si="0"/>
        <v>0</v>
      </c>
      <c r="AQ102" s="289">
        <v>86034.37929508742</v>
      </c>
      <c r="AR102" s="289">
        <v>1846549.2711538465</v>
      </c>
      <c r="AS102" s="289">
        <v>1</v>
      </c>
      <c r="AT102" s="289">
        <v>2377</v>
      </c>
      <c r="AU102" s="289">
        <v>1</v>
      </c>
      <c r="AV102" s="289">
        <v>1933</v>
      </c>
      <c r="AW102" s="289">
        <v>0.8132099284812789</v>
      </c>
      <c r="AX102" s="289">
        <v>0</v>
      </c>
      <c r="AY102" s="289">
        <v>465.38</v>
      </c>
      <c r="AZ102" s="289">
        <v>5.107653960204564</v>
      </c>
      <c r="BA102" s="289">
        <v>882</v>
      </c>
      <c r="BB102" s="289">
        <v>0.3710559528817838</v>
      </c>
      <c r="BC102" s="289">
        <v>0</v>
      </c>
      <c r="BD102" s="289">
        <v>0</v>
      </c>
      <c r="BE102" s="289">
        <v>2436</v>
      </c>
      <c r="BF102" s="289">
        <v>2377</v>
      </c>
      <c r="BG102" s="289">
        <v>-0.024220032840722498</v>
      </c>
      <c r="BH102" s="289">
        <v>0</v>
      </c>
      <c r="BI102" s="289">
        <v>0</v>
      </c>
      <c r="BJ102" s="289">
        <v>0</v>
      </c>
      <c r="BK102" s="289">
        <v>652380.7676459567</v>
      </c>
      <c r="BL102" s="289">
        <v>7347.51</v>
      </c>
      <c r="BM102" s="301">
        <v>565</v>
      </c>
    </row>
    <row r="103" spans="6:65" s="289" customFormat="1" ht="12.75">
      <c r="F103" s="289">
        <v>98</v>
      </c>
      <c r="G103" s="289" t="s">
        <v>146</v>
      </c>
      <c r="H103" s="289">
        <v>1858</v>
      </c>
      <c r="I103" s="289">
        <v>299</v>
      </c>
      <c r="J103" s="289">
        <v>1856</v>
      </c>
      <c r="K103" s="289">
        <v>881</v>
      </c>
      <c r="L103" s="289">
        <v>16212</v>
      </c>
      <c r="M103" s="289">
        <v>2471</v>
      </c>
      <c r="N103" s="289">
        <v>1151</v>
      </c>
      <c r="O103" s="289">
        <v>362</v>
      </c>
      <c r="P103" s="289">
        <v>22054</v>
      </c>
      <c r="Q103" s="289">
        <v>20</v>
      </c>
      <c r="R103" s="289">
        <v>41</v>
      </c>
      <c r="S103" s="289">
        <v>463.16</v>
      </c>
      <c r="T103" s="289">
        <v>47.61637447102513</v>
      </c>
      <c r="U103" s="289">
        <v>0</v>
      </c>
      <c r="V103" s="289">
        <v>0</v>
      </c>
      <c r="W103" s="289">
        <v>9555</v>
      </c>
      <c r="X103" s="289">
        <v>283</v>
      </c>
      <c r="Y103" s="289">
        <v>144</v>
      </c>
      <c r="Z103" s="289">
        <v>1.0038571096798743</v>
      </c>
      <c r="AA103" s="289">
        <v>47</v>
      </c>
      <c r="AB103" s="289">
        <v>47</v>
      </c>
      <c r="AC103" s="289">
        <v>1.2820932644673844</v>
      </c>
      <c r="AD103" s="289">
        <v>726</v>
      </c>
      <c r="AE103" s="289">
        <v>174</v>
      </c>
      <c r="AF103" s="289">
        <v>18</v>
      </c>
      <c r="AG103" s="289">
        <v>0</v>
      </c>
      <c r="AH103" s="289">
        <v>918</v>
      </c>
      <c r="AI103" s="289">
        <v>0.8161334795587465</v>
      </c>
      <c r="AJ103" s="289">
        <v>10547</v>
      </c>
      <c r="AK103" s="289">
        <v>844</v>
      </c>
      <c r="AL103" s="289">
        <v>0.8171522697839767</v>
      </c>
      <c r="AM103" s="289">
        <v>0.8149436939293007</v>
      </c>
      <c r="AN103" s="289">
        <v>0</v>
      </c>
      <c r="AO103" s="289">
        <v>0</v>
      </c>
      <c r="AP103" s="289">
        <f t="shared" si="0"/>
        <v>0</v>
      </c>
      <c r="AQ103" s="289">
        <v>-6568.542668476701</v>
      </c>
      <c r="AR103" s="289">
        <v>-290113.59000506374</v>
      </c>
      <c r="AS103" s="289">
        <v>1</v>
      </c>
      <c r="AT103" s="289">
        <v>22054</v>
      </c>
      <c r="AU103" s="289">
        <v>0</v>
      </c>
      <c r="AV103" s="289">
        <v>0</v>
      </c>
      <c r="AW103" s="289">
        <v>0</v>
      </c>
      <c r="AX103" s="289">
        <v>0</v>
      </c>
      <c r="AY103" s="289">
        <v>463.17</v>
      </c>
      <c r="AZ103" s="289">
        <v>47.61534641708228</v>
      </c>
      <c r="BA103" s="289">
        <v>17251</v>
      </c>
      <c r="BB103" s="289">
        <v>0.7822163779813186</v>
      </c>
      <c r="BC103" s="289">
        <v>0</v>
      </c>
      <c r="BD103" s="289">
        <v>0</v>
      </c>
      <c r="BE103" s="289">
        <v>21845</v>
      </c>
      <c r="BF103" s="289">
        <v>22054</v>
      </c>
      <c r="BG103" s="289">
        <v>0.009567406729228657</v>
      </c>
      <c r="BH103" s="289">
        <v>0</v>
      </c>
      <c r="BI103" s="289">
        <v>0</v>
      </c>
      <c r="BJ103" s="289">
        <v>0</v>
      </c>
      <c r="BK103" s="289">
        <v>3603931.3466573795</v>
      </c>
      <c r="BL103" s="289">
        <v>5958.42</v>
      </c>
      <c r="BM103" s="301">
        <v>7359</v>
      </c>
    </row>
    <row r="104" spans="6:65" s="289" customFormat="1" ht="12.75">
      <c r="F104" s="289">
        <v>99</v>
      </c>
      <c r="G104" s="289" t="s">
        <v>147</v>
      </c>
      <c r="H104" s="289">
        <v>132</v>
      </c>
      <c r="I104" s="289">
        <v>19</v>
      </c>
      <c r="J104" s="289">
        <v>86</v>
      </c>
      <c r="K104" s="289">
        <v>49</v>
      </c>
      <c r="L104" s="289">
        <v>1261</v>
      </c>
      <c r="M104" s="289">
        <v>223</v>
      </c>
      <c r="N104" s="289">
        <v>138</v>
      </c>
      <c r="O104" s="289">
        <v>78</v>
      </c>
      <c r="P104" s="289">
        <v>1832</v>
      </c>
      <c r="Q104" s="289">
        <v>0</v>
      </c>
      <c r="R104" s="289">
        <v>14</v>
      </c>
      <c r="S104" s="289">
        <v>331.36</v>
      </c>
      <c r="T104" s="289">
        <v>5.528730082085948</v>
      </c>
      <c r="U104" s="289">
        <v>0</v>
      </c>
      <c r="V104" s="289">
        <v>0</v>
      </c>
      <c r="W104" s="289">
        <v>783</v>
      </c>
      <c r="X104" s="289">
        <v>207</v>
      </c>
      <c r="Y104" s="289">
        <v>24</v>
      </c>
      <c r="Z104" s="289">
        <v>0.7408056309710094</v>
      </c>
      <c r="AA104" s="289">
        <v>0</v>
      </c>
      <c r="AB104" s="289">
        <v>2</v>
      </c>
      <c r="AC104" s="289">
        <v>0.6567705299304025</v>
      </c>
      <c r="AD104" s="289">
        <v>139</v>
      </c>
      <c r="AE104" s="289">
        <v>8</v>
      </c>
      <c r="AF104" s="289">
        <v>2</v>
      </c>
      <c r="AG104" s="289">
        <v>0</v>
      </c>
      <c r="AH104" s="289">
        <v>149</v>
      </c>
      <c r="AI104" s="289">
        <v>1.5946547911077935</v>
      </c>
      <c r="AJ104" s="289">
        <v>873</v>
      </c>
      <c r="AK104" s="289">
        <v>75</v>
      </c>
      <c r="AL104" s="289">
        <v>0.8772765294347407</v>
      </c>
      <c r="AM104" s="289">
        <v>1.259436467853365</v>
      </c>
      <c r="AN104" s="289">
        <v>0</v>
      </c>
      <c r="AO104" s="289">
        <v>0</v>
      </c>
      <c r="AP104" s="289">
        <f t="shared" si="0"/>
        <v>0</v>
      </c>
      <c r="AQ104" s="289">
        <v>83056.90863813274</v>
      </c>
      <c r="AR104" s="289">
        <v>1140415.7332530126</v>
      </c>
      <c r="AS104" s="289">
        <v>1</v>
      </c>
      <c r="AT104" s="289">
        <v>1832</v>
      </c>
      <c r="AU104" s="289">
        <v>0</v>
      </c>
      <c r="AV104" s="289">
        <v>0</v>
      </c>
      <c r="AW104" s="289">
        <v>0</v>
      </c>
      <c r="AX104" s="289">
        <v>0</v>
      </c>
      <c r="AY104" s="289">
        <v>331.16</v>
      </c>
      <c r="AZ104" s="289">
        <v>5.5320690904698635</v>
      </c>
      <c r="BA104" s="289">
        <v>807</v>
      </c>
      <c r="BB104" s="289">
        <v>0.4405021834061135</v>
      </c>
      <c r="BC104" s="289">
        <v>0</v>
      </c>
      <c r="BD104" s="289">
        <v>0</v>
      </c>
      <c r="BE104" s="289">
        <v>1889</v>
      </c>
      <c r="BF104" s="289">
        <v>1832</v>
      </c>
      <c r="BG104" s="289">
        <v>-0.030174695606140816</v>
      </c>
      <c r="BH104" s="289">
        <v>0</v>
      </c>
      <c r="BI104" s="289">
        <v>0</v>
      </c>
      <c r="BJ104" s="289">
        <v>0</v>
      </c>
      <c r="BK104" s="289">
        <v>576959.1512272457</v>
      </c>
      <c r="BL104" s="289">
        <v>7420.25</v>
      </c>
      <c r="BM104" s="301">
        <v>493</v>
      </c>
    </row>
    <row r="105" spans="6:65" s="289" customFormat="1" ht="12.75">
      <c r="F105" s="289">
        <v>102</v>
      </c>
      <c r="G105" s="289" t="s">
        <v>148</v>
      </c>
      <c r="H105" s="289">
        <v>730</v>
      </c>
      <c r="I105" s="289">
        <v>110</v>
      </c>
      <c r="J105" s="289">
        <v>611</v>
      </c>
      <c r="K105" s="289">
        <v>341</v>
      </c>
      <c r="L105" s="289">
        <v>7329</v>
      </c>
      <c r="M105" s="289">
        <v>1325</v>
      </c>
      <c r="N105" s="289">
        <v>872</v>
      </c>
      <c r="O105" s="289">
        <v>367</v>
      </c>
      <c r="P105" s="289">
        <v>10623</v>
      </c>
      <c r="Q105" s="289">
        <v>0</v>
      </c>
      <c r="R105" s="289">
        <v>21</v>
      </c>
      <c r="S105" s="289">
        <v>532.62</v>
      </c>
      <c r="T105" s="289">
        <v>19.944801171566972</v>
      </c>
      <c r="U105" s="289">
        <v>0</v>
      </c>
      <c r="V105" s="289">
        <v>0</v>
      </c>
      <c r="W105" s="289">
        <v>4400</v>
      </c>
      <c r="X105" s="289">
        <v>511</v>
      </c>
      <c r="Y105" s="289">
        <v>66</v>
      </c>
      <c r="Z105" s="289">
        <v>0.9130164043969443</v>
      </c>
      <c r="AA105" s="289">
        <v>8</v>
      </c>
      <c r="AB105" s="289">
        <v>8</v>
      </c>
      <c r="AC105" s="289">
        <v>0.4530560522761923</v>
      </c>
      <c r="AD105" s="289">
        <v>641</v>
      </c>
      <c r="AE105" s="289">
        <v>60</v>
      </c>
      <c r="AF105" s="289">
        <v>23</v>
      </c>
      <c r="AG105" s="289">
        <v>6</v>
      </c>
      <c r="AH105" s="289">
        <v>730</v>
      </c>
      <c r="AI105" s="289">
        <v>1.3473535209065293</v>
      </c>
      <c r="AJ105" s="289">
        <v>4855</v>
      </c>
      <c r="AK105" s="289">
        <v>361</v>
      </c>
      <c r="AL105" s="289">
        <v>0.7592896123060674</v>
      </c>
      <c r="AM105" s="289">
        <v>1.1963798861182964</v>
      </c>
      <c r="AN105" s="289">
        <v>0</v>
      </c>
      <c r="AO105" s="289">
        <v>0</v>
      </c>
      <c r="AP105" s="289">
        <f t="shared" si="0"/>
        <v>0</v>
      </c>
      <c r="AQ105" s="289">
        <v>66100.35522380471</v>
      </c>
      <c r="AR105" s="289">
        <v>5627524.268860763</v>
      </c>
      <c r="AS105" s="289">
        <v>1</v>
      </c>
      <c r="AT105" s="289">
        <v>10623</v>
      </c>
      <c r="AU105" s="289">
        <v>0</v>
      </c>
      <c r="AV105" s="289">
        <v>0</v>
      </c>
      <c r="AW105" s="289">
        <v>0</v>
      </c>
      <c r="AX105" s="289">
        <v>0</v>
      </c>
      <c r="AY105" s="289">
        <v>532.62</v>
      </c>
      <c r="AZ105" s="289">
        <v>19.944801171566972</v>
      </c>
      <c r="BA105" s="289">
        <v>7225</v>
      </c>
      <c r="BB105" s="289">
        <v>0.6801280240986539</v>
      </c>
      <c r="BC105" s="289">
        <v>0</v>
      </c>
      <c r="BD105" s="289">
        <v>0</v>
      </c>
      <c r="BE105" s="289">
        <v>10700</v>
      </c>
      <c r="BF105" s="289">
        <v>10623</v>
      </c>
      <c r="BG105" s="289">
        <v>-0.007196261682242991</v>
      </c>
      <c r="BH105" s="289">
        <v>0</v>
      </c>
      <c r="BI105" s="289">
        <v>0</v>
      </c>
      <c r="BJ105" s="289">
        <v>0</v>
      </c>
      <c r="BK105" s="289">
        <v>2147920.280367576</v>
      </c>
      <c r="BL105" s="289">
        <v>6443.58</v>
      </c>
      <c r="BM105" s="301">
        <v>3226</v>
      </c>
    </row>
    <row r="106" spans="6:65" s="289" customFormat="1" ht="12.75">
      <c r="F106" s="289">
        <v>103</v>
      </c>
      <c r="G106" s="289" t="s">
        <v>149</v>
      </c>
      <c r="H106" s="289">
        <v>185</v>
      </c>
      <c r="I106" s="289">
        <v>31</v>
      </c>
      <c r="J106" s="289">
        <v>183</v>
      </c>
      <c r="K106" s="289">
        <v>97</v>
      </c>
      <c r="L106" s="289">
        <v>1783</v>
      </c>
      <c r="M106" s="289">
        <v>255</v>
      </c>
      <c r="N106" s="289">
        <v>197</v>
      </c>
      <c r="O106" s="289">
        <v>76</v>
      </c>
      <c r="P106" s="289">
        <v>2496</v>
      </c>
      <c r="Q106" s="289">
        <v>0</v>
      </c>
      <c r="R106" s="289">
        <v>6</v>
      </c>
      <c r="S106" s="289">
        <v>147.94</v>
      </c>
      <c r="T106" s="289">
        <v>16.87170474516696</v>
      </c>
      <c r="U106" s="289">
        <v>0</v>
      </c>
      <c r="V106" s="289">
        <v>0</v>
      </c>
      <c r="W106" s="289">
        <v>1077</v>
      </c>
      <c r="X106" s="289">
        <v>116</v>
      </c>
      <c r="Y106" s="289">
        <v>15</v>
      </c>
      <c r="Z106" s="289">
        <v>0.9230014690592226</v>
      </c>
      <c r="AA106" s="289">
        <v>0</v>
      </c>
      <c r="AB106" s="289">
        <v>2</v>
      </c>
      <c r="AC106" s="289">
        <v>0.4820527286989173</v>
      </c>
      <c r="AD106" s="289">
        <v>139</v>
      </c>
      <c r="AE106" s="289">
        <v>18</v>
      </c>
      <c r="AF106" s="289">
        <v>3</v>
      </c>
      <c r="AG106" s="289">
        <v>0</v>
      </c>
      <c r="AH106" s="289">
        <v>160</v>
      </c>
      <c r="AI106" s="289">
        <v>1.2568437348603845</v>
      </c>
      <c r="AJ106" s="289">
        <v>1193</v>
      </c>
      <c r="AK106" s="289">
        <v>115</v>
      </c>
      <c r="AL106" s="289">
        <v>0.9843439751059043</v>
      </c>
      <c r="AM106" s="289">
        <v>1.1298596597347557</v>
      </c>
      <c r="AN106" s="289">
        <v>0</v>
      </c>
      <c r="AO106" s="289">
        <v>0</v>
      </c>
      <c r="AP106" s="289">
        <f t="shared" si="0"/>
        <v>0</v>
      </c>
      <c r="AQ106" s="289">
        <v>46918.21716419887</v>
      </c>
      <c r="AR106" s="289">
        <v>1741611.1325000003</v>
      </c>
      <c r="AS106" s="289">
        <v>1</v>
      </c>
      <c r="AT106" s="289">
        <v>2496</v>
      </c>
      <c r="AU106" s="289">
        <v>0</v>
      </c>
      <c r="AV106" s="289">
        <v>0</v>
      </c>
      <c r="AW106" s="289">
        <v>0</v>
      </c>
      <c r="AX106" s="289">
        <v>0</v>
      </c>
      <c r="AY106" s="289">
        <v>147.94</v>
      </c>
      <c r="AZ106" s="289">
        <v>16.87170474516696</v>
      </c>
      <c r="BA106" s="289">
        <v>1488</v>
      </c>
      <c r="BB106" s="289">
        <v>0.5961538461538461</v>
      </c>
      <c r="BC106" s="289">
        <v>0</v>
      </c>
      <c r="BD106" s="289">
        <v>0</v>
      </c>
      <c r="BE106" s="289">
        <v>2524</v>
      </c>
      <c r="BF106" s="289">
        <v>2496</v>
      </c>
      <c r="BG106" s="289">
        <v>-0.011093502377179081</v>
      </c>
      <c r="BH106" s="289">
        <v>0</v>
      </c>
      <c r="BI106" s="289">
        <v>0</v>
      </c>
      <c r="BJ106" s="289">
        <v>0</v>
      </c>
      <c r="BK106" s="289">
        <v>519199.7873046006</v>
      </c>
      <c r="BL106" s="289">
        <v>6558.1</v>
      </c>
      <c r="BM106" s="301">
        <v>717</v>
      </c>
    </row>
    <row r="107" spans="6:65" s="289" customFormat="1" ht="12.75">
      <c r="F107" s="289">
        <v>105</v>
      </c>
      <c r="G107" s="289" t="s">
        <v>150</v>
      </c>
      <c r="H107" s="289">
        <v>95</v>
      </c>
      <c r="I107" s="289">
        <v>14</v>
      </c>
      <c r="J107" s="289">
        <v>113</v>
      </c>
      <c r="K107" s="289">
        <v>64</v>
      </c>
      <c r="L107" s="289">
        <v>1735</v>
      </c>
      <c r="M107" s="289">
        <v>407</v>
      </c>
      <c r="N107" s="289">
        <v>279</v>
      </c>
      <c r="O107" s="289">
        <v>87</v>
      </c>
      <c r="P107" s="289">
        <v>2603</v>
      </c>
      <c r="Q107" s="289">
        <v>0</v>
      </c>
      <c r="R107" s="289">
        <v>4</v>
      </c>
      <c r="S107" s="289">
        <v>1421.05</v>
      </c>
      <c r="T107" s="289">
        <v>1.8317441328595054</v>
      </c>
      <c r="U107" s="289">
        <v>0</v>
      </c>
      <c r="V107" s="289">
        <v>0</v>
      </c>
      <c r="W107" s="289">
        <v>849</v>
      </c>
      <c r="X107" s="289">
        <v>132</v>
      </c>
      <c r="Y107" s="289">
        <v>20</v>
      </c>
      <c r="Z107" s="289">
        <v>0.8626846031735105</v>
      </c>
      <c r="AA107" s="289">
        <v>2</v>
      </c>
      <c r="AB107" s="289">
        <v>2</v>
      </c>
      <c r="AC107" s="289">
        <v>0.46223726885612665</v>
      </c>
      <c r="AD107" s="289">
        <v>252</v>
      </c>
      <c r="AE107" s="289">
        <v>15</v>
      </c>
      <c r="AF107" s="289">
        <v>8</v>
      </c>
      <c r="AG107" s="289">
        <v>0</v>
      </c>
      <c r="AH107" s="289">
        <v>275</v>
      </c>
      <c r="AI107" s="289">
        <v>2.0714020831928734</v>
      </c>
      <c r="AJ107" s="289">
        <v>1043</v>
      </c>
      <c r="AK107" s="289">
        <v>162</v>
      </c>
      <c r="AL107" s="289">
        <v>1.5860621342516796</v>
      </c>
      <c r="AM107" s="289">
        <v>1.8727731567275583</v>
      </c>
      <c r="AN107" s="289">
        <v>0.0800000000000001</v>
      </c>
      <c r="AO107" s="289">
        <v>0</v>
      </c>
      <c r="AP107" s="289">
        <f t="shared" si="0"/>
        <v>0.0800000000000001</v>
      </c>
      <c r="AQ107" s="289">
        <v>133478.1041463446</v>
      </c>
      <c r="AR107" s="289">
        <v>2280000.83580247</v>
      </c>
      <c r="AS107" s="289">
        <v>0</v>
      </c>
      <c r="AT107" s="289">
        <v>2603</v>
      </c>
      <c r="AU107" s="289">
        <v>0</v>
      </c>
      <c r="AV107" s="289">
        <v>0</v>
      </c>
      <c r="AW107" s="289">
        <v>0</v>
      </c>
      <c r="AX107" s="289">
        <v>1.4300333333333333</v>
      </c>
      <c r="AY107" s="289">
        <v>1421.05</v>
      </c>
      <c r="AZ107" s="289">
        <v>1.8317441328595054</v>
      </c>
      <c r="BA107" s="289">
        <v>1401</v>
      </c>
      <c r="BB107" s="289">
        <v>0.5382251248559354</v>
      </c>
      <c r="BC107" s="289">
        <v>0</v>
      </c>
      <c r="BD107" s="289">
        <v>0</v>
      </c>
      <c r="BE107" s="289">
        <v>2791</v>
      </c>
      <c r="BF107" s="289">
        <v>2603</v>
      </c>
      <c r="BG107" s="289">
        <v>-0.06735936940164816</v>
      </c>
      <c r="BH107" s="289">
        <v>1</v>
      </c>
      <c r="BI107" s="289">
        <v>0</v>
      </c>
      <c r="BJ107" s="289">
        <v>0</v>
      </c>
      <c r="BK107" s="289">
        <v>647884.62679703</v>
      </c>
      <c r="BL107" s="289">
        <v>8435.33</v>
      </c>
      <c r="BM107" s="301">
        <v>602</v>
      </c>
    </row>
    <row r="108" spans="6:65" s="289" customFormat="1" ht="12.75">
      <c r="F108" s="289">
        <v>106</v>
      </c>
      <c r="G108" s="289" t="s">
        <v>151</v>
      </c>
      <c r="H108" s="289">
        <v>3517</v>
      </c>
      <c r="I108" s="289">
        <v>522</v>
      </c>
      <c r="J108" s="289">
        <v>3029</v>
      </c>
      <c r="K108" s="289">
        <v>1588</v>
      </c>
      <c r="L108" s="289">
        <v>34000</v>
      </c>
      <c r="M108" s="289">
        <v>4510</v>
      </c>
      <c r="N108" s="289">
        <v>2609</v>
      </c>
      <c r="O108" s="289">
        <v>956</v>
      </c>
      <c r="P108" s="289">
        <v>45592</v>
      </c>
      <c r="Q108" s="289">
        <v>49</v>
      </c>
      <c r="R108" s="289">
        <v>211</v>
      </c>
      <c r="S108" s="289">
        <v>322.62</v>
      </c>
      <c r="T108" s="289">
        <v>141.3179592089765</v>
      </c>
      <c r="U108" s="289">
        <v>0</v>
      </c>
      <c r="V108" s="289">
        <v>0</v>
      </c>
      <c r="W108" s="289">
        <v>20965</v>
      </c>
      <c r="X108" s="289">
        <v>148</v>
      </c>
      <c r="Y108" s="289">
        <v>216</v>
      </c>
      <c r="Z108" s="289">
        <v>1.0325721196166522</v>
      </c>
      <c r="AA108" s="289">
        <v>96</v>
      </c>
      <c r="AB108" s="289">
        <v>96</v>
      </c>
      <c r="AC108" s="289">
        <v>1.2667523539208605</v>
      </c>
      <c r="AD108" s="289">
        <v>1644</v>
      </c>
      <c r="AE108" s="289">
        <v>260</v>
      </c>
      <c r="AF108" s="289">
        <v>78</v>
      </c>
      <c r="AG108" s="289">
        <v>7</v>
      </c>
      <c r="AH108" s="289">
        <v>1989</v>
      </c>
      <c r="AI108" s="289">
        <v>0.8553660761261176</v>
      </c>
      <c r="AJ108" s="289">
        <v>22784</v>
      </c>
      <c r="AK108" s="289">
        <v>1787</v>
      </c>
      <c r="AL108" s="289">
        <v>0.80091065485791</v>
      </c>
      <c r="AM108" s="289">
        <v>0.8903825737934462</v>
      </c>
      <c r="AN108" s="289">
        <v>0</v>
      </c>
      <c r="AO108" s="289">
        <v>0</v>
      </c>
      <c r="AP108" s="289">
        <f t="shared" si="0"/>
        <v>0</v>
      </c>
      <c r="AQ108" s="289">
        <v>-44193.19768912345</v>
      </c>
      <c r="AR108" s="289">
        <v>-10350250.581400005</v>
      </c>
      <c r="AS108" s="289">
        <v>1</v>
      </c>
      <c r="AT108" s="289">
        <v>45592</v>
      </c>
      <c r="AU108" s="289">
        <v>0</v>
      </c>
      <c r="AV108" s="289">
        <v>0</v>
      </c>
      <c r="AW108" s="289">
        <v>0</v>
      </c>
      <c r="AX108" s="289">
        <v>0</v>
      </c>
      <c r="AY108" s="289">
        <v>322.61</v>
      </c>
      <c r="AZ108" s="289">
        <v>141.3223396670903</v>
      </c>
      <c r="BA108" s="289">
        <v>42081</v>
      </c>
      <c r="BB108" s="289">
        <v>0.9229908755922092</v>
      </c>
      <c r="BC108" s="289">
        <v>0</v>
      </c>
      <c r="BD108" s="289">
        <v>0</v>
      </c>
      <c r="BE108" s="289">
        <v>45270</v>
      </c>
      <c r="BF108" s="289">
        <v>45592</v>
      </c>
      <c r="BG108" s="289">
        <v>0.007112878285840512</v>
      </c>
      <c r="BH108" s="289">
        <v>0</v>
      </c>
      <c r="BI108" s="289">
        <v>1</v>
      </c>
      <c r="BJ108" s="289">
        <v>2.1933672574135815E-05</v>
      </c>
      <c r="BK108" s="289">
        <v>6937284.106202317</v>
      </c>
      <c r="BL108" s="289">
        <v>6001.78</v>
      </c>
      <c r="BM108" s="301">
        <v>15412</v>
      </c>
    </row>
    <row r="109" spans="6:65" s="289" customFormat="1" ht="12.75">
      <c r="F109" s="289">
        <v>108</v>
      </c>
      <c r="G109" s="289" t="s">
        <v>153</v>
      </c>
      <c r="H109" s="289">
        <v>821</v>
      </c>
      <c r="I109" s="289">
        <v>121</v>
      </c>
      <c r="J109" s="289">
        <v>814</v>
      </c>
      <c r="K109" s="289">
        <v>379</v>
      </c>
      <c r="L109" s="289">
        <v>7591</v>
      </c>
      <c r="M109" s="289">
        <v>1128</v>
      </c>
      <c r="N109" s="289">
        <v>685</v>
      </c>
      <c r="O109" s="289">
        <v>275</v>
      </c>
      <c r="P109" s="289">
        <v>10500</v>
      </c>
      <c r="Q109" s="289">
        <v>2</v>
      </c>
      <c r="R109" s="289">
        <v>21</v>
      </c>
      <c r="S109" s="289">
        <v>463.77</v>
      </c>
      <c r="T109" s="289">
        <v>22.640533022834596</v>
      </c>
      <c r="U109" s="289">
        <v>0</v>
      </c>
      <c r="V109" s="289">
        <v>0</v>
      </c>
      <c r="W109" s="289">
        <v>4425</v>
      </c>
      <c r="X109" s="289">
        <v>284</v>
      </c>
      <c r="Y109" s="289">
        <v>66</v>
      </c>
      <c r="Z109" s="289">
        <v>0.967701239204116</v>
      </c>
      <c r="AA109" s="289">
        <v>20</v>
      </c>
      <c r="AB109" s="289">
        <v>20</v>
      </c>
      <c r="AC109" s="289">
        <v>1.1459082007928547</v>
      </c>
      <c r="AD109" s="289">
        <v>529</v>
      </c>
      <c r="AE109" s="289">
        <v>84</v>
      </c>
      <c r="AF109" s="289">
        <v>14</v>
      </c>
      <c r="AG109" s="289">
        <v>4</v>
      </c>
      <c r="AH109" s="289">
        <v>631</v>
      </c>
      <c r="AI109" s="289">
        <v>1.1782730465211124</v>
      </c>
      <c r="AJ109" s="289">
        <v>4841</v>
      </c>
      <c r="AK109" s="289">
        <v>437</v>
      </c>
      <c r="AL109" s="289">
        <v>0.9217981773900241</v>
      </c>
      <c r="AM109" s="289">
        <v>1.1331863820976218</v>
      </c>
      <c r="AN109" s="289">
        <v>0</v>
      </c>
      <c r="AO109" s="289">
        <v>0</v>
      </c>
      <c r="AP109" s="289">
        <f t="shared" si="0"/>
        <v>0</v>
      </c>
      <c r="AQ109" s="289">
        <v>188528.23985093832</v>
      </c>
      <c r="AR109" s="289">
        <v>3717536.5068750014</v>
      </c>
      <c r="AS109" s="289">
        <v>1</v>
      </c>
      <c r="AT109" s="289">
        <v>10500</v>
      </c>
      <c r="AU109" s="289">
        <v>0</v>
      </c>
      <c r="AV109" s="289">
        <v>0</v>
      </c>
      <c r="AW109" s="289">
        <v>0</v>
      </c>
      <c r="AX109" s="289">
        <v>0</v>
      </c>
      <c r="AY109" s="289">
        <v>463.77</v>
      </c>
      <c r="AZ109" s="289">
        <v>22.640533022834596</v>
      </c>
      <c r="BA109" s="289">
        <v>6302</v>
      </c>
      <c r="BB109" s="289">
        <v>0.6001904761904762</v>
      </c>
      <c r="BC109" s="289">
        <v>0</v>
      </c>
      <c r="BD109" s="289">
        <v>0</v>
      </c>
      <c r="BE109" s="289">
        <v>10436</v>
      </c>
      <c r="BF109" s="289">
        <v>10500</v>
      </c>
      <c r="BG109" s="289">
        <v>0.006132617861249521</v>
      </c>
      <c r="BH109" s="289">
        <v>0</v>
      </c>
      <c r="BI109" s="289">
        <v>0</v>
      </c>
      <c r="BJ109" s="289">
        <v>0</v>
      </c>
      <c r="BK109" s="289">
        <v>1688833.1131161447</v>
      </c>
      <c r="BL109" s="289">
        <v>6351.98</v>
      </c>
      <c r="BM109" s="301">
        <v>3371</v>
      </c>
    </row>
    <row r="110" spans="6:65" s="289" customFormat="1" ht="12.75">
      <c r="F110" s="289">
        <v>109</v>
      </c>
      <c r="G110" s="289" t="s">
        <v>154</v>
      </c>
      <c r="H110" s="289">
        <v>4842</v>
      </c>
      <c r="I110" s="289">
        <v>684</v>
      </c>
      <c r="J110" s="289">
        <v>4006</v>
      </c>
      <c r="K110" s="289">
        <v>2199</v>
      </c>
      <c r="L110" s="289">
        <v>48120</v>
      </c>
      <c r="M110" s="289">
        <v>7795</v>
      </c>
      <c r="N110" s="289">
        <v>4744</v>
      </c>
      <c r="O110" s="289">
        <v>1996</v>
      </c>
      <c r="P110" s="289">
        <v>67497</v>
      </c>
      <c r="Q110" s="289">
        <v>14</v>
      </c>
      <c r="R110" s="289">
        <v>235</v>
      </c>
      <c r="S110" s="289">
        <v>1785.21</v>
      </c>
      <c r="T110" s="289">
        <v>37.80899726082646</v>
      </c>
      <c r="U110" s="289">
        <v>0</v>
      </c>
      <c r="V110" s="289">
        <v>0</v>
      </c>
      <c r="W110" s="289">
        <v>29030</v>
      </c>
      <c r="X110" s="289">
        <v>873</v>
      </c>
      <c r="Y110" s="289">
        <v>344</v>
      </c>
      <c r="Z110" s="289">
        <v>1.0067641889771701</v>
      </c>
      <c r="AA110" s="289">
        <v>113</v>
      </c>
      <c r="AB110" s="289">
        <v>113</v>
      </c>
      <c r="AC110" s="289">
        <v>1.007170748507876</v>
      </c>
      <c r="AD110" s="289">
        <v>3073</v>
      </c>
      <c r="AE110" s="289">
        <v>385</v>
      </c>
      <c r="AF110" s="289">
        <v>124</v>
      </c>
      <c r="AG110" s="289">
        <v>1</v>
      </c>
      <c r="AH110" s="289">
        <v>3583</v>
      </c>
      <c r="AI110" s="289">
        <v>1.0408022458964727</v>
      </c>
      <c r="AJ110" s="289">
        <v>32000</v>
      </c>
      <c r="AK110" s="289">
        <v>2793</v>
      </c>
      <c r="AL110" s="289">
        <v>0.8912723798662102</v>
      </c>
      <c r="AM110" s="289">
        <v>1.0081087238436024</v>
      </c>
      <c r="AN110" s="289">
        <v>0</v>
      </c>
      <c r="AO110" s="289">
        <v>0</v>
      </c>
      <c r="AP110" s="289">
        <f t="shared" si="0"/>
        <v>0</v>
      </c>
      <c r="AQ110" s="289">
        <v>-768345.0770012736</v>
      </c>
      <c r="AR110" s="289">
        <v>-4393029.702262821</v>
      </c>
      <c r="AS110" s="289">
        <v>1</v>
      </c>
      <c r="AT110" s="289">
        <v>67497</v>
      </c>
      <c r="AU110" s="289">
        <v>0</v>
      </c>
      <c r="AV110" s="289">
        <v>0</v>
      </c>
      <c r="AW110" s="289">
        <v>0</v>
      </c>
      <c r="AX110" s="289">
        <v>0</v>
      </c>
      <c r="AY110" s="289">
        <v>1785.78</v>
      </c>
      <c r="AZ110" s="289">
        <v>37.79692907301011</v>
      </c>
      <c r="BA110" s="289">
        <v>58308</v>
      </c>
      <c r="BB110" s="289">
        <v>0.863860616027379</v>
      </c>
      <c r="BC110" s="289">
        <v>0</v>
      </c>
      <c r="BD110" s="289">
        <v>0</v>
      </c>
      <c r="BE110" s="289">
        <v>66455</v>
      </c>
      <c r="BF110" s="289">
        <v>67497</v>
      </c>
      <c r="BG110" s="289">
        <v>0.01567978331201565</v>
      </c>
      <c r="BH110" s="289">
        <v>0</v>
      </c>
      <c r="BI110" s="289">
        <v>4</v>
      </c>
      <c r="BJ110" s="289">
        <v>5.926189312117576E-05</v>
      </c>
      <c r="BK110" s="289">
        <v>10033603.378468728</v>
      </c>
      <c r="BL110" s="289">
        <v>6026.4</v>
      </c>
      <c r="BM110" s="301">
        <v>21775</v>
      </c>
    </row>
    <row r="111" spans="6:65" s="289" customFormat="1" ht="12.75">
      <c r="F111" s="289">
        <v>111</v>
      </c>
      <c r="G111" s="289" t="s">
        <v>142</v>
      </c>
      <c r="H111" s="289">
        <v>1093</v>
      </c>
      <c r="I111" s="289">
        <v>148</v>
      </c>
      <c r="J111" s="289">
        <v>1123</v>
      </c>
      <c r="K111" s="289">
        <v>639</v>
      </c>
      <c r="L111" s="289">
        <v>13756</v>
      </c>
      <c r="M111" s="289">
        <v>2940</v>
      </c>
      <c r="N111" s="289">
        <v>1661</v>
      </c>
      <c r="O111" s="289">
        <v>601</v>
      </c>
      <c r="P111" s="289">
        <v>20051</v>
      </c>
      <c r="Q111" s="289">
        <v>2</v>
      </c>
      <c r="R111" s="289">
        <v>52</v>
      </c>
      <c r="S111" s="289">
        <v>676.0899999999999</v>
      </c>
      <c r="T111" s="289">
        <v>29.657294147228924</v>
      </c>
      <c r="U111" s="289">
        <v>0</v>
      </c>
      <c r="V111" s="289">
        <v>0</v>
      </c>
      <c r="W111" s="289">
        <v>7696</v>
      </c>
      <c r="X111" s="289">
        <v>202</v>
      </c>
      <c r="Y111" s="289">
        <v>79</v>
      </c>
      <c r="Z111" s="289">
        <v>1.012448766229958</v>
      </c>
      <c r="AA111" s="289">
        <v>67</v>
      </c>
      <c r="AB111" s="289">
        <v>67</v>
      </c>
      <c r="AC111" s="289">
        <v>2.010239936306851</v>
      </c>
      <c r="AD111" s="289">
        <v>936</v>
      </c>
      <c r="AE111" s="289">
        <v>108</v>
      </c>
      <c r="AF111" s="289">
        <v>26</v>
      </c>
      <c r="AG111" s="289">
        <v>0</v>
      </c>
      <c r="AH111" s="289">
        <v>1070</v>
      </c>
      <c r="AI111" s="289">
        <v>1.046293732097628</v>
      </c>
      <c r="AJ111" s="289">
        <v>9008</v>
      </c>
      <c r="AK111" s="289">
        <v>1182</v>
      </c>
      <c r="AL111" s="289">
        <v>1.3399191368447259</v>
      </c>
      <c r="AM111" s="289">
        <v>1.2020060814500944</v>
      </c>
      <c r="AN111" s="289">
        <v>0</v>
      </c>
      <c r="AO111" s="289">
        <v>0</v>
      </c>
      <c r="AP111" s="289">
        <f t="shared" si="0"/>
        <v>0</v>
      </c>
      <c r="AQ111" s="289">
        <v>-211195.58279307187</v>
      </c>
      <c r="AR111" s="289">
        <v>3367828.068170723</v>
      </c>
      <c r="AS111" s="289">
        <v>1</v>
      </c>
      <c r="AT111" s="289">
        <v>20051</v>
      </c>
      <c r="AU111" s="289">
        <v>0</v>
      </c>
      <c r="AV111" s="289">
        <v>0</v>
      </c>
      <c r="AW111" s="289">
        <v>0</v>
      </c>
      <c r="AX111" s="289">
        <v>0</v>
      </c>
      <c r="AY111" s="289">
        <v>676.25</v>
      </c>
      <c r="AZ111" s="289">
        <v>29.650277264325325</v>
      </c>
      <c r="BA111" s="289">
        <v>18002</v>
      </c>
      <c r="BB111" s="289">
        <v>0.8978105830133161</v>
      </c>
      <c r="BC111" s="289">
        <v>0</v>
      </c>
      <c r="BD111" s="289">
        <v>0</v>
      </c>
      <c r="BE111" s="289">
        <v>20374</v>
      </c>
      <c r="BF111" s="289">
        <v>20051</v>
      </c>
      <c r="BG111" s="289">
        <v>-0.01585353882399136</v>
      </c>
      <c r="BH111" s="289">
        <v>0</v>
      </c>
      <c r="BI111" s="289">
        <v>1</v>
      </c>
      <c r="BJ111" s="289">
        <v>4.9872824298039995E-05</v>
      </c>
      <c r="BK111" s="289">
        <v>3995171.1644902113</v>
      </c>
      <c r="BL111" s="289">
        <v>6185.49</v>
      </c>
      <c r="BM111" s="301">
        <v>5368</v>
      </c>
    </row>
    <row r="112" spans="6:65" s="289" customFormat="1" ht="12.75">
      <c r="F112" s="289">
        <v>139</v>
      </c>
      <c r="G112" s="289" t="s">
        <v>155</v>
      </c>
      <c r="H112" s="289">
        <v>1113</v>
      </c>
      <c r="I112" s="289">
        <v>162</v>
      </c>
      <c r="J112" s="289">
        <v>905</v>
      </c>
      <c r="K112" s="289">
        <v>407</v>
      </c>
      <c r="L112" s="289">
        <v>6835</v>
      </c>
      <c r="M112" s="289">
        <v>863</v>
      </c>
      <c r="N112" s="289">
        <v>594</v>
      </c>
      <c r="O112" s="289">
        <v>169</v>
      </c>
      <c r="P112" s="289">
        <v>9574</v>
      </c>
      <c r="Q112" s="289">
        <v>1</v>
      </c>
      <c r="R112" s="289">
        <v>7</v>
      </c>
      <c r="S112" s="289">
        <v>1552.6599999999996</v>
      </c>
      <c r="T112" s="289">
        <v>6.166192212074764</v>
      </c>
      <c r="U112" s="289">
        <v>0</v>
      </c>
      <c r="V112" s="289">
        <v>0</v>
      </c>
      <c r="W112" s="289">
        <v>3426</v>
      </c>
      <c r="X112" s="289">
        <v>176</v>
      </c>
      <c r="Y112" s="289">
        <v>67</v>
      </c>
      <c r="Z112" s="289">
        <v>0.9762841512512511</v>
      </c>
      <c r="AA112" s="289">
        <v>5</v>
      </c>
      <c r="AB112" s="289">
        <v>5</v>
      </c>
      <c r="AC112" s="289">
        <v>0.3141851918823108</v>
      </c>
      <c r="AD112" s="289">
        <v>545</v>
      </c>
      <c r="AE112" s="289">
        <v>96</v>
      </c>
      <c r="AF112" s="289">
        <v>19</v>
      </c>
      <c r="AG112" s="289">
        <v>1</v>
      </c>
      <c r="AH112" s="289">
        <v>661</v>
      </c>
      <c r="AI112" s="289">
        <v>1.3536734757036077</v>
      </c>
      <c r="AJ112" s="289">
        <v>3937</v>
      </c>
      <c r="AK112" s="289">
        <v>557</v>
      </c>
      <c r="AL112" s="289">
        <v>1.4447053170077604</v>
      </c>
      <c r="AM112" s="289">
        <v>1.2860657216438278</v>
      </c>
      <c r="AN112" s="289">
        <v>0</v>
      </c>
      <c r="AO112" s="289">
        <v>0</v>
      </c>
      <c r="AP112" s="289">
        <f t="shared" si="0"/>
        <v>0</v>
      </c>
      <c r="AQ112" s="289">
        <v>-103891.53774344549</v>
      </c>
      <c r="AR112" s="289">
        <v>6385976.434146344</v>
      </c>
      <c r="AS112" s="289">
        <v>1</v>
      </c>
      <c r="AT112" s="289">
        <v>9574</v>
      </c>
      <c r="AU112" s="289">
        <v>0</v>
      </c>
      <c r="AV112" s="289">
        <v>0</v>
      </c>
      <c r="AW112" s="289">
        <v>0</v>
      </c>
      <c r="AX112" s="289">
        <v>0</v>
      </c>
      <c r="AY112" s="289">
        <v>1552.63</v>
      </c>
      <c r="AZ112" s="289">
        <v>6.16631135557087</v>
      </c>
      <c r="BA112" s="289">
        <v>7452</v>
      </c>
      <c r="BB112" s="289">
        <v>0.7783580530603719</v>
      </c>
      <c r="BC112" s="289">
        <v>0</v>
      </c>
      <c r="BD112" s="289">
        <v>0</v>
      </c>
      <c r="BE112" s="289">
        <v>9294</v>
      </c>
      <c r="BF112" s="289">
        <v>9574</v>
      </c>
      <c r="BG112" s="289">
        <v>0.030126963632451043</v>
      </c>
      <c r="BH112" s="289">
        <v>0</v>
      </c>
      <c r="BI112" s="289">
        <v>1</v>
      </c>
      <c r="BJ112" s="289">
        <v>0.00010444955086693127</v>
      </c>
      <c r="BK112" s="289">
        <v>1627635.9456178814</v>
      </c>
      <c r="BL112" s="289">
        <v>7238.77</v>
      </c>
      <c r="BM112" s="301">
        <v>3649</v>
      </c>
    </row>
    <row r="113" spans="6:65" s="289" customFormat="1" ht="12.75">
      <c r="F113" s="289">
        <v>140</v>
      </c>
      <c r="G113" s="289" t="s">
        <v>156</v>
      </c>
      <c r="H113" s="289">
        <v>1569</v>
      </c>
      <c r="I113" s="289">
        <v>201</v>
      </c>
      <c r="J113" s="289">
        <v>1330</v>
      </c>
      <c r="K113" s="289">
        <v>710</v>
      </c>
      <c r="L113" s="289">
        <v>15944</v>
      </c>
      <c r="M113" s="289">
        <v>2414</v>
      </c>
      <c r="N113" s="289">
        <v>1577</v>
      </c>
      <c r="O113" s="289">
        <v>631</v>
      </c>
      <c r="P113" s="289">
        <v>22135</v>
      </c>
      <c r="Q113" s="289">
        <v>0</v>
      </c>
      <c r="R113" s="289">
        <v>42</v>
      </c>
      <c r="S113" s="289">
        <v>762.9699999999999</v>
      </c>
      <c r="T113" s="289">
        <v>29.011625620928744</v>
      </c>
      <c r="U113" s="289">
        <v>0</v>
      </c>
      <c r="V113" s="289">
        <v>0</v>
      </c>
      <c r="W113" s="289">
        <v>9120</v>
      </c>
      <c r="X113" s="289">
        <v>561</v>
      </c>
      <c r="Y113" s="289">
        <v>124</v>
      </c>
      <c r="Z113" s="289">
        <v>0.9718902107049492</v>
      </c>
      <c r="AA113" s="289">
        <v>33</v>
      </c>
      <c r="AB113" s="289">
        <v>33</v>
      </c>
      <c r="AC113" s="289">
        <v>0.8968990096560293</v>
      </c>
      <c r="AD113" s="289">
        <v>1473</v>
      </c>
      <c r="AE113" s="289">
        <v>162</v>
      </c>
      <c r="AF113" s="289">
        <v>40</v>
      </c>
      <c r="AG113" s="289">
        <v>5</v>
      </c>
      <c r="AH113" s="289">
        <v>1680</v>
      </c>
      <c r="AI113" s="289">
        <v>1.4881120670079493</v>
      </c>
      <c r="AJ113" s="289">
        <v>10343</v>
      </c>
      <c r="AK113" s="289">
        <v>1243</v>
      </c>
      <c r="AL113" s="289">
        <v>1.2271964625018983</v>
      </c>
      <c r="AM113" s="289">
        <v>1.3086568538257848</v>
      </c>
      <c r="AN113" s="289">
        <v>0</v>
      </c>
      <c r="AO113" s="289">
        <v>0</v>
      </c>
      <c r="AP113" s="289">
        <f t="shared" si="0"/>
        <v>0</v>
      </c>
      <c r="AQ113" s="289">
        <v>-103509.28852503002</v>
      </c>
      <c r="AR113" s="289">
        <v>5579553.659367094</v>
      </c>
      <c r="AS113" s="289">
        <v>0</v>
      </c>
      <c r="AT113" s="289">
        <v>22135</v>
      </c>
      <c r="AU113" s="289">
        <v>0</v>
      </c>
      <c r="AV113" s="289">
        <v>0</v>
      </c>
      <c r="AW113" s="289">
        <v>0</v>
      </c>
      <c r="AX113" s="289">
        <v>0.01775</v>
      </c>
      <c r="AY113" s="289">
        <v>762.97</v>
      </c>
      <c r="AZ113" s="289">
        <v>29.011625620928736</v>
      </c>
      <c r="BA113" s="289">
        <v>16349</v>
      </c>
      <c r="BB113" s="289">
        <v>0.7386040207815676</v>
      </c>
      <c r="BC113" s="289">
        <v>0</v>
      </c>
      <c r="BD113" s="289">
        <v>0</v>
      </c>
      <c r="BE113" s="289">
        <v>22169</v>
      </c>
      <c r="BF113" s="289">
        <v>22135</v>
      </c>
      <c r="BG113" s="289">
        <v>-0.001533673147187514</v>
      </c>
      <c r="BH113" s="289">
        <v>0</v>
      </c>
      <c r="BI113" s="289">
        <v>3</v>
      </c>
      <c r="BJ113" s="289">
        <v>0.0001355319629545968</v>
      </c>
      <c r="BK113" s="289">
        <v>3868323.3856477467</v>
      </c>
      <c r="BL113" s="289">
        <v>6185.65</v>
      </c>
      <c r="BM113" s="301">
        <v>7029</v>
      </c>
    </row>
    <row r="114" spans="6:65" s="289" customFormat="1" ht="12.75">
      <c r="F114" s="289">
        <v>142</v>
      </c>
      <c r="G114" s="289" t="s">
        <v>157</v>
      </c>
      <c r="H114" s="289">
        <v>419</v>
      </c>
      <c r="I114" s="289">
        <v>69</v>
      </c>
      <c r="J114" s="289">
        <v>410</v>
      </c>
      <c r="K114" s="289">
        <v>218</v>
      </c>
      <c r="L114" s="289">
        <v>4820</v>
      </c>
      <c r="M114" s="289">
        <v>917</v>
      </c>
      <c r="N114" s="289">
        <v>572</v>
      </c>
      <c r="O114" s="289">
        <v>227</v>
      </c>
      <c r="P114" s="289">
        <v>6955</v>
      </c>
      <c r="Q114" s="289">
        <v>6</v>
      </c>
      <c r="R114" s="289">
        <v>10</v>
      </c>
      <c r="S114" s="289">
        <v>589.8000000000001</v>
      </c>
      <c r="T114" s="289">
        <v>11.792132926415732</v>
      </c>
      <c r="U114" s="289">
        <v>0</v>
      </c>
      <c r="V114" s="289">
        <v>0</v>
      </c>
      <c r="W114" s="289">
        <v>2863</v>
      </c>
      <c r="X114" s="289">
        <v>294</v>
      </c>
      <c r="Y114" s="289">
        <v>41</v>
      </c>
      <c r="Z114" s="289">
        <v>0.9278604871746718</v>
      </c>
      <c r="AA114" s="289">
        <v>10</v>
      </c>
      <c r="AB114" s="289">
        <v>10</v>
      </c>
      <c r="AC114" s="289">
        <v>0.8649918122447862</v>
      </c>
      <c r="AD114" s="289">
        <v>334</v>
      </c>
      <c r="AE114" s="289">
        <v>57</v>
      </c>
      <c r="AF114" s="289">
        <v>5</v>
      </c>
      <c r="AG114" s="289">
        <v>5</v>
      </c>
      <c r="AH114" s="289">
        <v>401</v>
      </c>
      <c r="AI114" s="289">
        <v>1.1304545891865738</v>
      </c>
      <c r="AJ114" s="289">
        <v>3198</v>
      </c>
      <c r="AK114" s="289">
        <v>338</v>
      </c>
      <c r="AL114" s="289">
        <v>1.079264101089959</v>
      </c>
      <c r="AM114" s="289">
        <v>1.0371223650315606</v>
      </c>
      <c r="AN114" s="289">
        <v>0</v>
      </c>
      <c r="AO114" s="289">
        <v>0</v>
      </c>
      <c r="AP114" s="289">
        <f t="shared" si="0"/>
        <v>0</v>
      </c>
      <c r="AQ114" s="289">
        <v>7043.986740678549</v>
      </c>
      <c r="AR114" s="289">
        <v>2666156.1440789476</v>
      </c>
      <c r="AS114" s="289">
        <v>0</v>
      </c>
      <c r="AT114" s="289">
        <v>6955</v>
      </c>
      <c r="AU114" s="289">
        <v>0</v>
      </c>
      <c r="AV114" s="289">
        <v>0</v>
      </c>
      <c r="AW114" s="289">
        <v>0</v>
      </c>
      <c r="AX114" s="289">
        <v>0</v>
      </c>
      <c r="AY114" s="289">
        <v>589.81</v>
      </c>
      <c r="AZ114" s="289">
        <v>11.791932995371392</v>
      </c>
      <c r="BA114" s="289">
        <v>3880</v>
      </c>
      <c r="BB114" s="289">
        <v>0.5578720345075485</v>
      </c>
      <c r="BC114" s="289">
        <v>0</v>
      </c>
      <c r="BD114" s="289">
        <v>0</v>
      </c>
      <c r="BE114" s="289">
        <v>7061</v>
      </c>
      <c r="BF114" s="289">
        <v>6955</v>
      </c>
      <c r="BG114" s="289">
        <v>-0.015012037954963886</v>
      </c>
      <c r="BH114" s="289">
        <v>0</v>
      </c>
      <c r="BI114" s="289">
        <v>1</v>
      </c>
      <c r="BJ114" s="289">
        <v>0.00014378145219266715</v>
      </c>
      <c r="BK114" s="289">
        <v>1264024.1519442343</v>
      </c>
      <c r="BL114" s="289">
        <v>6804.66</v>
      </c>
      <c r="BM114" s="301">
        <v>1899</v>
      </c>
    </row>
    <row r="115" spans="6:65" s="289" customFormat="1" ht="12.75">
      <c r="F115" s="289">
        <v>143</v>
      </c>
      <c r="G115" s="289" t="s">
        <v>158</v>
      </c>
      <c r="H115" s="289">
        <v>487</v>
      </c>
      <c r="I115" s="289">
        <v>72</v>
      </c>
      <c r="J115" s="289">
        <v>422</v>
      </c>
      <c r="K115" s="289">
        <v>214</v>
      </c>
      <c r="L115" s="289">
        <v>5034</v>
      </c>
      <c r="M115" s="289">
        <v>976</v>
      </c>
      <c r="N115" s="289">
        <v>580</v>
      </c>
      <c r="O115" s="289">
        <v>269</v>
      </c>
      <c r="P115" s="289">
        <v>7346</v>
      </c>
      <c r="Q115" s="289">
        <v>0</v>
      </c>
      <c r="R115" s="289">
        <v>12</v>
      </c>
      <c r="S115" s="289">
        <v>750.3000000000001</v>
      </c>
      <c r="T115" s="289">
        <v>9.790750366520058</v>
      </c>
      <c r="U115" s="289">
        <v>0</v>
      </c>
      <c r="V115" s="289">
        <v>0</v>
      </c>
      <c r="W115" s="289">
        <v>3032</v>
      </c>
      <c r="X115" s="289">
        <v>296</v>
      </c>
      <c r="Y115" s="289">
        <v>40</v>
      </c>
      <c r="Z115" s="289">
        <v>0.9343673408758327</v>
      </c>
      <c r="AA115" s="289">
        <v>9</v>
      </c>
      <c r="AB115" s="289">
        <v>9</v>
      </c>
      <c r="AC115" s="289">
        <v>0.7370563910626516</v>
      </c>
      <c r="AD115" s="289">
        <v>398</v>
      </c>
      <c r="AE115" s="289">
        <v>53</v>
      </c>
      <c r="AF115" s="289">
        <v>9</v>
      </c>
      <c r="AG115" s="289">
        <v>4</v>
      </c>
      <c r="AH115" s="289">
        <v>464</v>
      </c>
      <c r="AI115" s="289">
        <v>1.2384342077883757</v>
      </c>
      <c r="AJ115" s="289">
        <v>3269</v>
      </c>
      <c r="AK115" s="289">
        <v>256</v>
      </c>
      <c r="AL115" s="289">
        <v>0.7996768716643676</v>
      </c>
      <c r="AM115" s="289">
        <v>1.0026464285073275</v>
      </c>
      <c r="AN115" s="289">
        <v>0</v>
      </c>
      <c r="AO115" s="289">
        <v>0</v>
      </c>
      <c r="AP115" s="289">
        <f t="shared" si="0"/>
        <v>0</v>
      </c>
      <c r="AQ115" s="289">
        <v>79890.6480099801</v>
      </c>
      <c r="AR115" s="289">
        <v>3435913.798641978</v>
      </c>
      <c r="AS115" s="289">
        <v>0</v>
      </c>
      <c r="AT115" s="289">
        <v>7346</v>
      </c>
      <c r="AU115" s="289">
        <v>0</v>
      </c>
      <c r="AV115" s="289">
        <v>0</v>
      </c>
      <c r="AW115" s="289">
        <v>0</v>
      </c>
      <c r="AX115" s="289">
        <v>0</v>
      </c>
      <c r="AY115" s="289">
        <v>750.3</v>
      </c>
      <c r="AZ115" s="289">
        <v>9.79075036652006</v>
      </c>
      <c r="BA115" s="289">
        <v>4372</v>
      </c>
      <c r="BB115" s="289">
        <v>0.5951538252109991</v>
      </c>
      <c r="BC115" s="289">
        <v>0</v>
      </c>
      <c r="BD115" s="289">
        <v>0</v>
      </c>
      <c r="BE115" s="289">
        <v>7424</v>
      </c>
      <c r="BF115" s="289">
        <v>7346</v>
      </c>
      <c r="BG115" s="289">
        <v>-0.01050646551724138</v>
      </c>
      <c r="BH115" s="289">
        <v>0</v>
      </c>
      <c r="BI115" s="289">
        <v>0</v>
      </c>
      <c r="BJ115" s="289">
        <v>0</v>
      </c>
      <c r="BK115" s="289">
        <v>1630320.3132269387</v>
      </c>
      <c r="BL115" s="289">
        <v>6930.31</v>
      </c>
      <c r="BM115" s="301">
        <v>2141</v>
      </c>
    </row>
    <row r="116" spans="6:65" s="289" customFormat="1" ht="12.75">
      <c r="F116" s="289">
        <v>145</v>
      </c>
      <c r="G116" s="289" t="s">
        <v>159</v>
      </c>
      <c r="H116" s="289">
        <v>1134</v>
      </c>
      <c r="I116" s="289">
        <v>170</v>
      </c>
      <c r="J116" s="289">
        <v>948</v>
      </c>
      <c r="K116" s="289">
        <v>470</v>
      </c>
      <c r="L116" s="289">
        <v>8679</v>
      </c>
      <c r="M116" s="289">
        <v>1110</v>
      </c>
      <c r="N116" s="289">
        <v>769</v>
      </c>
      <c r="O116" s="289">
        <v>330</v>
      </c>
      <c r="P116" s="289">
        <v>12022</v>
      </c>
      <c r="Q116" s="289">
        <v>2</v>
      </c>
      <c r="R116" s="289">
        <v>17</v>
      </c>
      <c r="S116" s="289">
        <v>576.7900000000001</v>
      </c>
      <c r="T116" s="289">
        <v>20.842941105081568</v>
      </c>
      <c r="U116" s="289">
        <v>0</v>
      </c>
      <c r="V116" s="289">
        <v>0</v>
      </c>
      <c r="W116" s="289">
        <v>5179</v>
      </c>
      <c r="X116" s="289">
        <v>508</v>
      </c>
      <c r="Y116" s="289">
        <v>69</v>
      </c>
      <c r="Z116" s="289">
        <v>0.933743652336737</v>
      </c>
      <c r="AA116" s="289">
        <v>14</v>
      </c>
      <c r="AB116" s="289">
        <v>14</v>
      </c>
      <c r="AC116" s="289">
        <v>0.7005843683103878</v>
      </c>
      <c r="AD116" s="289">
        <v>634</v>
      </c>
      <c r="AE116" s="289">
        <v>96</v>
      </c>
      <c r="AF116" s="289">
        <v>22</v>
      </c>
      <c r="AG116" s="289">
        <v>6</v>
      </c>
      <c r="AH116" s="289">
        <v>758</v>
      </c>
      <c r="AI116" s="289">
        <v>1.2362273994324635</v>
      </c>
      <c r="AJ116" s="289">
        <v>5575</v>
      </c>
      <c r="AK116" s="289">
        <v>410</v>
      </c>
      <c r="AL116" s="289">
        <v>0.7509801809998846</v>
      </c>
      <c r="AM116" s="289">
        <v>1.0701231336761379</v>
      </c>
      <c r="AN116" s="289">
        <v>0</v>
      </c>
      <c r="AO116" s="289">
        <v>0</v>
      </c>
      <c r="AP116" s="289">
        <f t="shared" si="0"/>
        <v>0</v>
      </c>
      <c r="AQ116" s="289">
        <v>-102255.52143593878</v>
      </c>
      <c r="AR116" s="289">
        <v>5030214.861265824</v>
      </c>
      <c r="AS116" s="289">
        <v>1</v>
      </c>
      <c r="AT116" s="289">
        <v>12022</v>
      </c>
      <c r="AU116" s="289">
        <v>0</v>
      </c>
      <c r="AV116" s="289">
        <v>0</v>
      </c>
      <c r="AW116" s="289">
        <v>0</v>
      </c>
      <c r="AX116" s="289">
        <v>0</v>
      </c>
      <c r="AY116" s="289">
        <v>576.79</v>
      </c>
      <c r="AZ116" s="289">
        <v>20.842941105081575</v>
      </c>
      <c r="BA116" s="289">
        <v>8748</v>
      </c>
      <c r="BB116" s="289">
        <v>0.7276659457660954</v>
      </c>
      <c r="BC116" s="289">
        <v>0</v>
      </c>
      <c r="BD116" s="289">
        <v>0</v>
      </c>
      <c r="BE116" s="289">
        <v>11744</v>
      </c>
      <c r="BF116" s="289">
        <v>12022</v>
      </c>
      <c r="BG116" s="289">
        <v>0.0236716621253406</v>
      </c>
      <c r="BH116" s="289">
        <v>0</v>
      </c>
      <c r="BI116" s="289">
        <v>1</v>
      </c>
      <c r="BJ116" s="289">
        <v>8.318083513558476E-05</v>
      </c>
      <c r="BK116" s="289">
        <v>2067590.601488566</v>
      </c>
      <c r="BL116" s="289">
        <v>6401.15</v>
      </c>
      <c r="BM116" s="301">
        <v>4142</v>
      </c>
    </row>
    <row r="117" spans="6:65" s="289" customFormat="1" ht="12.75">
      <c r="F117" s="289">
        <v>146</v>
      </c>
      <c r="G117" s="289" t="s">
        <v>160</v>
      </c>
      <c r="H117" s="289">
        <v>244</v>
      </c>
      <c r="I117" s="289">
        <v>31</v>
      </c>
      <c r="J117" s="289">
        <v>256</v>
      </c>
      <c r="K117" s="289">
        <v>154</v>
      </c>
      <c r="L117" s="289">
        <v>3665</v>
      </c>
      <c r="M117" s="289">
        <v>881</v>
      </c>
      <c r="N117" s="289">
        <v>659</v>
      </c>
      <c r="O117" s="289">
        <v>244</v>
      </c>
      <c r="P117" s="289">
        <v>5693</v>
      </c>
      <c r="Q117" s="289">
        <v>0</v>
      </c>
      <c r="R117" s="289">
        <v>10</v>
      </c>
      <c r="S117" s="289">
        <v>2763.5699999999997</v>
      </c>
      <c r="T117" s="289">
        <v>2.060016572766386</v>
      </c>
      <c r="U117" s="289">
        <v>0</v>
      </c>
      <c r="V117" s="289">
        <v>0</v>
      </c>
      <c r="W117" s="289">
        <v>1947</v>
      </c>
      <c r="X117" s="289">
        <v>261</v>
      </c>
      <c r="Y117" s="289">
        <v>34</v>
      </c>
      <c r="Z117" s="289">
        <v>0.8916020341133295</v>
      </c>
      <c r="AA117" s="289">
        <v>15</v>
      </c>
      <c r="AB117" s="289">
        <v>15</v>
      </c>
      <c r="AC117" s="289">
        <v>1.5851092712530708</v>
      </c>
      <c r="AD117" s="289">
        <v>516</v>
      </c>
      <c r="AE117" s="289">
        <v>28</v>
      </c>
      <c r="AF117" s="289">
        <v>8</v>
      </c>
      <c r="AG117" s="289">
        <v>2</v>
      </c>
      <c r="AH117" s="289">
        <v>554</v>
      </c>
      <c r="AI117" s="289">
        <v>1.9079828375474068</v>
      </c>
      <c r="AJ117" s="289">
        <v>2356</v>
      </c>
      <c r="AK117" s="289">
        <v>354</v>
      </c>
      <c r="AL117" s="289">
        <v>1.5343253718708043</v>
      </c>
      <c r="AM117" s="289">
        <v>1.7082915204864213</v>
      </c>
      <c r="AN117" s="289">
        <v>0.0800000000000001</v>
      </c>
      <c r="AO117" s="289">
        <v>0</v>
      </c>
      <c r="AP117" s="289">
        <f t="shared" si="0"/>
        <v>0.0800000000000001</v>
      </c>
      <c r="AQ117" s="289">
        <v>-5688.993367061019</v>
      </c>
      <c r="AR117" s="289">
        <v>3486867.4904938242</v>
      </c>
      <c r="AS117" s="289">
        <v>1</v>
      </c>
      <c r="AT117" s="289">
        <v>5693</v>
      </c>
      <c r="AU117" s="289">
        <v>0</v>
      </c>
      <c r="AV117" s="289">
        <v>0</v>
      </c>
      <c r="AW117" s="289">
        <v>0</v>
      </c>
      <c r="AX117" s="289">
        <v>1.2847333333333333</v>
      </c>
      <c r="AY117" s="289">
        <v>2763.71</v>
      </c>
      <c r="AZ117" s="289">
        <v>2.059912219444153</v>
      </c>
      <c r="BA117" s="289">
        <v>3012</v>
      </c>
      <c r="BB117" s="289">
        <v>0.5290707886878623</v>
      </c>
      <c r="BC117" s="289">
        <v>0</v>
      </c>
      <c r="BD117" s="289">
        <v>0</v>
      </c>
      <c r="BE117" s="289">
        <v>6022</v>
      </c>
      <c r="BF117" s="289">
        <v>5693</v>
      </c>
      <c r="BG117" s="289">
        <v>-0.05463301228827632</v>
      </c>
      <c r="BH117" s="289">
        <v>0</v>
      </c>
      <c r="BI117" s="289">
        <v>0</v>
      </c>
      <c r="BJ117" s="289">
        <v>0</v>
      </c>
      <c r="BK117" s="289">
        <v>1531638.0726097503</v>
      </c>
      <c r="BL117" s="289">
        <v>8335.95</v>
      </c>
      <c r="BM117" s="301">
        <v>1235</v>
      </c>
    </row>
    <row r="118" spans="6:65" s="289" customFormat="1" ht="12.75">
      <c r="F118" s="289">
        <v>148</v>
      </c>
      <c r="G118" s="289" t="s">
        <v>162</v>
      </c>
      <c r="H118" s="289">
        <v>392</v>
      </c>
      <c r="I118" s="289">
        <v>58</v>
      </c>
      <c r="J118" s="289">
        <v>345</v>
      </c>
      <c r="K118" s="289">
        <v>184</v>
      </c>
      <c r="L118" s="289">
        <v>4949</v>
      </c>
      <c r="M118" s="289">
        <v>803</v>
      </c>
      <c r="N118" s="289">
        <v>457</v>
      </c>
      <c r="O118" s="289">
        <v>131</v>
      </c>
      <c r="P118" s="289">
        <v>6732</v>
      </c>
      <c r="Q118" s="289">
        <v>3</v>
      </c>
      <c r="R118" s="289">
        <v>6</v>
      </c>
      <c r="S118" s="289">
        <v>15053.04</v>
      </c>
      <c r="T118" s="289">
        <v>0.44721863490696895</v>
      </c>
      <c r="U118" s="289">
        <v>0</v>
      </c>
      <c r="V118" s="289">
        <v>0</v>
      </c>
      <c r="W118" s="289">
        <v>2774</v>
      </c>
      <c r="X118" s="289">
        <v>216</v>
      </c>
      <c r="Y118" s="289">
        <v>73</v>
      </c>
      <c r="Z118" s="289">
        <v>0.9413408281937324</v>
      </c>
      <c r="AA118" s="289">
        <v>9</v>
      </c>
      <c r="AB118" s="289">
        <v>9</v>
      </c>
      <c r="AC118" s="289">
        <v>0.8042804885243967</v>
      </c>
      <c r="AD118" s="289">
        <v>370</v>
      </c>
      <c r="AE118" s="289">
        <v>33</v>
      </c>
      <c r="AF118" s="289">
        <v>14</v>
      </c>
      <c r="AG118" s="289">
        <v>4</v>
      </c>
      <c r="AH118" s="289">
        <v>421</v>
      </c>
      <c r="AI118" s="289">
        <v>1.2261507595170917</v>
      </c>
      <c r="AJ118" s="289">
        <v>3237</v>
      </c>
      <c r="AK118" s="289">
        <v>490</v>
      </c>
      <c r="AL118" s="289">
        <v>1.5457628709558193</v>
      </c>
      <c r="AM118" s="289">
        <v>1.0485893157984332</v>
      </c>
      <c r="AN118" s="289">
        <v>0.17</v>
      </c>
      <c r="AO118" s="289">
        <v>0</v>
      </c>
      <c r="AP118" s="289">
        <f t="shared" si="0"/>
        <v>0.17</v>
      </c>
      <c r="AQ118" s="289">
        <v>241319.49110893905</v>
      </c>
      <c r="AR118" s="289">
        <v>1201022.7261842105</v>
      </c>
      <c r="AS118" s="289">
        <v>1</v>
      </c>
      <c r="AT118" s="289">
        <v>6732</v>
      </c>
      <c r="AU118" s="289">
        <v>0</v>
      </c>
      <c r="AV118" s="289">
        <v>0</v>
      </c>
      <c r="AW118" s="289">
        <v>0</v>
      </c>
      <c r="AX118" s="289">
        <v>1.5744500000000001</v>
      </c>
      <c r="AY118" s="289">
        <v>15052.26</v>
      </c>
      <c r="AZ118" s="289">
        <v>0.447241809535578</v>
      </c>
      <c r="BA118" s="289">
        <v>4248</v>
      </c>
      <c r="BB118" s="289">
        <v>0.6310160427807486</v>
      </c>
      <c r="BC118" s="289">
        <v>0</v>
      </c>
      <c r="BD118" s="289">
        <v>1</v>
      </c>
      <c r="BE118" s="289">
        <v>6863</v>
      </c>
      <c r="BF118" s="289">
        <v>6732</v>
      </c>
      <c r="BG118" s="289">
        <v>-0.019087862450823254</v>
      </c>
      <c r="BH118" s="289">
        <v>0</v>
      </c>
      <c r="BI118" s="289">
        <v>413</v>
      </c>
      <c r="BJ118" s="289">
        <v>0.06134878193701723</v>
      </c>
      <c r="BK118" s="289">
        <v>1693821.6092049424</v>
      </c>
      <c r="BL118" s="289">
        <v>9569.92</v>
      </c>
      <c r="BM118" s="301">
        <v>1779</v>
      </c>
    </row>
    <row r="119" spans="6:65" s="289" customFormat="1" ht="12.75">
      <c r="F119" s="289">
        <v>149</v>
      </c>
      <c r="G119" s="289" t="s">
        <v>163</v>
      </c>
      <c r="H119" s="289">
        <v>444</v>
      </c>
      <c r="I119" s="289">
        <v>66</v>
      </c>
      <c r="J119" s="289">
        <v>447</v>
      </c>
      <c r="K119" s="289">
        <v>201</v>
      </c>
      <c r="L119" s="289">
        <v>4013</v>
      </c>
      <c r="M119" s="289">
        <v>648</v>
      </c>
      <c r="N119" s="289">
        <v>316</v>
      </c>
      <c r="O119" s="289">
        <v>117</v>
      </c>
      <c r="P119" s="289">
        <v>5538</v>
      </c>
      <c r="Q119" s="289">
        <v>377</v>
      </c>
      <c r="R119" s="289">
        <v>21</v>
      </c>
      <c r="S119" s="289">
        <v>349.89</v>
      </c>
      <c r="T119" s="289">
        <v>15.827831604218469</v>
      </c>
      <c r="U119" s="289">
        <v>1</v>
      </c>
      <c r="V119" s="289">
        <v>3</v>
      </c>
      <c r="W119" s="289">
        <v>2598</v>
      </c>
      <c r="X119" s="289">
        <v>138</v>
      </c>
      <c r="Y119" s="289">
        <v>36</v>
      </c>
      <c r="Z119" s="289">
        <v>0.9804386604090158</v>
      </c>
      <c r="AA119" s="289">
        <v>2</v>
      </c>
      <c r="AB119" s="289">
        <v>2</v>
      </c>
      <c r="AC119" s="289">
        <v>0.21726320166711766</v>
      </c>
      <c r="AD119" s="289">
        <v>150</v>
      </c>
      <c r="AE119" s="289">
        <v>20</v>
      </c>
      <c r="AF119" s="289">
        <v>7</v>
      </c>
      <c r="AG119" s="289">
        <v>1</v>
      </c>
      <c r="AH119" s="289">
        <v>178</v>
      </c>
      <c r="AI119" s="289">
        <v>0.6301920698736576</v>
      </c>
      <c r="AJ119" s="289">
        <v>2737</v>
      </c>
      <c r="AK119" s="289">
        <v>136</v>
      </c>
      <c r="AL119" s="289">
        <v>0.5074036672109506</v>
      </c>
      <c r="AM119" s="289">
        <v>0.6172736440495045</v>
      </c>
      <c r="AN119" s="289">
        <v>0</v>
      </c>
      <c r="AO119" s="289">
        <v>0</v>
      </c>
      <c r="AP119" s="289">
        <f t="shared" si="0"/>
        <v>0</v>
      </c>
      <c r="AQ119" s="289">
        <v>-139329.01962335035</v>
      </c>
      <c r="AR119" s="289">
        <v>-1618882.991106023</v>
      </c>
      <c r="AS119" s="289">
        <v>1</v>
      </c>
      <c r="AT119" s="289">
        <v>5538</v>
      </c>
      <c r="AU119" s="289">
        <v>1</v>
      </c>
      <c r="AV119" s="289">
        <v>252</v>
      </c>
      <c r="AW119" s="289">
        <v>0.04550379198266522</v>
      </c>
      <c r="AX119" s="289">
        <v>0</v>
      </c>
      <c r="AY119" s="289">
        <v>349.87</v>
      </c>
      <c r="AZ119" s="289">
        <v>15.828736387801182</v>
      </c>
      <c r="BA119" s="289">
        <v>2223</v>
      </c>
      <c r="BB119" s="289">
        <v>0.4014084507042254</v>
      </c>
      <c r="BC119" s="289">
        <v>3</v>
      </c>
      <c r="BD119" s="289">
        <v>0</v>
      </c>
      <c r="BE119" s="289">
        <v>5609</v>
      </c>
      <c r="BF119" s="289">
        <v>5538</v>
      </c>
      <c r="BG119" s="289">
        <v>-0.012658227848101266</v>
      </c>
      <c r="BH119" s="289">
        <v>0</v>
      </c>
      <c r="BI119" s="289">
        <v>0</v>
      </c>
      <c r="BJ119" s="289">
        <v>0</v>
      </c>
      <c r="BK119" s="289">
        <v>874411.2537435724</v>
      </c>
      <c r="BL119" s="289">
        <v>7335.31</v>
      </c>
      <c r="BM119" s="301">
        <v>1682</v>
      </c>
    </row>
    <row r="120" spans="6:65" s="289" customFormat="1" ht="12.75">
      <c r="F120" s="289">
        <v>151</v>
      </c>
      <c r="G120" s="289" t="s">
        <v>164</v>
      </c>
      <c r="H120" s="289">
        <v>114</v>
      </c>
      <c r="I120" s="289">
        <v>16</v>
      </c>
      <c r="J120" s="289">
        <v>134</v>
      </c>
      <c r="K120" s="289">
        <v>76</v>
      </c>
      <c r="L120" s="289">
        <v>1518</v>
      </c>
      <c r="M120" s="289">
        <v>282</v>
      </c>
      <c r="N120" s="289">
        <v>242</v>
      </c>
      <c r="O120" s="289">
        <v>134</v>
      </c>
      <c r="P120" s="289">
        <v>2290</v>
      </c>
      <c r="Q120" s="289">
        <v>0</v>
      </c>
      <c r="R120" s="289">
        <v>4</v>
      </c>
      <c r="S120" s="289">
        <v>642.38</v>
      </c>
      <c r="T120" s="289">
        <v>3.564868146579906</v>
      </c>
      <c r="U120" s="289">
        <v>0</v>
      </c>
      <c r="V120" s="289">
        <v>0</v>
      </c>
      <c r="W120" s="289">
        <v>887</v>
      </c>
      <c r="X120" s="289">
        <v>187</v>
      </c>
      <c r="Y120" s="289">
        <v>23</v>
      </c>
      <c r="Z120" s="289">
        <v>0.8020325754600537</v>
      </c>
      <c r="AA120" s="289">
        <v>1</v>
      </c>
      <c r="AB120" s="289">
        <v>2</v>
      </c>
      <c r="AC120" s="289">
        <v>0.5254164239443221</v>
      </c>
      <c r="AD120" s="289">
        <v>235</v>
      </c>
      <c r="AE120" s="289">
        <v>14</v>
      </c>
      <c r="AF120" s="289">
        <v>4</v>
      </c>
      <c r="AG120" s="289">
        <v>1</v>
      </c>
      <c r="AH120" s="289">
        <v>254</v>
      </c>
      <c r="AI120" s="289">
        <v>2.174723849349689</v>
      </c>
      <c r="AJ120" s="289">
        <v>965</v>
      </c>
      <c r="AK120" s="289">
        <v>80</v>
      </c>
      <c r="AL120" s="289">
        <v>0.8465491235332959</v>
      </c>
      <c r="AM120" s="289">
        <v>1.3797358172396608</v>
      </c>
      <c r="AN120" s="289">
        <v>0</v>
      </c>
      <c r="AO120" s="289">
        <v>0</v>
      </c>
      <c r="AP120" s="289">
        <f t="shared" si="0"/>
        <v>0</v>
      </c>
      <c r="AQ120" s="289">
        <v>-10711.074828449637</v>
      </c>
      <c r="AR120" s="289">
        <v>2178457.4591666674</v>
      </c>
      <c r="AS120" s="289">
        <v>0</v>
      </c>
      <c r="AT120" s="289">
        <v>2290</v>
      </c>
      <c r="AU120" s="289">
        <v>0</v>
      </c>
      <c r="AV120" s="289">
        <v>0</v>
      </c>
      <c r="AW120" s="289">
        <v>0</v>
      </c>
      <c r="AX120" s="289">
        <v>0.4008</v>
      </c>
      <c r="AY120" s="289">
        <v>642.38</v>
      </c>
      <c r="AZ120" s="289">
        <v>3.564868146579906</v>
      </c>
      <c r="BA120" s="289">
        <v>856</v>
      </c>
      <c r="BB120" s="289">
        <v>0.3737991266375546</v>
      </c>
      <c r="BC120" s="289">
        <v>0</v>
      </c>
      <c r="BD120" s="289">
        <v>0</v>
      </c>
      <c r="BE120" s="289">
        <v>2406</v>
      </c>
      <c r="BF120" s="289">
        <v>2290</v>
      </c>
      <c r="BG120" s="289">
        <v>-0.04821280133000831</v>
      </c>
      <c r="BH120" s="289">
        <v>0</v>
      </c>
      <c r="BI120" s="289">
        <v>0</v>
      </c>
      <c r="BJ120" s="289">
        <v>0</v>
      </c>
      <c r="BK120" s="289">
        <v>621589.6241756723</v>
      </c>
      <c r="BL120" s="289">
        <v>7740.2</v>
      </c>
      <c r="BM120" s="301">
        <v>630</v>
      </c>
    </row>
    <row r="121" spans="6:65" s="289" customFormat="1" ht="12.75">
      <c r="F121" s="289">
        <v>152</v>
      </c>
      <c r="G121" s="289" t="s">
        <v>165</v>
      </c>
      <c r="H121" s="289">
        <v>389</v>
      </c>
      <c r="I121" s="289">
        <v>67</v>
      </c>
      <c r="J121" s="289">
        <v>335</v>
      </c>
      <c r="K121" s="289">
        <v>182</v>
      </c>
      <c r="L121" s="289">
        <v>3371</v>
      </c>
      <c r="M121" s="289">
        <v>589</v>
      </c>
      <c r="N121" s="289">
        <v>386</v>
      </c>
      <c r="O121" s="289">
        <v>151</v>
      </c>
      <c r="P121" s="289">
        <v>4886</v>
      </c>
      <c r="Q121" s="289">
        <v>5</v>
      </c>
      <c r="R121" s="289">
        <v>2</v>
      </c>
      <c r="S121" s="289">
        <v>354.19</v>
      </c>
      <c r="T121" s="289">
        <v>13.794855868319264</v>
      </c>
      <c r="U121" s="289">
        <v>0</v>
      </c>
      <c r="V121" s="289">
        <v>0</v>
      </c>
      <c r="W121" s="289">
        <v>2092</v>
      </c>
      <c r="X121" s="289">
        <v>256</v>
      </c>
      <c r="Y121" s="289">
        <v>35</v>
      </c>
      <c r="Z121" s="289">
        <v>0.9046466760013916</v>
      </c>
      <c r="AA121" s="289">
        <v>3</v>
      </c>
      <c r="AB121" s="289">
        <v>2</v>
      </c>
      <c r="AC121" s="289">
        <v>0.24625534400992583</v>
      </c>
      <c r="AD121" s="289">
        <v>287</v>
      </c>
      <c r="AE121" s="289">
        <v>49</v>
      </c>
      <c r="AF121" s="289">
        <v>12</v>
      </c>
      <c r="AG121" s="289">
        <v>1</v>
      </c>
      <c r="AH121" s="289">
        <v>349</v>
      </c>
      <c r="AI121" s="289">
        <v>1.4004830188444284</v>
      </c>
      <c r="AJ121" s="289">
        <v>2213</v>
      </c>
      <c r="AK121" s="289">
        <v>139</v>
      </c>
      <c r="AL121" s="289">
        <v>0.6413910228487271</v>
      </c>
      <c r="AM121" s="289">
        <v>1.0552940388713474</v>
      </c>
      <c r="AN121" s="289">
        <v>0</v>
      </c>
      <c r="AO121" s="289">
        <v>0</v>
      </c>
      <c r="AP121" s="289">
        <f t="shared" si="0"/>
        <v>0</v>
      </c>
      <c r="AQ121" s="289">
        <v>-4805.183234481141</v>
      </c>
      <c r="AR121" s="289">
        <v>2689106.892317073</v>
      </c>
      <c r="AS121" s="289">
        <v>1</v>
      </c>
      <c r="AT121" s="289">
        <v>4886</v>
      </c>
      <c r="AU121" s="289">
        <v>0</v>
      </c>
      <c r="AV121" s="289">
        <v>0</v>
      </c>
      <c r="AW121" s="289">
        <v>0</v>
      </c>
      <c r="AX121" s="289">
        <v>0</v>
      </c>
      <c r="AY121" s="289">
        <v>354.2</v>
      </c>
      <c r="AZ121" s="289">
        <v>13.794466403162057</v>
      </c>
      <c r="BA121" s="289">
        <v>3296</v>
      </c>
      <c r="BB121" s="289">
        <v>0.6745804338927548</v>
      </c>
      <c r="BC121" s="289">
        <v>0</v>
      </c>
      <c r="BD121" s="289">
        <v>0</v>
      </c>
      <c r="BE121" s="289">
        <v>4953</v>
      </c>
      <c r="BF121" s="289">
        <v>4886</v>
      </c>
      <c r="BG121" s="289">
        <v>-0.013527155259438725</v>
      </c>
      <c r="BH121" s="289">
        <v>0</v>
      </c>
      <c r="BI121" s="289">
        <v>0</v>
      </c>
      <c r="BJ121" s="289">
        <v>0</v>
      </c>
      <c r="BK121" s="289">
        <v>983603.6727837209</v>
      </c>
      <c r="BL121" s="289">
        <v>6680.89</v>
      </c>
      <c r="BM121" s="301">
        <v>1588</v>
      </c>
    </row>
    <row r="122" spans="6:65" s="289" customFormat="1" ht="12.75">
      <c r="F122" s="289">
        <v>153</v>
      </c>
      <c r="G122" s="289" t="s">
        <v>161</v>
      </c>
      <c r="H122" s="289">
        <v>1642</v>
      </c>
      <c r="I122" s="289">
        <v>265</v>
      </c>
      <c r="J122" s="289">
        <v>1508</v>
      </c>
      <c r="K122" s="289">
        <v>806</v>
      </c>
      <c r="L122" s="289">
        <v>19554</v>
      </c>
      <c r="M122" s="289">
        <v>3854</v>
      </c>
      <c r="N122" s="289">
        <v>2409</v>
      </c>
      <c r="O122" s="289">
        <v>835</v>
      </c>
      <c r="P122" s="289">
        <v>28294</v>
      </c>
      <c r="Q122" s="289">
        <v>2</v>
      </c>
      <c r="R122" s="289">
        <v>106</v>
      </c>
      <c r="S122" s="289">
        <v>155.01</v>
      </c>
      <c r="T122" s="289">
        <v>182.53015934455843</v>
      </c>
      <c r="U122" s="289">
        <v>0</v>
      </c>
      <c r="V122" s="289">
        <v>0</v>
      </c>
      <c r="W122" s="289">
        <v>10804</v>
      </c>
      <c r="X122" s="289">
        <v>116</v>
      </c>
      <c r="Y122" s="289">
        <v>146</v>
      </c>
      <c r="Z122" s="289">
        <v>1.025334086712427</v>
      </c>
      <c r="AA122" s="289">
        <v>68</v>
      </c>
      <c r="AB122" s="289">
        <v>68</v>
      </c>
      <c r="AC122" s="289">
        <v>1.4458515151023157</v>
      </c>
      <c r="AD122" s="289">
        <v>1667</v>
      </c>
      <c r="AE122" s="289">
        <v>125</v>
      </c>
      <c r="AF122" s="289">
        <v>58</v>
      </c>
      <c r="AG122" s="289">
        <v>7</v>
      </c>
      <c r="AH122" s="289">
        <v>1857</v>
      </c>
      <c r="AI122" s="289">
        <v>1.286836697671501</v>
      </c>
      <c r="AJ122" s="289">
        <v>12536</v>
      </c>
      <c r="AK122" s="289">
        <v>1742</v>
      </c>
      <c r="AL122" s="289">
        <v>1.4189877883028643</v>
      </c>
      <c r="AM122" s="289">
        <v>1.376430923884571</v>
      </c>
      <c r="AN122" s="289">
        <v>0</v>
      </c>
      <c r="AO122" s="289">
        <v>0</v>
      </c>
      <c r="AP122" s="289">
        <f t="shared" si="0"/>
        <v>0</v>
      </c>
      <c r="AQ122" s="289">
        <v>-294628.57903369516</v>
      </c>
      <c r="AR122" s="289">
        <v>-1388601.9771192241</v>
      </c>
      <c r="AS122" s="289">
        <v>1</v>
      </c>
      <c r="AT122" s="289">
        <v>28294</v>
      </c>
      <c r="AU122" s="289">
        <v>0</v>
      </c>
      <c r="AV122" s="289">
        <v>0</v>
      </c>
      <c r="AW122" s="289">
        <v>0</v>
      </c>
      <c r="AX122" s="289">
        <v>0</v>
      </c>
      <c r="AY122" s="289">
        <v>154.99</v>
      </c>
      <c r="AZ122" s="289">
        <v>182.5537131427834</v>
      </c>
      <c r="BA122" s="289">
        <v>27314</v>
      </c>
      <c r="BB122" s="289">
        <v>0.9653636813458684</v>
      </c>
      <c r="BC122" s="289">
        <v>0</v>
      </c>
      <c r="BD122" s="289">
        <v>0</v>
      </c>
      <c r="BE122" s="289">
        <v>28676</v>
      </c>
      <c r="BF122" s="289">
        <v>28294</v>
      </c>
      <c r="BG122" s="289">
        <v>-0.013321244246059422</v>
      </c>
      <c r="BH122" s="289">
        <v>0</v>
      </c>
      <c r="BI122" s="289">
        <v>1</v>
      </c>
      <c r="BJ122" s="289">
        <v>3.53431823001343E-05</v>
      </c>
      <c r="BK122" s="289">
        <v>4222382.1007898925</v>
      </c>
      <c r="BL122" s="289">
        <v>5995.08</v>
      </c>
      <c r="BM122" s="301">
        <v>7905</v>
      </c>
    </row>
    <row r="123" spans="6:65" s="289" customFormat="1" ht="12.75">
      <c r="F123" s="289">
        <v>164</v>
      </c>
      <c r="G123" s="289" t="s">
        <v>166</v>
      </c>
      <c r="H123" s="289">
        <v>581</v>
      </c>
      <c r="I123" s="289">
        <v>66</v>
      </c>
      <c r="J123" s="289">
        <v>510</v>
      </c>
      <c r="K123" s="289">
        <v>255</v>
      </c>
      <c r="L123" s="289">
        <v>5567</v>
      </c>
      <c r="M123" s="289">
        <v>1009</v>
      </c>
      <c r="N123" s="289">
        <v>665</v>
      </c>
      <c r="O123" s="289">
        <v>249</v>
      </c>
      <c r="P123" s="289">
        <v>8071</v>
      </c>
      <c r="Q123" s="289">
        <v>0</v>
      </c>
      <c r="R123" s="289">
        <v>5</v>
      </c>
      <c r="S123" s="289">
        <v>818.6999999999999</v>
      </c>
      <c r="T123" s="289">
        <v>9.858311957982167</v>
      </c>
      <c r="U123" s="289">
        <v>0</v>
      </c>
      <c r="V123" s="289">
        <v>0</v>
      </c>
      <c r="W123" s="289">
        <v>3315</v>
      </c>
      <c r="X123" s="289">
        <v>580</v>
      </c>
      <c r="Y123" s="289">
        <v>50</v>
      </c>
      <c r="Z123" s="289">
        <v>0.8511139650141302</v>
      </c>
      <c r="AA123" s="289">
        <v>5</v>
      </c>
      <c r="AB123" s="289">
        <v>5</v>
      </c>
      <c r="AC123" s="289">
        <v>0.3726934738051349</v>
      </c>
      <c r="AD123" s="289">
        <v>580</v>
      </c>
      <c r="AE123" s="289">
        <v>55</v>
      </c>
      <c r="AF123" s="289">
        <v>21</v>
      </c>
      <c r="AG123" s="289">
        <v>1</v>
      </c>
      <c r="AH123" s="289">
        <v>657</v>
      </c>
      <c r="AI123" s="289">
        <v>1.5960404915538413</v>
      </c>
      <c r="AJ123" s="289">
        <v>3650</v>
      </c>
      <c r="AK123" s="289">
        <v>309</v>
      </c>
      <c r="AL123" s="289">
        <v>0.864480309591698</v>
      </c>
      <c r="AM123" s="289">
        <v>1.1944950329968516</v>
      </c>
      <c r="AN123" s="289">
        <v>0</v>
      </c>
      <c r="AO123" s="289">
        <v>0</v>
      </c>
      <c r="AP123" s="289">
        <f t="shared" si="0"/>
        <v>0</v>
      </c>
      <c r="AQ123" s="289">
        <v>189868.21824070066</v>
      </c>
      <c r="AR123" s="289">
        <v>5390186.609512191</v>
      </c>
      <c r="AS123" s="289">
        <v>0</v>
      </c>
      <c r="AT123" s="289">
        <v>8071</v>
      </c>
      <c r="AU123" s="289">
        <v>0</v>
      </c>
      <c r="AV123" s="289">
        <v>0</v>
      </c>
      <c r="AW123" s="289">
        <v>0</v>
      </c>
      <c r="AX123" s="289">
        <v>0</v>
      </c>
      <c r="AY123" s="289">
        <v>818.7</v>
      </c>
      <c r="AZ123" s="289">
        <v>9.858311957982167</v>
      </c>
      <c r="BA123" s="289">
        <v>3696</v>
      </c>
      <c r="BB123" s="289">
        <v>0.45793581960104074</v>
      </c>
      <c r="BC123" s="289">
        <v>0</v>
      </c>
      <c r="BD123" s="289">
        <v>0</v>
      </c>
      <c r="BE123" s="289">
        <v>8277</v>
      </c>
      <c r="BF123" s="289">
        <v>8071</v>
      </c>
      <c r="BG123" s="289">
        <v>-0.024888244533043374</v>
      </c>
      <c r="BH123" s="289">
        <v>0</v>
      </c>
      <c r="BI123" s="289">
        <v>0</v>
      </c>
      <c r="BJ123" s="289">
        <v>0</v>
      </c>
      <c r="BK123" s="289">
        <v>1876800.7229809945</v>
      </c>
      <c r="BL123" s="289">
        <v>6911.23</v>
      </c>
      <c r="BM123" s="301">
        <v>2496</v>
      </c>
    </row>
    <row r="124" spans="6:65" s="289" customFormat="1" ht="12.75">
      <c r="F124" s="289">
        <v>165</v>
      </c>
      <c r="G124" s="289" t="s">
        <v>167</v>
      </c>
      <c r="H124" s="289">
        <v>1383</v>
      </c>
      <c r="I124" s="289">
        <v>199</v>
      </c>
      <c r="J124" s="289">
        <v>1282</v>
      </c>
      <c r="K124" s="289">
        <v>671</v>
      </c>
      <c r="L124" s="289">
        <v>12200</v>
      </c>
      <c r="M124" s="289">
        <v>1914</v>
      </c>
      <c r="N124" s="289">
        <v>1017</v>
      </c>
      <c r="O124" s="289">
        <v>407</v>
      </c>
      <c r="P124" s="289">
        <v>16921</v>
      </c>
      <c r="Q124" s="289">
        <v>11</v>
      </c>
      <c r="R124" s="289">
        <v>39</v>
      </c>
      <c r="S124" s="289">
        <v>547.44</v>
      </c>
      <c r="T124" s="289">
        <v>30.909323396171267</v>
      </c>
      <c r="U124" s="289">
        <v>0</v>
      </c>
      <c r="V124" s="289">
        <v>0</v>
      </c>
      <c r="W124" s="289">
        <v>7408</v>
      </c>
      <c r="X124" s="289">
        <v>307</v>
      </c>
      <c r="Y124" s="289">
        <v>90</v>
      </c>
      <c r="Z124" s="289">
        <v>0.9945026680546236</v>
      </c>
      <c r="AA124" s="289">
        <v>34</v>
      </c>
      <c r="AB124" s="289">
        <v>34</v>
      </c>
      <c r="AC124" s="289">
        <v>1.2088210734680254</v>
      </c>
      <c r="AD124" s="289">
        <v>633</v>
      </c>
      <c r="AE124" s="289">
        <v>124</v>
      </c>
      <c r="AF124" s="289">
        <v>22</v>
      </c>
      <c r="AG124" s="289">
        <v>0</v>
      </c>
      <c r="AH124" s="289">
        <v>779</v>
      </c>
      <c r="AI124" s="289">
        <v>0.902645694906763</v>
      </c>
      <c r="AJ124" s="289">
        <v>8083</v>
      </c>
      <c r="AK124" s="289">
        <v>604</v>
      </c>
      <c r="AL124" s="289">
        <v>0.7630515002824089</v>
      </c>
      <c r="AM124" s="289">
        <v>0.8311026039464816</v>
      </c>
      <c r="AN124" s="289">
        <v>0</v>
      </c>
      <c r="AO124" s="289">
        <v>0</v>
      </c>
      <c r="AP124" s="289">
        <f t="shared" si="0"/>
        <v>0</v>
      </c>
      <c r="AQ124" s="289">
        <v>-98206.12784617394</v>
      </c>
      <c r="AR124" s="289">
        <v>290450.8322784741</v>
      </c>
      <c r="AS124" s="289">
        <v>1</v>
      </c>
      <c r="AT124" s="289">
        <v>16921</v>
      </c>
      <c r="AU124" s="289">
        <v>0</v>
      </c>
      <c r="AV124" s="289">
        <v>0</v>
      </c>
      <c r="AW124" s="289">
        <v>0</v>
      </c>
      <c r="AX124" s="289">
        <v>0</v>
      </c>
      <c r="AY124" s="289">
        <v>547.43</v>
      </c>
      <c r="AZ124" s="289">
        <v>30.90988802221289</v>
      </c>
      <c r="BA124" s="289">
        <v>12592</v>
      </c>
      <c r="BB124" s="289">
        <v>0.7441640564978429</v>
      </c>
      <c r="BC124" s="289">
        <v>0</v>
      </c>
      <c r="BD124" s="289">
        <v>0</v>
      </c>
      <c r="BE124" s="289">
        <v>16795</v>
      </c>
      <c r="BF124" s="289">
        <v>16921</v>
      </c>
      <c r="BG124" s="289">
        <v>0.00750223280738315</v>
      </c>
      <c r="BH124" s="289">
        <v>0</v>
      </c>
      <c r="BI124" s="289">
        <v>0</v>
      </c>
      <c r="BJ124" s="289">
        <v>0</v>
      </c>
      <c r="BK124" s="289">
        <v>2350121.552553217</v>
      </c>
      <c r="BL124" s="289">
        <v>6144.8</v>
      </c>
      <c r="BM124" s="301">
        <v>5486</v>
      </c>
    </row>
    <row r="125" spans="6:65" s="289" customFormat="1" ht="12.75">
      <c r="F125" s="289">
        <v>167</v>
      </c>
      <c r="G125" s="289" t="s">
        <v>168</v>
      </c>
      <c r="H125" s="289">
        <v>5156</v>
      </c>
      <c r="I125" s="289">
        <v>725</v>
      </c>
      <c r="J125" s="289">
        <v>4148</v>
      </c>
      <c r="K125" s="289">
        <v>2365</v>
      </c>
      <c r="L125" s="289">
        <v>55546</v>
      </c>
      <c r="M125" s="289">
        <v>7278</v>
      </c>
      <c r="N125" s="289">
        <v>4555</v>
      </c>
      <c r="O125" s="289">
        <v>1633</v>
      </c>
      <c r="P125" s="289">
        <v>74168</v>
      </c>
      <c r="Q125" s="289">
        <v>0</v>
      </c>
      <c r="R125" s="289">
        <v>244</v>
      </c>
      <c r="S125" s="289">
        <v>2381.65</v>
      </c>
      <c r="T125" s="289">
        <v>31.1414355593811</v>
      </c>
      <c r="U125" s="289">
        <v>0</v>
      </c>
      <c r="V125" s="289">
        <v>0</v>
      </c>
      <c r="W125" s="289">
        <v>29489</v>
      </c>
      <c r="X125" s="289">
        <v>795</v>
      </c>
      <c r="Y125" s="289">
        <v>431</v>
      </c>
      <c r="Z125" s="289">
        <v>1.0071291638707727</v>
      </c>
      <c r="AA125" s="289">
        <v>168</v>
      </c>
      <c r="AB125" s="289">
        <v>168</v>
      </c>
      <c r="AC125" s="289">
        <v>1.362704984763372</v>
      </c>
      <c r="AD125" s="289">
        <v>3237</v>
      </c>
      <c r="AE125" s="289">
        <v>392</v>
      </c>
      <c r="AF125" s="289">
        <v>118</v>
      </c>
      <c r="AG125" s="289">
        <v>33</v>
      </c>
      <c r="AH125" s="289">
        <v>3780</v>
      </c>
      <c r="AI125" s="289">
        <v>0.9992660090233949</v>
      </c>
      <c r="AJ125" s="289">
        <v>34273</v>
      </c>
      <c r="AK125" s="289">
        <v>5178</v>
      </c>
      <c r="AL125" s="289">
        <v>1.5427637148766764</v>
      </c>
      <c r="AM125" s="289">
        <v>1.032209403017512</v>
      </c>
      <c r="AN125" s="289">
        <v>0</v>
      </c>
      <c r="AO125" s="289">
        <v>0</v>
      </c>
      <c r="AP125" s="289">
        <f t="shared" si="0"/>
        <v>0</v>
      </c>
      <c r="AQ125" s="289">
        <v>12210.197223514318</v>
      </c>
      <c r="AR125" s="289">
        <v>21263000.174358994</v>
      </c>
      <c r="AS125" s="289">
        <v>1</v>
      </c>
      <c r="AT125" s="289">
        <v>74168</v>
      </c>
      <c r="AU125" s="289">
        <v>0</v>
      </c>
      <c r="AV125" s="289">
        <v>0</v>
      </c>
      <c r="AW125" s="289">
        <v>0</v>
      </c>
      <c r="AX125" s="289">
        <v>0</v>
      </c>
      <c r="AY125" s="289">
        <v>2381.7</v>
      </c>
      <c r="AZ125" s="289">
        <v>31.140781794516524</v>
      </c>
      <c r="BA125" s="289">
        <v>64106</v>
      </c>
      <c r="BB125" s="289">
        <v>0.8643350231905943</v>
      </c>
      <c r="BC125" s="289">
        <v>0</v>
      </c>
      <c r="BD125" s="289">
        <v>0</v>
      </c>
      <c r="BE125" s="289">
        <v>72704</v>
      </c>
      <c r="BF125" s="289">
        <v>74168</v>
      </c>
      <c r="BG125" s="289">
        <v>0.020136443661971832</v>
      </c>
      <c r="BH125" s="289">
        <v>0</v>
      </c>
      <c r="BI125" s="289">
        <v>3</v>
      </c>
      <c r="BJ125" s="289">
        <v>4.044871103440837E-05</v>
      </c>
      <c r="BK125" s="289">
        <v>13904091.833076928</v>
      </c>
      <c r="BL125" s="289">
        <v>6158</v>
      </c>
      <c r="BM125" s="301">
        <v>27250</v>
      </c>
    </row>
    <row r="126" spans="6:65" s="289" customFormat="1" ht="12.75">
      <c r="F126" s="289">
        <v>169</v>
      </c>
      <c r="G126" s="289" t="s">
        <v>169</v>
      </c>
      <c r="H126" s="289">
        <v>433</v>
      </c>
      <c r="I126" s="289">
        <v>71</v>
      </c>
      <c r="J126" s="289">
        <v>439</v>
      </c>
      <c r="K126" s="289">
        <v>234</v>
      </c>
      <c r="L126" s="289">
        <v>4099</v>
      </c>
      <c r="M126" s="289">
        <v>572</v>
      </c>
      <c r="N126" s="289">
        <v>380</v>
      </c>
      <c r="O126" s="289">
        <v>159</v>
      </c>
      <c r="P126" s="289">
        <v>5643</v>
      </c>
      <c r="Q126" s="289">
        <v>10</v>
      </c>
      <c r="R126" s="289">
        <v>11</v>
      </c>
      <c r="S126" s="289">
        <v>180.42999999999998</v>
      </c>
      <c r="T126" s="289">
        <v>31.27528681483124</v>
      </c>
      <c r="U126" s="289">
        <v>0</v>
      </c>
      <c r="V126" s="289">
        <v>0</v>
      </c>
      <c r="W126" s="289">
        <v>2465</v>
      </c>
      <c r="X126" s="289">
        <v>156</v>
      </c>
      <c r="Y126" s="289">
        <v>27</v>
      </c>
      <c r="Z126" s="289">
        <v>0.9728047345832859</v>
      </c>
      <c r="AA126" s="289">
        <v>6</v>
      </c>
      <c r="AB126" s="289">
        <v>6</v>
      </c>
      <c r="AC126" s="289">
        <v>0.6396616750837308</v>
      </c>
      <c r="AD126" s="289">
        <v>225</v>
      </c>
      <c r="AE126" s="289">
        <v>46</v>
      </c>
      <c r="AF126" s="289">
        <v>13</v>
      </c>
      <c r="AG126" s="289">
        <v>0</v>
      </c>
      <c r="AH126" s="289">
        <v>284</v>
      </c>
      <c r="AI126" s="289">
        <v>0.9867659902401998</v>
      </c>
      <c r="AJ126" s="289">
        <v>2751</v>
      </c>
      <c r="AK126" s="289">
        <v>248</v>
      </c>
      <c r="AL126" s="289">
        <v>0.9205567804615975</v>
      </c>
      <c r="AM126" s="289">
        <v>0.6679204416336567</v>
      </c>
      <c r="AN126" s="289">
        <v>0</v>
      </c>
      <c r="AO126" s="289">
        <v>0</v>
      </c>
      <c r="AP126" s="289">
        <f t="shared" si="0"/>
        <v>0</v>
      </c>
      <c r="AQ126" s="289">
        <v>222840.09286955744</v>
      </c>
      <c r="AR126" s="289">
        <v>1342152.4969512215</v>
      </c>
      <c r="AS126" s="289">
        <v>1</v>
      </c>
      <c r="AT126" s="289">
        <v>5643</v>
      </c>
      <c r="AU126" s="289">
        <v>0</v>
      </c>
      <c r="AV126" s="289">
        <v>0</v>
      </c>
      <c r="AW126" s="289">
        <v>0</v>
      </c>
      <c r="AX126" s="289">
        <v>0</v>
      </c>
      <c r="AY126" s="289">
        <v>180.43</v>
      </c>
      <c r="AZ126" s="289">
        <v>31.275286814831237</v>
      </c>
      <c r="BA126" s="289">
        <v>3645</v>
      </c>
      <c r="BB126" s="289">
        <v>0.645933014354067</v>
      </c>
      <c r="BC126" s="289">
        <v>0</v>
      </c>
      <c r="BD126" s="289">
        <v>0</v>
      </c>
      <c r="BE126" s="289">
        <v>5753</v>
      </c>
      <c r="BF126" s="289">
        <v>5643</v>
      </c>
      <c r="BG126" s="289">
        <v>-0.019120458891013385</v>
      </c>
      <c r="BH126" s="289">
        <v>0</v>
      </c>
      <c r="BI126" s="289">
        <v>0</v>
      </c>
      <c r="BJ126" s="289">
        <v>0</v>
      </c>
      <c r="BK126" s="289">
        <v>928173.5759166703</v>
      </c>
      <c r="BL126" s="289">
        <v>6139.12</v>
      </c>
      <c r="BM126" s="301">
        <v>1817</v>
      </c>
    </row>
    <row r="127" spans="6:65" s="289" customFormat="1" ht="12.75">
      <c r="F127" s="289">
        <v>171</v>
      </c>
      <c r="G127" s="289" t="s">
        <v>170</v>
      </c>
      <c r="H127" s="289">
        <v>338</v>
      </c>
      <c r="I127" s="289">
        <v>52</v>
      </c>
      <c r="J127" s="289">
        <v>343</v>
      </c>
      <c r="K127" s="289">
        <v>182</v>
      </c>
      <c r="L127" s="289">
        <v>3695</v>
      </c>
      <c r="M127" s="289">
        <v>685</v>
      </c>
      <c r="N127" s="289">
        <v>421</v>
      </c>
      <c r="O127" s="289">
        <v>152</v>
      </c>
      <c r="P127" s="289">
        <v>5291</v>
      </c>
      <c r="Q127" s="289">
        <v>1</v>
      </c>
      <c r="R127" s="289">
        <v>7</v>
      </c>
      <c r="S127" s="289">
        <v>575.19</v>
      </c>
      <c r="T127" s="289">
        <v>9.198699560145343</v>
      </c>
      <c r="U127" s="289">
        <v>0</v>
      </c>
      <c r="V127" s="289">
        <v>0</v>
      </c>
      <c r="W127" s="289">
        <v>2008</v>
      </c>
      <c r="X127" s="289">
        <v>325</v>
      </c>
      <c r="Y127" s="289">
        <v>32</v>
      </c>
      <c r="Z127" s="289">
        <v>0.8639931990715092</v>
      </c>
      <c r="AA127" s="289">
        <v>7</v>
      </c>
      <c r="AB127" s="289">
        <v>7</v>
      </c>
      <c r="AC127" s="289">
        <v>0.7959199844856817</v>
      </c>
      <c r="AD127" s="289">
        <v>325</v>
      </c>
      <c r="AE127" s="289">
        <v>29</v>
      </c>
      <c r="AF127" s="289">
        <v>10</v>
      </c>
      <c r="AG127" s="289">
        <v>1</v>
      </c>
      <c r="AH127" s="289">
        <v>365</v>
      </c>
      <c r="AI127" s="289">
        <v>1.3525738473436077</v>
      </c>
      <c r="AJ127" s="289">
        <v>2345</v>
      </c>
      <c r="AK127" s="289">
        <v>253</v>
      </c>
      <c r="AL127" s="289">
        <v>1.1017096789181051</v>
      </c>
      <c r="AM127" s="289">
        <v>1.2101076203978367</v>
      </c>
      <c r="AN127" s="289">
        <v>0</v>
      </c>
      <c r="AO127" s="289">
        <v>0</v>
      </c>
      <c r="AP127" s="289">
        <f t="shared" si="0"/>
        <v>0</v>
      </c>
      <c r="AQ127" s="289">
        <v>-48409.14895039052</v>
      </c>
      <c r="AR127" s="289">
        <v>2527454.117307693</v>
      </c>
      <c r="AS127" s="289">
        <v>1</v>
      </c>
      <c r="AT127" s="289">
        <v>5291</v>
      </c>
      <c r="AU127" s="289">
        <v>0</v>
      </c>
      <c r="AV127" s="289">
        <v>0</v>
      </c>
      <c r="AW127" s="289">
        <v>0</v>
      </c>
      <c r="AX127" s="289">
        <v>0</v>
      </c>
      <c r="AY127" s="289">
        <v>575.18</v>
      </c>
      <c r="AZ127" s="289">
        <v>9.198859487464794</v>
      </c>
      <c r="BA127" s="289">
        <v>2979</v>
      </c>
      <c r="BB127" s="289">
        <v>0.563031563031563</v>
      </c>
      <c r="BC127" s="289">
        <v>0</v>
      </c>
      <c r="BD127" s="289">
        <v>0</v>
      </c>
      <c r="BE127" s="289">
        <v>5423</v>
      </c>
      <c r="BF127" s="289">
        <v>5291</v>
      </c>
      <c r="BG127" s="289">
        <v>-0.02434077079107505</v>
      </c>
      <c r="BH127" s="289">
        <v>0</v>
      </c>
      <c r="BI127" s="289">
        <v>0</v>
      </c>
      <c r="BJ127" s="289">
        <v>0</v>
      </c>
      <c r="BK127" s="289">
        <v>1023548.6408429756</v>
      </c>
      <c r="BL127" s="289">
        <v>6966.83</v>
      </c>
      <c r="BM127" s="301">
        <v>1501</v>
      </c>
    </row>
    <row r="128" spans="6:65" s="289" customFormat="1" ht="12.75">
      <c r="F128" s="289">
        <v>172</v>
      </c>
      <c r="G128" s="289" t="s">
        <v>171</v>
      </c>
      <c r="H128" s="289">
        <v>248</v>
      </c>
      <c r="I128" s="289">
        <v>45</v>
      </c>
      <c r="J128" s="289">
        <v>234</v>
      </c>
      <c r="K128" s="289">
        <v>127</v>
      </c>
      <c r="L128" s="289">
        <v>3128</v>
      </c>
      <c r="M128" s="289">
        <v>822</v>
      </c>
      <c r="N128" s="289">
        <v>512</v>
      </c>
      <c r="O128" s="289">
        <v>188</v>
      </c>
      <c r="P128" s="289">
        <v>4898</v>
      </c>
      <c r="Q128" s="289">
        <v>1</v>
      </c>
      <c r="R128" s="289">
        <v>5</v>
      </c>
      <c r="S128" s="289">
        <v>867.1600000000001</v>
      </c>
      <c r="T128" s="289">
        <v>5.648323262143087</v>
      </c>
      <c r="U128" s="289">
        <v>1</v>
      </c>
      <c r="V128" s="289">
        <v>0</v>
      </c>
      <c r="W128" s="289">
        <v>1751</v>
      </c>
      <c r="X128" s="289">
        <v>259</v>
      </c>
      <c r="Y128" s="289">
        <v>37</v>
      </c>
      <c r="Z128" s="289">
        <v>0.8731800536010345</v>
      </c>
      <c r="AA128" s="289">
        <v>11</v>
      </c>
      <c r="AB128" s="289">
        <v>11</v>
      </c>
      <c r="AC128" s="289">
        <v>1.3510861289462508</v>
      </c>
      <c r="AD128" s="289">
        <v>297</v>
      </c>
      <c r="AE128" s="289">
        <v>16</v>
      </c>
      <c r="AF128" s="289">
        <v>5</v>
      </c>
      <c r="AG128" s="289">
        <v>0</v>
      </c>
      <c r="AH128" s="289">
        <v>318</v>
      </c>
      <c r="AI128" s="289">
        <v>1.27295843199171</v>
      </c>
      <c r="AJ128" s="289">
        <v>2052</v>
      </c>
      <c r="AK128" s="289">
        <v>242</v>
      </c>
      <c r="AL128" s="289">
        <v>1.2042800732135148</v>
      </c>
      <c r="AM128" s="289">
        <v>1.0796685425207329</v>
      </c>
      <c r="AN128" s="289">
        <v>0</v>
      </c>
      <c r="AO128" s="289">
        <v>0</v>
      </c>
      <c r="AP128" s="289">
        <f t="shared" si="0"/>
        <v>0</v>
      </c>
      <c r="AQ128" s="289">
        <v>-40989.04836730845</v>
      </c>
      <c r="AR128" s="289">
        <v>3683515.310769234</v>
      </c>
      <c r="AS128" s="289">
        <v>1</v>
      </c>
      <c r="AT128" s="289">
        <v>4898</v>
      </c>
      <c r="AU128" s="289">
        <v>1</v>
      </c>
      <c r="AV128" s="289">
        <v>342</v>
      </c>
      <c r="AW128" s="289">
        <v>0.06982441812984892</v>
      </c>
      <c r="AX128" s="289">
        <v>0.42745</v>
      </c>
      <c r="AY128" s="289">
        <v>867.16</v>
      </c>
      <c r="AZ128" s="289">
        <v>5.648323262143088</v>
      </c>
      <c r="BA128" s="289">
        <v>2831</v>
      </c>
      <c r="BB128" s="289">
        <v>0.5779910167415272</v>
      </c>
      <c r="BC128" s="289">
        <v>0</v>
      </c>
      <c r="BD128" s="289">
        <v>0</v>
      </c>
      <c r="BE128" s="289">
        <v>5093</v>
      </c>
      <c r="BF128" s="289">
        <v>4898</v>
      </c>
      <c r="BG128" s="289">
        <v>-0.03828784606322403</v>
      </c>
      <c r="BH128" s="289">
        <v>0</v>
      </c>
      <c r="BI128" s="289">
        <v>0</v>
      </c>
      <c r="BJ128" s="289">
        <v>0</v>
      </c>
      <c r="BK128" s="289">
        <v>1160546.1515305648</v>
      </c>
      <c r="BL128" s="289">
        <v>7302</v>
      </c>
      <c r="BM128" s="301">
        <v>1157</v>
      </c>
    </row>
    <row r="129" spans="6:65" s="289" customFormat="1" ht="12.75">
      <c r="F129" s="289">
        <v>174</v>
      </c>
      <c r="G129" s="289" t="s">
        <v>172</v>
      </c>
      <c r="H129" s="289">
        <v>278</v>
      </c>
      <c r="I129" s="289">
        <v>45</v>
      </c>
      <c r="J129" s="289">
        <v>263</v>
      </c>
      <c r="K129" s="289">
        <v>156</v>
      </c>
      <c r="L129" s="289">
        <v>3509</v>
      </c>
      <c r="M129" s="289">
        <v>683</v>
      </c>
      <c r="N129" s="289">
        <v>447</v>
      </c>
      <c r="O129" s="289">
        <v>176</v>
      </c>
      <c r="P129" s="289">
        <v>5093</v>
      </c>
      <c r="Q129" s="289">
        <v>0</v>
      </c>
      <c r="R129" s="289">
        <v>11</v>
      </c>
      <c r="S129" s="289">
        <v>465.31999999999994</v>
      </c>
      <c r="T129" s="289">
        <v>10.945156021662513</v>
      </c>
      <c r="U129" s="289">
        <v>0</v>
      </c>
      <c r="V129" s="289">
        <v>0</v>
      </c>
      <c r="W129" s="289">
        <v>1958</v>
      </c>
      <c r="X129" s="289">
        <v>330</v>
      </c>
      <c r="Y129" s="289">
        <v>23</v>
      </c>
      <c r="Z129" s="289">
        <v>0.8613691400994546</v>
      </c>
      <c r="AA129" s="289">
        <v>5</v>
      </c>
      <c r="AB129" s="289">
        <v>5</v>
      </c>
      <c r="AC129" s="289">
        <v>0.5906163414649999</v>
      </c>
      <c r="AD129" s="289">
        <v>401</v>
      </c>
      <c r="AE129" s="289">
        <v>29</v>
      </c>
      <c r="AF129" s="289">
        <v>7</v>
      </c>
      <c r="AG129" s="289">
        <v>1</v>
      </c>
      <c r="AH129" s="289">
        <v>438</v>
      </c>
      <c r="AI129" s="289">
        <v>1.6861892541830032</v>
      </c>
      <c r="AJ129" s="289">
        <v>2192</v>
      </c>
      <c r="AK129" s="289">
        <v>233</v>
      </c>
      <c r="AL129" s="289">
        <v>1.0854376008259803</v>
      </c>
      <c r="AM129" s="289">
        <v>1.6058871722987884</v>
      </c>
      <c r="AN129" s="289">
        <v>0</v>
      </c>
      <c r="AO129" s="289">
        <v>0</v>
      </c>
      <c r="AP129" s="289">
        <f t="shared" si="0"/>
        <v>0</v>
      </c>
      <c r="AQ129" s="289">
        <v>113452.5180101823</v>
      </c>
      <c r="AR129" s="289">
        <v>3259535.6931395354</v>
      </c>
      <c r="AS129" s="289">
        <v>1</v>
      </c>
      <c r="AT129" s="289">
        <v>5093</v>
      </c>
      <c r="AU129" s="289">
        <v>0</v>
      </c>
      <c r="AV129" s="289">
        <v>0</v>
      </c>
      <c r="AW129" s="289">
        <v>0</v>
      </c>
      <c r="AX129" s="289">
        <v>0</v>
      </c>
      <c r="AY129" s="289">
        <v>465.32</v>
      </c>
      <c r="AZ129" s="289">
        <v>10.945156021662513</v>
      </c>
      <c r="BA129" s="289">
        <v>2834</v>
      </c>
      <c r="BB129" s="289">
        <v>0.5564500294521892</v>
      </c>
      <c r="BC129" s="289">
        <v>0</v>
      </c>
      <c r="BD129" s="289">
        <v>0</v>
      </c>
      <c r="BE129" s="289">
        <v>5273</v>
      </c>
      <c r="BF129" s="289">
        <v>5093</v>
      </c>
      <c r="BG129" s="289">
        <v>-0.034136165370756685</v>
      </c>
      <c r="BH129" s="289">
        <v>0</v>
      </c>
      <c r="BI129" s="289">
        <v>0</v>
      </c>
      <c r="BJ129" s="289">
        <v>0</v>
      </c>
      <c r="BK129" s="289">
        <v>1212977.4903285573</v>
      </c>
      <c r="BL129" s="289">
        <v>6859</v>
      </c>
      <c r="BM129" s="301">
        <v>1256</v>
      </c>
    </row>
    <row r="130" spans="6:65" s="289" customFormat="1" ht="12.75">
      <c r="F130" s="289">
        <v>176</v>
      </c>
      <c r="G130" s="289" t="s">
        <v>173</v>
      </c>
      <c r="H130" s="289">
        <v>256</v>
      </c>
      <c r="I130" s="289">
        <v>41</v>
      </c>
      <c r="J130" s="289">
        <v>291</v>
      </c>
      <c r="K130" s="289">
        <v>170</v>
      </c>
      <c r="L130" s="289">
        <v>3552</v>
      </c>
      <c r="M130" s="289">
        <v>772</v>
      </c>
      <c r="N130" s="289">
        <v>559</v>
      </c>
      <c r="O130" s="289">
        <v>185</v>
      </c>
      <c r="P130" s="289">
        <v>5324</v>
      </c>
      <c r="Q130" s="289">
        <v>0</v>
      </c>
      <c r="R130" s="289">
        <v>15</v>
      </c>
      <c r="S130" s="289">
        <v>1501.76</v>
      </c>
      <c r="T130" s="289">
        <v>3.5451736629021946</v>
      </c>
      <c r="U130" s="289">
        <v>1</v>
      </c>
      <c r="V130" s="289">
        <v>0</v>
      </c>
      <c r="W130" s="289">
        <v>1816</v>
      </c>
      <c r="X130" s="289">
        <v>270</v>
      </c>
      <c r="Y130" s="289">
        <v>36</v>
      </c>
      <c r="Z130" s="289">
        <v>0.8737517573919762</v>
      </c>
      <c r="AA130" s="289">
        <v>7</v>
      </c>
      <c r="AB130" s="289">
        <v>7</v>
      </c>
      <c r="AC130" s="289">
        <v>0.7909865961520927</v>
      </c>
      <c r="AD130" s="289">
        <v>446</v>
      </c>
      <c r="AE130" s="289">
        <v>24</v>
      </c>
      <c r="AF130" s="289">
        <v>10</v>
      </c>
      <c r="AG130" s="289">
        <v>5</v>
      </c>
      <c r="AH130" s="289">
        <v>485</v>
      </c>
      <c r="AI130" s="289">
        <v>1.7861156457463692</v>
      </c>
      <c r="AJ130" s="289">
        <v>2232</v>
      </c>
      <c r="AK130" s="289">
        <v>314</v>
      </c>
      <c r="AL130" s="289">
        <v>1.436563899651792</v>
      </c>
      <c r="AM130" s="289">
        <v>1.7525297162757514</v>
      </c>
      <c r="AN130" s="289">
        <v>0.05</v>
      </c>
      <c r="AO130" s="289">
        <v>0</v>
      </c>
      <c r="AP130" s="289">
        <f t="shared" si="0"/>
        <v>0.05</v>
      </c>
      <c r="AQ130" s="289">
        <v>155506.09383029118</v>
      </c>
      <c r="AR130" s="289">
        <v>5166516.199012348</v>
      </c>
      <c r="AS130" s="289">
        <v>1</v>
      </c>
      <c r="AT130" s="289">
        <v>5324</v>
      </c>
      <c r="AU130" s="289">
        <v>1</v>
      </c>
      <c r="AV130" s="289">
        <v>229</v>
      </c>
      <c r="AW130" s="289">
        <v>0.043012772351615325</v>
      </c>
      <c r="AX130" s="289">
        <v>0.9867833333333333</v>
      </c>
      <c r="AY130" s="289">
        <v>1501.79</v>
      </c>
      <c r="AZ130" s="289">
        <v>3.5451028439395653</v>
      </c>
      <c r="BA130" s="289">
        <v>2462</v>
      </c>
      <c r="BB130" s="289">
        <v>0.4624342599549211</v>
      </c>
      <c r="BC130" s="289">
        <v>0</v>
      </c>
      <c r="BD130" s="289">
        <v>0</v>
      </c>
      <c r="BE130" s="289">
        <v>5705</v>
      </c>
      <c r="BF130" s="289">
        <v>5324</v>
      </c>
      <c r="BG130" s="289">
        <v>-0.06678352322524102</v>
      </c>
      <c r="BH130" s="289">
        <v>1</v>
      </c>
      <c r="BI130" s="289">
        <v>0</v>
      </c>
      <c r="BJ130" s="289">
        <v>0</v>
      </c>
      <c r="BK130" s="289">
        <v>1532067.8951444852</v>
      </c>
      <c r="BL130" s="289">
        <v>7764.67</v>
      </c>
      <c r="BM130" s="301">
        <v>1285</v>
      </c>
    </row>
    <row r="131" spans="6:65" s="289" customFormat="1" ht="12.75">
      <c r="F131" s="289">
        <v>177</v>
      </c>
      <c r="G131" s="289" t="s">
        <v>174</v>
      </c>
      <c r="H131" s="289">
        <v>140</v>
      </c>
      <c r="I131" s="289">
        <v>20</v>
      </c>
      <c r="J131" s="289">
        <v>144</v>
      </c>
      <c r="K131" s="289">
        <v>70</v>
      </c>
      <c r="L131" s="289">
        <v>1379</v>
      </c>
      <c r="M131" s="289">
        <v>263</v>
      </c>
      <c r="N131" s="289">
        <v>167</v>
      </c>
      <c r="O131" s="289">
        <v>74</v>
      </c>
      <c r="P131" s="289">
        <v>2023</v>
      </c>
      <c r="Q131" s="289">
        <v>0</v>
      </c>
      <c r="R131" s="289">
        <v>5</v>
      </c>
      <c r="S131" s="289">
        <v>258.5</v>
      </c>
      <c r="T131" s="289">
        <v>7.825918762088975</v>
      </c>
      <c r="U131" s="289">
        <v>0</v>
      </c>
      <c r="V131" s="289">
        <v>0</v>
      </c>
      <c r="W131" s="289">
        <v>808</v>
      </c>
      <c r="X131" s="289">
        <v>89</v>
      </c>
      <c r="Y131" s="289">
        <v>12</v>
      </c>
      <c r="Z131" s="289">
        <v>0.919464597679371</v>
      </c>
      <c r="AA131" s="289">
        <v>4</v>
      </c>
      <c r="AB131" s="289">
        <v>2</v>
      </c>
      <c r="AC131" s="289">
        <v>0.5947620419340076</v>
      </c>
      <c r="AD131" s="289">
        <v>118</v>
      </c>
      <c r="AE131" s="289">
        <v>16</v>
      </c>
      <c r="AF131" s="289">
        <v>2</v>
      </c>
      <c r="AG131" s="289">
        <v>0</v>
      </c>
      <c r="AH131" s="289">
        <v>136</v>
      </c>
      <c r="AI131" s="289">
        <v>1.318101664794756</v>
      </c>
      <c r="AJ131" s="289">
        <v>922</v>
      </c>
      <c r="AK131" s="289">
        <v>84</v>
      </c>
      <c r="AL131" s="289">
        <v>0.9303317781129199</v>
      </c>
      <c r="AM131" s="289">
        <v>1.017862799718336</v>
      </c>
      <c r="AN131" s="289">
        <v>0</v>
      </c>
      <c r="AO131" s="289">
        <v>0</v>
      </c>
      <c r="AP131" s="289">
        <f t="shared" si="0"/>
        <v>0</v>
      </c>
      <c r="AQ131" s="289">
        <v>63092.34340299107</v>
      </c>
      <c r="AR131" s="289">
        <v>1033811.518421054</v>
      </c>
      <c r="AS131" s="289">
        <v>0</v>
      </c>
      <c r="AT131" s="289">
        <v>2023</v>
      </c>
      <c r="AU131" s="289">
        <v>0</v>
      </c>
      <c r="AV131" s="289">
        <v>0</v>
      </c>
      <c r="AW131" s="289">
        <v>0</v>
      </c>
      <c r="AX131" s="289">
        <v>0</v>
      </c>
      <c r="AY131" s="289">
        <v>258.5</v>
      </c>
      <c r="AZ131" s="289">
        <v>7.825918762088975</v>
      </c>
      <c r="BA131" s="289">
        <v>900</v>
      </c>
      <c r="BB131" s="289">
        <v>0.4448838358872961</v>
      </c>
      <c r="BC131" s="289">
        <v>0</v>
      </c>
      <c r="BD131" s="289">
        <v>0</v>
      </c>
      <c r="BE131" s="289">
        <v>2116</v>
      </c>
      <c r="BF131" s="289">
        <v>2023</v>
      </c>
      <c r="BG131" s="289">
        <v>-0.04395085066162571</v>
      </c>
      <c r="BH131" s="289">
        <v>0</v>
      </c>
      <c r="BI131" s="289">
        <v>0</v>
      </c>
      <c r="BJ131" s="289">
        <v>0</v>
      </c>
      <c r="BK131" s="289">
        <v>484893.96996246726</v>
      </c>
      <c r="BL131" s="289">
        <v>7092.51</v>
      </c>
      <c r="BM131" s="301">
        <v>582</v>
      </c>
    </row>
    <row r="132" spans="6:65" s="289" customFormat="1" ht="12.75">
      <c r="F132" s="289">
        <v>178</v>
      </c>
      <c r="G132" s="289" t="s">
        <v>175</v>
      </c>
      <c r="H132" s="289">
        <v>350</v>
      </c>
      <c r="I132" s="289">
        <v>60</v>
      </c>
      <c r="J132" s="289">
        <v>386</v>
      </c>
      <c r="K132" s="289">
        <v>208</v>
      </c>
      <c r="L132" s="289">
        <v>4498</v>
      </c>
      <c r="M132" s="289">
        <v>993</v>
      </c>
      <c r="N132" s="289">
        <v>666</v>
      </c>
      <c r="O132" s="289">
        <v>276</v>
      </c>
      <c r="P132" s="289">
        <v>6783</v>
      </c>
      <c r="Q132" s="289">
        <v>1</v>
      </c>
      <c r="R132" s="289">
        <v>16</v>
      </c>
      <c r="S132" s="289">
        <v>1163.03</v>
      </c>
      <c r="T132" s="289">
        <v>5.8321797374100415</v>
      </c>
      <c r="U132" s="289">
        <v>0</v>
      </c>
      <c r="V132" s="289">
        <v>0</v>
      </c>
      <c r="W132" s="289">
        <v>2700</v>
      </c>
      <c r="X132" s="289">
        <v>503</v>
      </c>
      <c r="Y132" s="289">
        <v>38</v>
      </c>
      <c r="Z132" s="289">
        <v>0.8402641550856135</v>
      </c>
      <c r="AA132" s="289">
        <v>9</v>
      </c>
      <c r="AB132" s="289">
        <v>9</v>
      </c>
      <c r="AC132" s="289">
        <v>0.7982332668061682</v>
      </c>
      <c r="AD132" s="289">
        <v>465</v>
      </c>
      <c r="AE132" s="289">
        <v>46</v>
      </c>
      <c r="AF132" s="289">
        <v>12</v>
      </c>
      <c r="AG132" s="289">
        <v>2</v>
      </c>
      <c r="AH132" s="289">
        <v>525</v>
      </c>
      <c r="AI132" s="289">
        <v>1.5175512588097524</v>
      </c>
      <c r="AJ132" s="289">
        <v>3000</v>
      </c>
      <c r="AK132" s="289">
        <v>246</v>
      </c>
      <c r="AL132" s="289">
        <v>0.8373429018148714</v>
      </c>
      <c r="AM132" s="289">
        <v>1.13074031844538</v>
      </c>
      <c r="AN132" s="289">
        <v>0</v>
      </c>
      <c r="AO132" s="289">
        <v>0</v>
      </c>
      <c r="AP132" s="289">
        <f t="shared" si="0"/>
        <v>0</v>
      </c>
      <c r="AQ132" s="289">
        <v>90682.62796044722</v>
      </c>
      <c r="AR132" s="289">
        <v>4841095.303924051</v>
      </c>
      <c r="AS132" s="289">
        <v>0</v>
      </c>
      <c r="AT132" s="289">
        <v>6783</v>
      </c>
      <c r="AU132" s="289">
        <v>0</v>
      </c>
      <c r="AV132" s="289">
        <v>0</v>
      </c>
      <c r="AW132" s="289">
        <v>0</v>
      </c>
      <c r="AX132" s="289">
        <v>0.40626666666666666</v>
      </c>
      <c r="AY132" s="289">
        <v>1163.24</v>
      </c>
      <c r="AZ132" s="289">
        <v>5.831126852584162</v>
      </c>
      <c r="BA132" s="289">
        <v>3440</v>
      </c>
      <c r="BB132" s="289">
        <v>0.5071502285124576</v>
      </c>
      <c r="BC132" s="289">
        <v>0</v>
      </c>
      <c r="BD132" s="289">
        <v>0</v>
      </c>
      <c r="BE132" s="289">
        <v>7064</v>
      </c>
      <c r="BF132" s="289">
        <v>6783</v>
      </c>
      <c r="BG132" s="289">
        <v>-0.03977916194790487</v>
      </c>
      <c r="BH132" s="289">
        <v>0</v>
      </c>
      <c r="BI132" s="289">
        <v>0</v>
      </c>
      <c r="BJ132" s="289">
        <v>0</v>
      </c>
      <c r="BK132" s="289">
        <v>1501712.0041076122</v>
      </c>
      <c r="BL132" s="289">
        <v>7295.83</v>
      </c>
      <c r="BM132" s="301">
        <v>1765</v>
      </c>
    </row>
    <row r="133" spans="6:65" s="289" customFormat="1" ht="12.75">
      <c r="F133" s="289">
        <v>179</v>
      </c>
      <c r="G133" s="289" t="s">
        <v>176</v>
      </c>
      <c r="H133" s="289">
        <v>11094</v>
      </c>
      <c r="I133" s="289">
        <v>1530</v>
      </c>
      <c r="J133" s="289">
        <v>7949</v>
      </c>
      <c r="K133" s="289">
        <v>3906</v>
      </c>
      <c r="L133" s="289">
        <v>101885</v>
      </c>
      <c r="M133" s="289">
        <v>11744</v>
      </c>
      <c r="N133" s="289">
        <v>6322</v>
      </c>
      <c r="O133" s="289">
        <v>2437</v>
      </c>
      <c r="P133" s="289">
        <v>133482</v>
      </c>
      <c r="Q133" s="289">
        <v>29</v>
      </c>
      <c r="R133" s="289">
        <v>490</v>
      </c>
      <c r="S133" s="289">
        <v>1171</v>
      </c>
      <c r="T133" s="289">
        <v>113.98975234842015</v>
      </c>
      <c r="U133" s="289">
        <v>1</v>
      </c>
      <c r="V133" s="289">
        <v>0</v>
      </c>
      <c r="W133" s="289">
        <v>57453</v>
      </c>
      <c r="X133" s="289">
        <v>573</v>
      </c>
      <c r="Y133" s="289">
        <v>837</v>
      </c>
      <c r="Z133" s="289">
        <v>1.0250277508372307</v>
      </c>
      <c r="AA133" s="289">
        <v>250</v>
      </c>
      <c r="AB133" s="289">
        <v>250</v>
      </c>
      <c r="AC133" s="289">
        <v>1.1267470621811344</v>
      </c>
      <c r="AD133" s="289">
        <v>5096</v>
      </c>
      <c r="AE133" s="289">
        <v>882</v>
      </c>
      <c r="AF133" s="289">
        <v>395</v>
      </c>
      <c r="AG133" s="289">
        <v>4</v>
      </c>
      <c r="AH133" s="289">
        <v>6377</v>
      </c>
      <c r="AI133" s="289">
        <v>0.9366980038985997</v>
      </c>
      <c r="AJ133" s="289">
        <v>65108</v>
      </c>
      <c r="AK133" s="289">
        <v>8572</v>
      </c>
      <c r="AL133" s="289">
        <v>1.3444272245509294</v>
      </c>
      <c r="AM133" s="289">
        <v>1.008701554867421</v>
      </c>
      <c r="AN133" s="289">
        <v>0</v>
      </c>
      <c r="AO133" s="289">
        <v>0</v>
      </c>
      <c r="AP133" s="289">
        <f t="shared" si="0"/>
        <v>0</v>
      </c>
      <c r="AQ133" s="289">
        <v>1194022.427228272</v>
      </c>
      <c r="AR133" s="289">
        <v>4904900.61012818</v>
      </c>
      <c r="AS133" s="289">
        <v>1</v>
      </c>
      <c r="AT133" s="289">
        <v>133482</v>
      </c>
      <c r="AU133" s="289">
        <v>1</v>
      </c>
      <c r="AV133" s="289">
        <v>536</v>
      </c>
      <c r="AW133" s="289">
        <v>0.004015522692198199</v>
      </c>
      <c r="AX133" s="289">
        <v>0</v>
      </c>
      <c r="AY133" s="289">
        <v>1171.01</v>
      </c>
      <c r="AZ133" s="289">
        <v>113.98877891734486</v>
      </c>
      <c r="BA133" s="289">
        <v>124592</v>
      </c>
      <c r="BB133" s="289">
        <v>0.9333992598252948</v>
      </c>
      <c r="BC133" s="289">
        <v>0</v>
      </c>
      <c r="BD133" s="289">
        <v>0</v>
      </c>
      <c r="BE133" s="289">
        <v>129623</v>
      </c>
      <c r="BF133" s="289">
        <v>133482</v>
      </c>
      <c r="BG133" s="289">
        <v>0.02977095114292988</v>
      </c>
      <c r="BH133" s="289">
        <v>0</v>
      </c>
      <c r="BI133" s="289">
        <v>12</v>
      </c>
      <c r="BJ133" s="289">
        <v>8.989976176563132E-05</v>
      </c>
      <c r="BK133" s="289">
        <v>20770764.61242783</v>
      </c>
      <c r="BL133" s="289">
        <v>5986.2</v>
      </c>
      <c r="BM133" s="301">
        <v>52158</v>
      </c>
    </row>
    <row r="134" spans="6:65" s="289" customFormat="1" ht="12.75">
      <c r="F134" s="289">
        <v>181</v>
      </c>
      <c r="G134" s="289" t="s">
        <v>177</v>
      </c>
      <c r="H134" s="289">
        <v>113</v>
      </c>
      <c r="I134" s="289">
        <v>19</v>
      </c>
      <c r="J134" s="289">
        <v>129</v>
      </c>
      <c r="K134" s="289">
        <v>83</v>
      </c>
      <c r="L134" s="289">
        <v>1368</v>
      </c>
      <c r="M134" s="289">
        <v>240</v>
      </c>
      <c r="N134" s="289">
        <v>180</v>
      </c>
      <c r="O134" s="289">
        <v>85</v>
      </c>
      <c r="P134" s="289">
        <v>1986</v>
      </c>
      <c r="Q134" s="289">
        <v>0</v>
      </c>
      <c r="R134" s="289">
        <v>1</v>
      </c>
      <c r="S134" s="289">
        <v>214.35</v>
      </c>
      <c r="T134" s="289">
        <v>9.265220433869839</v>
      </c>
      <c r="U134" s="289">
        <v>0</v>
      </c>
      <c r="V134" s="289">
        <v>0</v>
      </c>
      <c r="W134" s="289">
        <v>784</v>
      </c>
      <c r="X134" s="289">
        <v>137</v>
      </c>
      <c r="Y134" s="289">
        <v>16</v>
      </c>
      <c r="Z134" s="289">
        <v>0.8457465905767976</v>
      </c>
      <c r="AA134" s="289">
        <v>5</v>
      </c>
      <c r="AB134" s="289">
        <v>5</v>
      </c>
      <c r="AC134" s="289">
        <v>1.5146067608666887</v>
      </c>
      <c r="AD134" s="289">
        <v>143</v>
      </c>
      <c r="AE134" s="289">
        <v>14</v>
      </c>
      <c r="AF134" s="289">
        <v>1</v>
      </c>
      <c r="AG134" s="289">
        <v>0</v>
      </c>
      <c r="AH134" s="289">
        <v>158</v>
      </c>
      <c r="AI134" s="289">
        <v>1.5598531911801992</v>
      </c>
      <c r="AJ134" s="289">
        <v>899</v>
      </c>
      <c r="AK134" s="289">
        <v>87</v>
      </c>
      <c r="AL134" s="289">
        <v>0.9882095615439078</v>
      </c>
      <c r="AM134" s="289">
        <v>1.0096194095973392</v>
      </c>
      <c r="AN134" s="289">
        <v>0</v>
      </c>
      <c r="AO134" s="289">
        <v>0</v>
      </c>
      <c r="AP134" s="289">
        <f t="shared" si="0"/>
        <v>0</v>
      </c>
      <c r="AQ134" s="289">
        <v>3841.2930621225387</v>
      </c>
      <c r="AR134" s="289">
        <v>1533857.9709756093</v>
      </c>
      <c r="AS134" s="289">
        <v>1</v>
      </c>
      <c r="AT134" s="289">
        <v>1986</v>
      </c>
      <c r="AU134" s="289">
        <v>0</v>
      </c>
      <c r="AV134" s="289">
        <v>0</v>
      </c>
      <c r="AW134" s="289">
        <v>0</v>
      </c>
      <c r="AX134" s="289">
        <v>0</v>
      </c>
      <c r="AY134" s="289">
        <v>214.34</v>
      </c>
      <c r="AZ134" s="289">
        <v>9.265652701315666</v>
      </c>
      <c r="BA134" s="289">
        <v>729</v>
      </c>
      <c r="BB134" s="289">
        <v>0.36706948640483383</v>
      </c>
      <c r="BC134" s="289">
        <v>0</v>
      </c>
      <c r="BD134" s="289">
        <v>0</v>
      </c>
      <c r="BE134" s="289">
        <v>2063</v>
      </c>
      <c r="BF134" s="289">
        <v>1986</v>
      </c>
      <c r="BG134" s="289">
        <v>-0.03732428502181289</v>
      </c>
      <c r="BH134" s="289">
        <v>0</v>
      </c>
      <c r="BI134" s="289">
        <v>0</v>
      </c>
      <c r="BJ134" s="289">
        <v>0</v>
      </c>
      <c r="BK134" s="289">
        <v>583332.724025319</v>
      </c>
      <c r="BL134" s="289">
        <v>6943.97</v>
      </c>
      <c r="BM134" s="301">
        <v>578</v>
      </c>
    </row>
    <row r="135" spans="6:65" s="289" customFormat="1" ht="12.75">
      <c r="F135" s="289">
        <v>182</v>
      </c>
      <c r="G135" s="289" t="s">
        <v>178</v>
      </c>
      <c r="H135" s="289">
        <v>1442</v>
      </c>
      <c r="I135" s="289">
        <v>202</v>
      </c>
      <c r="J135" s="289">
        <v>1357</v>
      </c>
      <c r="K135" s="289">
        <v>787</v>
      </c>
      <c r="L135" s="289">
        <v>15373</v>
      </c>
      <c r="M135" s="289">
        <v>2994</v>
      </c>
      <c r="N135" s="289">
        <v>1865</v>
      </c>
      <c r="O135" s="289">
        <v>680</v>
      </c>
      <c r="P135" s="289">
        <v>22354</v>
      </c>
      <c r="Q135" s="289">
        <v>2</v>
      </c>
      <c r="R135" s="289">
        <v>32</v>
      </c>
      <c r="S135" s="289">
        <v>1571.3200000000002</v>
      </c>
      <c r="T135" s="289">
        <v>14.226255632207314</v>
      </c>
      <c r="U135" s="289">
        <v>0</v>
      </c>
      <c r="V135" s="289">
        <v>0</v>
      </c>
      <c r="W135" s="289">
        <v>8489</v>
      </c>
      <c r="X135" s="289">
        <v>334</v>
      </c>
      <c r="Y135" s="289">
        <v>113</v>
      </c>
      <c r="Z135" s="289">
        <v>0.9954844817040542</v>
      </c>
      <c r="AA135" s="289">
        <v>47</v>
      </c>
      <c r="AB135" s="289">
        <v>47</v>
      </c>
      <c r="AC135" s="289">
        <v>1.2648870383181396</v>
      </c>
      <c r="AD135" s="289">
        <v>1328</v>
      </c>
      <c r="AE135" s="289">
        <v>159</v>
      </c>
      <c r="AF135" s="289">
        <v>43</v>
      </c>
      <c r="AG135" s="289">
        <v>4</v>
      </c>
      <c r="AH135" s="289">
        <v>1534</v>
      </c>
      <c r="AI135" s="289">
        <v>1.3454761256465486</v>
      </c>
      <c r="AJ135" s="289">
        <v>10032</v>
      </c>
      <c r="AK135" s="289">
        <v>1374</v>
      </c>
      <c r="AL135" s="289">
        <v>1.3985844651914279</v>
      </c>
      <c r="AM135" s="289">
        <v>1.1777422472601697</v>
      </c>
      <c r="AN135" s="289">
        <v>0</v>
      </c>
      <c r="AO135" s="289">
        <v>0</v>
      </c>
      <c r="AP135" s="289">
        <f t="shared" si="0"/>
        <v>0</v>
      </c>
      <c r="AQ135" s="289">
        <v>-265582.5474530235</v>
      </c>
      <c r="AR135" s="289">
        <v>2216049.585000018</v>
      </c>
      <c r="AS135" s="289">
        <v>1</v>
      </c>
      <c r="AT135" s="289">
        <v>22354</v>
      </c>
      <c r="AU135" s="289">
        <v>0</v>
      </c>
      <c r="AV135" s="289">
        <v>0</v>
      </c>
      <c r="AW135" s="289">
        <v>0</v>
      </c>
      <c r="AX135" s="289">
        <v>0</v>
      </c>
      <c r="AY135" s="289">
        <v>1571.32</v>
      </c>
      <c r="AZ135" s="289">
        <v>14.226255632207316</v>
      </c>
      <c r="BA135" s="289">
        <v>16625</v>
      </c>
      <c r="BB135" s="289">
        <v>0.743714771405565</v>
      </c>
      <c r="BC135" s="289">
        <v>0</v>
      </c>
      <c r="BD135" s="289">
        <v>0</v>
      </c>
      <c r="BE135" s="289">
        <v>22949</v>
      </c>
      <c r="BF135" s="289">
        <v>22354</v>
      </c>
      <c r="BG135" s="289">
        <v>-0.025927055645126148</v>
      </c>
      <c r="BH135" s="289">
        <v>0</v>
      </c>
      <c r="BI135" s="289">
        <v>1</v>
      </c>
      <c r="BJ135" s="289">
        <v>4.473472309206406E-05</v>
      </c>
      <c r="BK135" s="289">
        <v>4286916.496891366</v>
      </c>
      <c r="BL135" s="289">
        <v>6667.8</v>
      </c>
      <c r="BM135" s="301">
        <v>6520</v>
      </c>
    </row>
    <row r="136" spans="6:65" s="289" customFormat="1" ht="12.75">
      <c r="F136" s="289">
        <v>186</v>
      </c>
      <c r="G136" s="289" t="s">
        <v>179</v>
      </c>
      <c r="H136" s="289">
        <v>3396</v>
      </c>
      <c r="I136" s="289">
        <v>479</v>
      </c>
      <c r="J136" s="289">
        <v>2711</v>
      </c>
      <c r="K136" s="289">
        <v>1348</v>
      </c>
      <c r="L136" s="289">
        <v>30788</v>
      </c>
      <c r="M136" s="289">
        <v>3436</v>
      </c>
      <c r="N136" s="289">
        <v>1558</v>
      </c>
      <c r="O136" s="289">
        <v>468</v>
      </c>
      <c r="P136" s="289">
        <v>39646</v>
      </c>
      <c r="Q136" s="289">
        <v>35</v>
      </c>
      <c r="R136" s="289">
        <v>160</v>
      </c>
      <c r="S136" s="289">
        <v>37.55</v>
      </c>
      <c r="T136" s="289">
        <v>1055.8189081225034</v>
      </c>
      <c r="U136" s="289">
        <v>0</v>
      </c>
      <c r="V136" s="289">
        <v>0</v>
      </c>
      <c r="W136" s="289">
        <v>19421</v>
      </c>
      <c r="X136" s="289">
        <v>38</v>
      </c>
      <c r="Y136" s="289">
        <v>227</v>
      </c>
      <c r="Z136" s="289">
        <v>1.0364782648029618</v>
      </c>
      <c r="AA136" s="289">
        <v>60</v>
      </c>
      <c r="AB136" s="289">
        <v>60</v>
      </c>
      <c r="AC136" s="289">
        <v>0.9104602816166808</v>
      </c>
      <c r="AD136" s="289">
        <v>1056</v>
      </c>
      <c r="AE136" s="289">
        <v>235</v>
      </c>
      <c r="AF136" s="289">
        <v>72</v>
      </c>
      <c r="AG136" s="289">
        <v>4</v>
      </c>
      <c r="AH136" s="289">
        <v>1367</v>
      </c>
      <c r="AI136" s="289">
        <v>0.6760440905676405</v>
      </c>
      <c r="AJ136" s="289">
        <v>20733</v>
      </c>
      <c r="AK136" s="289">
        <v>1403</v>
      </c>
      <c r="AL136" s="289">
        <v>0.6910110847478125</v>
      </c>
      <c r="AM136" s="289">
        <v>0.8516956013304507</v>
      </c>
      <c r="AN136" s="289">
        <v>0</v>
      </c>
      <c r="AO136" s="289">
        <v>0</v>
      </c>
      <c r="AP136" s="289">
        <f t="shared" si="0"/>
        <v>0</v>
      </c>
      <c r="AQ136" s="289">
        <v>6565.417614400387</v>
      </c>
      <c r="AR136" s="289">
        <v>-10441640.595226316</v>
      </c>
      <c r="AS136" s="289">
        <v>1</v>
      </c>
      <c r="AT136" s="289">
        <v>39646</v>
      </c>
      <c r="AU136" s="289">
        <v>0</v>
      </c>
      <c r="AV136" s="289">
        <v>0</v>
      </c>
      <c r="AW136" s="289">
        <v>0</v>
      </c>
      <c r="AX136" s="289">
        <v>0</v>
      </c>
      <c r="AY136" s="289">
        <v>37.55</v>
      </c>
      <c r="AZ136" s="289">
        <v>1055.8189081225034</v>
      </c>
      <c r="BA136" s="289">
        <v>38960</v>
      </c>
      <c r="BB136" s="289">
        <v>0.9826968672753872</v>
      </c>
      <c r="BC136" s="289">
        <v>0</v>
      </c>
      <c r="BD136" s="289">
        <v>0</v>
      </c>
      <c r="BE136" s="289">
        <v>38708</v>
      </c>
      <c r="BF136" s="289">
        <v>39646</v>
      </c>
      <c r="BG136" s="289">
        <v>0.024232716751059213</v>
      </c>
      <c r="BH136" s="289">
        <v>0</v>
      </c>
      <c r="BI136" s="289">
        <v>0</v>
      </c>
      <c r="BJ136" s="289">
        <v>0</v>
      </c>
      <c r="BK136" s="289">
        <v>4261471.644324282</v>
      </c>
      <c r="BL136" s="289">
        <v>5990.2</v>
      </c>
      <c r="BM136" s="301">
        <v>13958</v>
      </c>
    </row>
    <row r="137" spans="6:65" s="289" customFormat="1" ht="12.75">
      <c r="F137" s="289">
        <v>202</v>
      </c>
      <c r="G137" s="289" t="s">
        <v>180</v>
      </c>
      <c r="H137" s="289">
        <v>2902</v>
      </c>
      <c r="I137" s="289">
        <v>409</v>
      </c>
      <c r="J137" s="289">
        <v>2435</v>
      </c>
      <c r="K137" s="289">
        <v>1225</v>
      </c>
      <c r="L137" s="289">
        <v>23070</v>
      </c>
      <c r="M137" s="289">
        <v>3254</v>
      </c>
      <c r="N137" s="289">
        <v>1618</v>
      </c>
      <c r="O137" s="289">
        <v>519</v>
      </c>
      <c r="P137" s="289">
        <v>31363</v>
      </c>
      <c r="Q137" s="289">
        <v>178</v>
      </c>
      <c r="R137" s="289">
        <v>114</v>
      </c>
      <c r="S137" s="289">
        <v>150.35</v>
      </c>
      <c r="T137" s="289">
        <v>208.59993348852677</v>
      </c>
      <c r="U137" s="289">
        <v>1</v>
      </c>
      <c r="V137" s="289">
        <v>0</v>
      </c>
      <c r="W137" s="289">
        <v>14324</v>
      </c>
      <c r="X137" s="289">
        <v>146</v>
      </c>
      <c r="Y137" s="289">
        <v>171</v>
      </c>
      <c r="Z137" s="289">
        <v>1.0275613850636256</v>
      </c>
      <c r="AA137" s="289">
        <v>48</v>
      </c>
      <c r="AB137" s="289">
        <v>48</v>
      </c>
      <c r="AC137" s="289">
        <v>0.9207310097879647</v>
      </c>
      <c r="AD137" s="289">
        <v>1023</v>
      </c>
      <c r="AE137" s="289">
        <v>323</v>
      </c>
      <c r="AF137" s="289">
        <v>65</v>
      </c>
      <c r="AG137" s="289">
        <v>8</v>
      </c>
      <c r="AH137" s="289">
        <v>1419</v>
      </c>
      <c r="AI137" s="289">
        <v>0.8870961213010049</v>
      </c>
      <c r="AJ137" s="289">
        <v>15232</v>
      </c>
      <c r="AK137" s="289">
        <v>972</v>
      </c>
      <c r="AL137" s="289">
        <v>0.6516266305243573</v>
      </c>
      <c r="AM137" s="289">
        <v>0.8455226982357615</v>
      </c>
      <c r="AN137" s="289">
        <v>0</v>
      </c>
      <c r="AO137" s="289">
        <v>0</v>
      </c>
      <c r="AP137" s="289">
        <f t="shared" si="0"/>
        <v>0</v>
      </c>
      <c r="AQ137" s="289">
        <v>-589213.1656560749</v>
      </c>
      <c r="AR137" s="289">
        <v>-7430044.635299992</v>
      </c>
      <c r="AS137" s="289">
        <v>1</v>
      </c>
      <c r="AT137" s="289">
        <v>31363</v>
      </c>
      <c r="AU137" s="289">
        <v>1</v>
      </c>
      <c r="AV137" s="289">
        <v>247</v>
      </c>
      <c r="AW137" s="289">
        <v>0.007875522112042854</v>
      </c>
      <c r="AX137" s="289">
        <v>0</v>
      </c>
      <c r="AY137" s="289">
        <v>150.34</v>
      </c>
      <c r="AZ137" s="289">
        <v>208.61380870027935</v>
      </c>
      <c r="BA137" s="289">
        <v>29431</v>
      </c>
      <c r="BB137" s="289">
        <v>0.9383987501195676</v>
      </c>
      <c r="BC137" s="289">
        <v>0</v>
      </c>
      <c r="BD137" s="289">
        <v>0</v>
      </c>
      <c r="BE137" s="289">
        <v>30760</v>
      </c>
      <c r="BF137" s="289">
        <v>31363</v>
      </c>
      <c r="BG137" s="289">
        <v>0.01960338101430429</v>
      </c>
      <c r="BH137" s="289">
        <v>0</v>
      </c>
      <c r="BI137" s="289">
        <v>0</v>
      </c>
      <c r="BJ137" s="289">
        <v>0</v>
      </c>
      <c r="BK137" s="289">
        <v>2846119.7675247</v>
      </c>
      <c r="BL137" s="289">
        <v>6010.94</v>
      </c>
      <c r="BM137" s="301">
        <v>10246</v>
      </c>
    </row>
    <row r="138" spans="6:65" s="289" customFormat="1" ht="12.75">
      <c r="F138" s="289">
        <v>204</v>
      </c>
      <c r="G138" s="289" t="s">
        <v>181</v>
      </c>
      <c r="H138" s="289">
        <v>173</v>
      </c>
      <c r="I138" s="289">
        <v>31</v>
      </c>
      <c r="J138" s="289">
        <v>195</v>
      </c>
      <c r="K138" s="289">
        <v>130</v>
      </c>
      <c r="L138" s="289">
        <v>2173</v>
      </c>
      <c r="M138" s="289">
        <v>511</v>
      </c>
      <c r="N138" s="289">
        <v>316</v>
      </c>
      <c r="O138" s="289">
        <v>142</v>
      </c>
      <c r="P138" s="289">
        <v>3315</v>
      </c>
      <c r="Q138" s="289">
        <v>0</v>
      </c>
      <c r="R138" s="289">
        <v>3</v>
      </c>
      <c r="S138" s="289">
        <v>674</v>
      </c>
      <c r="T138" s="289">
        <v>4.9183976261127595</v>
      </c>
      <c r="U138" s="289">
        <v>0</v>
      </c>
      <c r="V138" s="289">
        <v>0</v>
      </c>
      <c r="W138" s="289">
        <v>1084</v>
      </c>
      <c r="X138" s="289">
        <v>140</v>
      </c>
      <c r="Y138" s="289">
        <v>17</v>
      </c>
      <c r="Z138" s="289">
        <v>0.8986227538732493</v>
      </c>
      <c r="AA138" s="289">
        <v>11</v>
      </c>
      <c r="AB138" s="289">
        <v>11</v>
      </c>
      <c r="AC138" s="289">
        <v>1.9962654176708103</v>
      </c>
      <c r="AD138" s="289">
        <v>269</v>
      </c>
      <c r="AE138" s="289">
        <v>17</v>
      </c>
      <c r="AF138" s="289">
        <v>1</v>
      </c>
      <c r="AG138" s="289">
        <v>0</v>
      </c>
      <c r="AH138" s="289">
        <v>287</v>
      </c>
      <c r="AI138" s="289">
        <v>1.6974783619055547</v>
      </c>
      <c r="AJ138" s="289">
        <v>1255</v>
      </c>
      <c r="AK138" s="289">
        <v>155</v>
      </c>
      <c r="AL138" s="289">
        <v>1.2611811270168598</v>
      </c>
      <c r="AM138" s="289">
        <v>2.5337852929072406</v>
      </c>
      <c r="AN138" s="289">
        <v>0</v>
      </c>
      <c r="AO138" s="289">
        <v>0</v>
      </c>
      <c r="AP138" s="289">
        <f t="shared" si="0"/>
        <v>0</v>
      </c>
      <c r="AQ138" s="289">
        <v>-95514.19307007454</v>
      </c>
      <c r="AR138" s="289">
        <v>3433990.3455555565</v>
      </c>
      <c r="AS138" s="289">
        <v>0</v>
      </c>
      <c r="AT138" s="289">
        <v>3315</v>
      </c>
      <c r="AU138" s="289">
        <v>0</v>
      </c>
      <c r="AV138" s="289">
        <v>0</v>
      </c>
      <c r="AW138" s="289">
        <v>0</v>
      </c>
      <c r="AX138" s="289">
        <v>0.19826666666666667</v>
      </c>
      <c r="AY138" s="289">
        <v>674.08</v>
      </c>
      <c r="AZ138" s="289">
        <v>4.917813909328269</v>
      </c>
      <c r="BA138" s="289">
        <v>1421</v>
      </c>
      <c r="BB138" s="289">
        <v>0.428657616892911</v>
      </c>
      <c r="BC138" s="289">
        <v>0</v>
      </c>
      <c r="BD138" s="289">
        <v>0</v>
      </c>
      <c r="BE138" s="289">
        <v>3429</v>
      </c>
      <c r="BF138" s="289">
        <v>3315</v>
      </c>
      <c r="BG138" s="289">
        <v>-0.033245844269466314</v>
      </c>
      <c r="BH138" s="289">
        <v>0</v>
      </c>
      <c r="BI138" s="289">
        <v>0</v>
      </c>
      <c r="BJ138" s="289">
        <v>0</v>
      </c>
      <c r="BK138" s="289">
        <v>679954.7542611232</v>
      </c>
      <c r="BL138" s="289">
        <v>7376.6</v>
      </c>
      <c r="BM138" s="301">
        <v>882</v>
      </c>
    </row>
    <row r="139" spans="6:65" s="289" customFormat="1" ht="12.75">
      <c r="F139" s="289">
        <v>205</v>
      </c>
      <c r="G139" s="289" t="s">
        <v>182</v>
      </c>
      <c r="H139" s="289">
        <v>3039</v>
      </c>
      <c r="I139" s="289">
        <v>433</v>
      </c>
      <c r="J139" s="289">
        <v>2367</v>
      </c>
      <c r="K139" s="289">
        <v>1254</v>
      </c>
      <c r="L139" s="289">
        <v>27829</v>
      </c>
      <c r="M139" s="289">
        <v>3832</v>
      </c>
      <c r="N139" s="289">
        <v>2453</v>
      </c>
      <c r="O139" s="289">
        <v>820</v>
      </c>
      <c r="P139" s="289">
        <v>37973</v>
      </c>
      <c r="Q139" s="289">
        <v>1</v>
      </c>
      <c r="R139" s="289">
        <v>157</v>
      </c>
      <c r="S139" s="289">
        <v>1835.0899999999997</v>
      </c>
      <c r="T139" s="289">
        <v>20.69271806832363</v>
      </c>
      <c r="U139" s="289">
        <v>0</v>
      </c>
      <c r="V139" s="289">
        <v>0</v>
      </c>
      <c r="W139" s="289">
        <v>15385</v>
      </c>
      <c r="X139" s="289">
        <v>359</v>
      </c>
      <c r="Y139" s="289">
        <v>207</v>
      </c>
      <c r="Z139" s="289">
        <v>1.0121581037567648</v>
      </c>
      <c r="AA139" s="289">
        <v>68</v>
      </c>
      <c r="AB139" s="289">
        <v>68</v>
      </c>
      <c r="AC139" s="289">
        <v>1.0773160605773817</v>
      </c>
      <c r="AD139" s="289">
        <v>1968</v>
      </c>
      <c r="AE139" s="289">
        <v>385</v>
      </c>
      <c r="AF139" s="289">
        <v>83</v>
      </c>
      <c r="AG139" s="289">
        <v>0</v>
      </c>
      <c r="AH139" s="289">
        <v>2436</v>
      </c>
      <c r="AI139" s="289">
        <v>1.2577903477384034</v>
      </c>
      <c r="AJ139" s="289">
        <v>17659</v>
      </c>
      <c r="AK139" s="289">
        <v>2204</v>
      </c>
      <c r="AL139" s="289">
        <v>1.274485721783528</v>
      </c>
      <c r="AM139" s="289">
        <v>1.2194376326701044</v>
      </c>
      <c r="AN139" s="289">
        <v>0</v>
      </c>
      <c r="AO139" s="289">
        <v>0</v>
      </c>
      <c r="AP139" s="289">
        <f aca="true" t="shared" si="1" ref="AP139:AP202">MAX(AN139,AO139)</f>
        <v>0</v>
      </c>
      <c r="AQ139" s="289">
        <v>-536331.1401641965</v>
      </c>
      <c r="AR139" s="289">
        <v>6897110.634374995</v>
      </c>
      <c r="AS139" s="289">
        <v>1</v>
      </c>
      <c r="AT139" s="289">
        <v>37973</v>
      </c>
      <c r="AU139" s="289">
        <v>0</v>
      </c>
      <c r="AV139" s="289">
        <v>0</v>
      </c>
      <c r="AW139" s="289">
        <v>0</v>
      </c>
      <c r="AX139" s="289">
        <v>0.08561666666666666</v>
      </c>
      <c r="AY139" s="289">
        <v>1835.09</v>
      </c>
      <c r="AZ139" s="289">
        <v>20.692718068323625</v>
      </c>
      <c r="BA139" s="289">
        <v>33142</v>
      </c>
      <c r="BB139" s="289">
        <v>0.8727780264925078</v>
      </c>
      <c r="BC139" s="289">
        <v>0</v>
      </c>
      <c r="BD139" s="289">
        <v>0</v>
      </c>
      <c r="BE139" s="289">
        <v>38211</v>
      </c>
      <c r="BF139" s="289">
        <v>37973</v>
      </c>
      <c r="BG139" s="289">
        <v>-0.0062285729240271126</v>
      </c>
      <c r="BH139" s="289">
        <v>0</v>
      </c>
      <c r="BI139" s="289">
        <v>2</v>
      </c>
      <c r="BJ139" s="289">
        <v>5.2669001659073554E-05</v>
      </c>
      <c r="BK139" s="289">
        <v>7093304.2298947275</v>
      </c>
      <c r="BL139" s="289">
        <v>6444.21</v>
      </c>
      <c r="BM139" s="301">
        <v>13396</v>
      </c>
    </row>
    <row r="140" spans="6:65" s="289" customFormat="1" ht="12.75">
      <c r="F140" s="289">
        <v>208</v>
      </c>
      <c r="G140" s="289" t="s">
        <v>183</v>
      </c>
      <c r="H140" s="289">
        <v>1145</v>
      </c>
      <c r="I140" s="289">
        <v>156</v>
      </c>
      <c r="J140" s="289">
        <v>987</v>
      </c>
      <c r="K140" s="289">
        <v>462</v>
      </c>
      <c r="L140" s="289">
        <v>8929</v>
      </c>
      <c r="M140" s="289">
        <v>1362</v>
      </c>
      <c r="N140" s="289">
        <v>865</v>
      </c>
      <c r="O140" s="289">
        <v>324</v>
      </c>
      <c r="P140" s="289">
        <v>12625</v>
      </c>
      <c r="Q140" s="289">
        <v>1</v>
      </c>
      <c r="R140" s="289">
        <v>16</v>
      </c>
      <c r="S140" s="289">
        <v>922.1799999999998</v>
      </c>
      <c r="T140" s="289">
        <v>13.690385824893191</v>
      </c>
      <c r="U140" s="289">
        <v>0</v>
      </c>
      <c r="V140" s="289">
        <v>0</v>
      </c>
      <c r="W140" s="289">
        <v>5235</v>
      </c>
      <c r="X140" s="289">
        <v>789</v>
      </c>
      <c r="Y140" s="289">
        <v>84</v>
      </c>
      <c r="Z140" s="289">
        <v>0.8755802046832947</v>
      </c>
      <c r="AA140" s="289">
        <v>13</v>
      </c>
      <c r="AB140" s="289">
        <v>13</v>
      </c>
      <c r="AC140" s="289">
        <v>0.6194711659731671</v>
      </c>
      <c r="AD140" s="289">
        <v>677</v>
      </c>
      <c r="AE140" s="289">
        <v>87</v>
      </c>
      <c r="AF140" s="289">
        <v>30</v>
      </c>
      <c r="AG140" s="289">
        <v>1</v>
      </c>
      <c r="AH140" s="289">
        <v>795</v>
      </c>
      <c r="AI140" s="289">
        <v>1.2346436435436428</v>
      </c>
      <c r="AJ140" s="289">
        <v>5639</v>
      </c>
      <c r="AK140" s="289">
        <v>464</v>
      </c>
      <c r="AL140" s="289">
        <v>0.8402439163709624</v>
      </c>
      <c r="AM140" s="289">
        <v>0.9894281350519468</v>
      </c>
      <c r="AN140" s="289">
        <v>0</v>
      </c>
      <c r="AO140" s="289">
        <v>0</v>
      </c>
      <c r="AP140" s="289">
        <f t="shared" si="1"/>
        <v>0</v>
      </c>
      <c r="AQ140" s="289">
        <v>174079.73907664046</v>
      </c>
      <c r="AR140" s="289">
        <v>7428739.96025641</v>
      </c>
      <c r="AS140" s="289">
        <v>1</v>
      </c>
      <c r="AT140" s="289">
        <v>12625</v>
      </c>
      <c r="AU140" s="289">
        <v>0</v>
      </c>
      <c r="AV140" s="289">
        <v>0</v>
      </c>
      <c r="AW140" s="289">
        <v>0</v>
      </c>
      <c r="AX140" s="289">
        <v>0</v>
      </c>
      <c r="AY140" s="289">
        <v>922.16</v>
      </c>
      <c r="AZ140" s="289">
        <v>13.690682744859895</v>
      </c>
      <c r="BA140" s="289">
        <v>9235</v>
      </c>
      <c r="BB140" s="289">
        <v>0.7314851485148515</v>
      </c>
      <c r="BC140" s="289">
        <v>0</v>
      </c>
      <c r="BD140" s="289">
        <v>0</v>
      </c>
      <c r="BE140" s="289">
        <v>12540</v>
      </c>
      <c r="BF140" s="289">
        <v>12625</v>
      </c>
      <c r="BG140" s="289">
        <v>0.006778309409888357</v>
      </c>
      <c r="BH140" s="289">
        <v>0</v>
      </c>
      <c r="BI140" s="289">
        <v>1</v>
      </c>
      <c r="BJ140" s="289">
        <v>7.920792079207921E-05</v>
      </c>
      <c r="BK140" s="289">
        <v>2409447.1390258456</v>
      </c>
      <c r="BL140" s="289">
        <v>6691.18</v>
      </c>
      <c r="BM140" s="301">
        <v>4388</v>
      </c>
    </row>
    <row r="141" spans="6:65" s="289" customFormat="1" ht="12.75">
      <c r="F141" s="289">
        <v>211</v>
      </c>
      <c r="G141" s="289" t="s">
        <v>184</v>
      </c>
      <c r="H141" s="289">
        <v>2951</v>
      </c>
      <c r="I141" s="289">
        <v>453</v>
      </c>
      <c r="J141" s="289">
        <v>2459</v>
      </c>
      <c r="K141" s="289">
        <v>1081</v>
      </c>
      <c r="L141" s="289">
        <v>22036</v>
      </c>
      <c r="M141" s="289">
        <v>3020</v>
      </c>
      <c r="N141" s="289">
        <v>1589</v>
      </c>
      <c r="O141" s="289">
        <v>530</v>
      </c>
      <c r="P141" s="289">
        <v>30126</v>
      </c>
      <c r="Q141" s="289">
        <v>11</v>
      </c>
      <c r="R141" s="289">
        <v>56</v>
      </c>
      <c r="S141" s="289">
        <v>658.01</v>
      </c>
      <c r="T141" s="289">
        <v>45.78349873102233</v>
      </c>
      <c r="U141" s="289">
        <v>0</v>
      </c>
      <c r="V141" s="289">
        <v>0</v>
      </c>
      <c r="W141" s="289">
        <v>13534</v>
      </c>
      <c r="X141" s="289">
        <v>390</v>
      </c>
      <c r="Y141" s="289">
        <v>203</v>
      </c>
      <c r="Z141" s="289">
        <v>1.0047745452569183</v>
      </c>
      <c r="AA141" s="289">
        <v>28</v>
      </c>
      <c r="AB141" s="289">
        <v>28</v>
      </c>
      <c r="AC141" s="289">
        <v>0.5591466026573381</v>
      </c>
      <c r="AD141" s="289">
        <v>1197</v>
      </c>
      <c r="AE141" s="289">
        <v>262</v>
      </c>
      <c r="AF141" s="289">
        <v>63</v>
      </c>
      <c r="AG141" s="289">
        <v>17</v>
      </c>
      <c r="AH141" s="289">
        <v>1539</v>
      </c>
      <c r="AI141" s="289">
        <v>1.0016200997152644</v>
      </c>
      <c r="AJ141" s="289">
        <v>14559</v>
      </c>
      <c r="AK141" s="289">
        <v>1165</v>
      </c>
      <c r="AL141" s="289">
        <v>0.8171162926748228</v>
      </c>
      <c r="AM141" s="289">
        <v>0.8115213366598739</v>
      </c>
      <c r="AN141" s="289">
        <v>0</v>
      </c>
      <c r="AO141" s="289">
        <v>0</v>
      </c>
      <c r="AP141" s="289">
        <f t="shared" si="1"/>
        <v>0</v>
      </c>
      <c r="AQ141" s="289">
        <v>-235774.60303405012</v>
      </c>
      <c r="AR141" s="289">
        <v>-2253186.810478754</v>
      </c>
      <c r="AS141" s="289">
        <v>1</v>
      </c>
      <c r="AT141" s="289">
        <v>30126</v>
      </c>
      <c r="AU141" s="289">
        <v>0</v>
      </c>
      <c r="AV141" s="289">
        <v>0</v>
      </c>
      <c r="AW141" s="289">
        <v>0</v>
      </c>
      <c r="AX141" s="289">
        <v>0</v>
      </c>
      <c r="AY141" s="289">
        <v>658.02</v>
      </c>
      <c r="AZ141" s="289">
        <v>45.782802954317496</v>
      </c>
      <c r="BA141" s="289">
        <v>25166</v>
      </c>
      <c r="BB141" s="289">
        <v>0.8353581623846511</v>
      </c>
      <c r="BC141" s="289">
        <v>0</v>
      </c>
      <c r="BD141" s="289">
        <v>0</v>
      </c>
      <c r="BE141" s="289">
        <v>29522</v>
      </c>
      <c r="BF141" s="289">
        <v>30126</v>
      </c>
      <c r="BG141" s="289">
        <v>0.020459318474358106</v>
      </c>
      <c r="BH141" s="289">
        <v>0</v>
      </c>
      <c r="BI141" s="289">
        <v>1</v>
      </c>
      <c r="BJ141" s="289">
        <v>3.3193918874062273E-05</v>
      </c>
      <c r="BK141" s="289">
        <v>4334966.235002112</v>
      </c>
      <c r="BL141" s="289">
        <v>5951.93</v>
      </c>
      <c r="BM141" s="301">
        <v>10040</v>
      </c>
    </row>
    <row r="142" spans="6:65" s="289" customFormat="1" ht="12.75">
      <c r="F142" s="289">
        <v>213</v>
      </c>
      <c r="G142" s="289" t="s">
        <v>185</v>
      </c>
      <c r="H142" s="289">
        <v>322</v>
      </c>
      <c r="I142" s="289">
        <v>44</v>
      </c>
      <c r="J142" s="289">
        <v>283</v>
      </c>
      <c r="K142" s="289">
        <v>159</v>
      </c>
      <c r="L142" s="289">
        <v>3754</v>
      </c>
      <c r="M142" s="289">
        <v>910</v>
      </c>
      <c r="N142" s="289">
        <v>629</v>
      </c>
      <c r="O142" s="289">
        <v>224</v>
      </c>
      <c r="P142" s="289">
        <v>5839</v>
      </c>
      <c r="Q142" s="289">
        <v>0</v>
      </c>
      <c r="R142" s="289">
        <v>3</v>
      </c>
      <c r="S142" s="289">
        <v>1068.8400000000001</v>
      </c>
      <c r="T142" s="289">
        <v>5.4629317765053695</v>
      </c>
      <c r="U142" s="289">
        <v>0</v>
      </c>
      <c r="V142" s="289">
        <v>0</v>
      </c>
      <c r="W142" s="289">
        <v>2111</v>
      </c>
      <c r="X142" s="289">
        <v>325</v>
      </c>
      <c r="Y142" s="289">
        <v>53</v>
      </c>
      <c r="Z142" s="289">
        <v>0.8626552874214523</v>
      </c>
      <c r="AA142" s="289">
        <v>12</v>
      </c>
      <c r="AB142" s="289">
        <v>12</v>
      </c>
      <c r="AC142" s="289">
        <v>1.2363798021912973</v>
      </c>
      <c r="AD142" s="289">
        <v>421</v>
      </c>
      <c r="AE142" s="289">
        <v>28</v>
      </c>
      <c r="AF142" s="289">
        <v>2</v>
      </c>
      <c r="AG142" s="289">
        <v>2</v>
      </c>
      <c r="AH142" s="289">
        <v>453</v>
      </c>
      <c r="AI142" s="289">
        <v>1.5211274714011587</v>
      </c>
      <c r="AJ142" s="289">
        <v>2415</v>
      </c>
      <c r="AK142" s="289">
        <v>246</v>
      </c>
      <c r="AL142" s="289">
        <v>1.0401775177824488</v>
      </c>
      <c r="AM142" s="289">
        <v>1.499673114872598</v>
      </c>
      <c r="AN142" s="289">
        <v>0.05</v>
      </c>
      <c r="AO142" s="289">
        <v>0</v>
      </c>
      <c r="AP142" s="289">
        <f t="shared" si="1"/>
        <v>0.05</v>
      </c>
      <c r="AQ142" s="289">
        <v>104150.07537831739</v>
      </c>
      <c r="AR142" s="289">
        <v>4175762.665256409</v>
      </c>
      <c r="AS142" s="289">
        <v>1</v>
      </c>
      <c r="AT142" s="289">
        <v>5839</v>
      </c>
      <c r="AU142" s="289">
        <v>0</v>
      </c>
      <c r="AV142" s="289">
        <v>0</v>
      </c>
      <c r="AW142" s="289">
        <v>0</v>
      </c>
      <c r="AX142" s="289">
        <v>0.5264666666666666</v>
      </c>
      <c r="AY142" s="289">
        <v>1068.96</v>
      </c>
      <c r="AZ142" s="289">
        <v>5.462318515192337</v>
      </c>
      <c r="BA142" s="289">
        <v>2885</v>
      </c>
      <c r="BB142" s="289">
        <v>0.49409145401609866</v>
      </c>
      <c r="BC142" s="289">
        <v>0</v>
      </c>
      <c r="BD142" s="289">
        <v>0</v>
      </c>
      <c r="BE142" s="289">
        <v>6024</v>
      </c>
      <c r="BF142" s="289">
        <v>5839</v>
      </c>
      <c r="BG142" s="289">
        <v>-0.030710491367861886</v>
      </c>
      <c r="BH142" s="289">
        <v>0</v>
      </c>
      <c r="BI142" s="289">
        <v>0</v>
      </c>
      <c r="BJ142" s="289">
        <v>0</v>
      </c>
      <c r="BK142" s="289">
        <v>1474595.604746439</v>
      </c>
      <c r="BL142" s="289">
        <v>7312.05</v>
      </c>
      <c r="BM142" s="301">
        <v>1430</v>
      </c>
    </row>
    <row r="143" spans="6:65" s="289" customFormat="1" ht="12.75">
      <c r="F143" s="289">
        <v>214</v>
      </c>
      <c r="G143" s="289" t="s">
        <v>186</v>
      </c>
      <c r="H143" s="289">
        <v>817</v>
      </c>
      <c r="I143" s="289">
        <v>128</v>
      </c>
      <c r="J143" s="289">
        <v>751</v>
      </c>
      <c r="K143" s="289">
        <v>390</v>
      </c>
      <c r="L143" s="289">
        <v>8611</v>
      </c>
      <c r="M143" s="289">
        <v>1369</v>
      </c>
      <c r="N143" s="289">
        <v>852</v>
      </c>
      <c r="O143" s="289">
        <v>308</v>
      </c>
      <c r="P143" s="289">
        <v>11957</v>
      </c>
      <c r="Q143" s="289">
        <v>1</v>
      </c>
      <c r="R143" s="289">
        <v>18</v>
      </c>
      <c r="S143" s="289">
        <v>689.42</v>
      </c>
      <c r="T143" s="289">
        <v>17.343564155376985</v>
      </c>
      <c r="U143" s="289">
        <v>0</v>
      </c>
      <c r="V143" s="289">
        <v>0</v>
      </c>
      <c r="W143" s="289">
        <v>4993</v>
      </c>
      <c r="X143" s="289">
        <v>304</v>
      </c>
      <c r="Y143" s="289">
        <v>83</v>
      </c>
      <c r="Z143" s="289">
        <v>0.9693694456607669</v>
      </c>
      <c r="AA143" s="289">
        <v>21</v>
      </c>
      <c r="AB143" s="289">
        <v>21</v>
      </c>
      <c r="AC143" s="289">
        <v>1.0565892710329703</v>
      </c>
      <c r="AD143" s="289">
        <v>658</v>
      </c>
      <c r="AE143" s="289">
        <v>74</v>
      </c>
      <c r="AF143" s="289">
        <v>19</v>
      </c>
      <c r="AG143" s="289">
        <v>0</v>
      </c>
      <c r="AH143" s="289">
        <v>751</v>
      </c>
      <c r="AI143" s="289">
        <v>1.2314693033478568</v>
      </c>
      <c r="AJ143" s="289">
        <v>5690</v>
      </c>
      <c r="AK143" s="289">
        <v>527</v>
      </c>
      <c r="AL143" s="289">
        <v>0.9457750209105344</v>
      </c>
      <c r="AM143" s="289">
        <v>1.083625855399126</v>
      </c>
      <c r="AN143" s="289">
        <v>0</v>
      </c>
      <c r="AO143" s="289">
        <v>0</v>
      </c>
      <c r="AP143" s="289">
        <f t="shared" si="1"/>
        <v>0</v>
      </c>
      <c r="AQ143" s="289">
        <v>366490.2791329548</v>
      </c>
      <c r="AR143" s="289">
        <v>5212695.935365855</v>
      </c>
      <c r="AS143" s="289">
        <v>1</v>
      </c>
      <c r="AT143" s="289">
        <v>11957</v>
      </c>
      <c r="AU143" s="289">
        <v>0</v>
      </c>
      <c r="AV143" s="289">
        <v>0</v>
      </c>
      <c r="AW143" s="289">
        <v>0</v>
      </c>
      <c r="AX143" s="289">
        <v>0</v>
      </c>
      <c r="AY143" s="289">
        <v>689.18</v>
      </c>
      <c r="AZ143" s="289">
        <v>17.349603877071303</v>
      </c>
      <c r="BA143" s="289">
        <v>8416</v>
      </c>
      <c r="BB143" s="289">
        <v>0.7038554821443506</v>
      </c>
      <c r="BC143" s="289">
        <v>0</v>
      </c>
      <c r="BD143" s="289">
        <v>0</v>
      </c>
      <c r="BE143" s="289">
        <v>12224</v>
      </c>
      <c r="BF143" s="289">
        <v>11957</v>
      </c>
      <c r="BG143" s="289">
        <v>-0.021842277486910994</v>
      </c>
      <c r="BH143" s="289">
        <v>0</v>
      </c>
      <c r="BI143" s="289">
        <v>0</v>
      </c>
      <c r="BJ143" s="289">
        <v>0</v>
      </c>
      <c r="BK143" s="289">
        <v>2775143.2230061926</v>
      </c>
      <c r="BL143" s="289">
        <v>6532.76</v>
      </c>
      <c r="BM143" s="301">
        <v>3796</v>
      </c>
    </row>
    <row r="144" spans="6:65" s="289" customFormat="1" ht="12.75">
      <c r="F144" s="289">
        <v>216</v>
      </c>
      <c r="G144" s="289" t="s">
        <v>187</v>
      </c>
      <c r="H144" s="289">
        <v>92</v>
      </c>
      <c r="I144" s="289">
        <v>17</v>
      </c>
      <c r="J144" s="289">
        <v>107</v>
      </c>
      <c r="K144" s="289">
        <v>51</v>
      </c>
      <c r="L144" s="289">
        <v>1007</v>
      </c>
      <c r="M144" s="289">
        <v>207</v>
      </c>
      <c r="N144" s="289">
        <v>181</v>
      </c>
      <c r="O144" s="289">
        <v>66</v>
      </c>
      <c r="P144" s="289">
        <v>1553</v>
      </c>
      <c r="Q144" s="289">
        <v>0</v>
      </c>
      <c r="R144" s="289">
        <v>0</v>
      </c>
      <c r="S144" s="289">
        <v>444.72</v>
      </c>
      <c r="T144" s="289">
        <v>3.4920849073574383</v>
      </c>
      <c r="U144" s="289">
        <v>0</v>
      </c>
      <c r="V144" s="289">
        <v>0</v>
      </c>
      <c r="W144" s="289">
        <v>526</v>
      </c>
      <c r="X144" s="289">
        <v>88</v>
      </c>
      <c r="Y144" s="289">
        <v>8</v>
      </c>
      <c r="Z144" s="289">
        <v>0.8590326496515579</v>
      </c>
      <c r="AA144" s="289">
        <v>2</v>
      </c>
      <c r="AB144" s="289">
        <v>2</v>
      </c>
      <c r="AC144" s="289">
        <v>0.7747608569430119</v>
      </c>
      <c r="AD144" s="289">
        <v>130</v>
      </c>
      <c r="AE144" s="289">
        <v>9</v>
      </c>
      <c r="AF144" s="289">
        <v>6</v>
      </c>
      <c r="AG144" s="289">
        <v>1</v>
      </c>
      <c r="AH144" s="289">
        <v>146</v>
      </c>
      <c r="AI144" s="289">
        <v>1.8432629043902202</v>
      </c>
      <c r="AJ144" s="289">
        <v>609</v>
      </c>
      <c r="AK144" s="289">
        <v>83</v>
      </c>
      <c r="AL144" s="289">
        <v>1.3917149435426792</v>
      </c>
      <c r="AM144" s="289">
        <v>1.8508627146477479</v>
      </c>
      <c r="AN144" s="289">
        <v>0.05</v>
      </c>
      <c r="AO144" s="289">
        <v>0</v>
      </c>
      <c r="AP144" s="289">
        <f t="shared" si="1"/>
        <v>0.05</v>
      </c>
      <c r="AQ144" s="289">
        <v>53822.27823724039</v>
      </c>
      <c r="AR144" s="289">
        <v>1467549.0814102567</v>
      </c>
      <c r="AS144" s="289">
        <v>1</v>
      </c>
      <c r="AT144" s="289">
        <v>1553</v>
      </c>
      <c r="AU144" s="289">
        <v>0</v>
      </c>
      <c r="AV144" s="289">
        <v>0</v>
      </c>
      <c r="AW144" s="289">
        <v>0</v>
      </c>
      <c r="AX144" s="289">
        <v>0.8616333333333334</v>
      </c>
      <c r="AY144" s="289">
        <v>444.75</v>
      </c>
      <c r="AZ144" s="289">
        <v>3.491849353569421</v>
      </c>
      <c r="BA144" s="289">
        <v>559</v>
      </c>
      <c r="BB144" s="289">
        <v>0.35994848679974245</v>
      </c>
      <c r="BC144" s="289">
        <v>0</v>
      </c>
      <c r="BD144" s="289">
        <v>0</v>
      </c>
      <c r="BE144" s="289">
        <v>1587</v>
      </c>
      <c r="BF144" s="289">
        <v>1553</v>
      </c>
      <c r="BG144" s="289">
        <v>-0.02142407057340895</v>
      </c>
      <c r="BH144" s="289">
        <v>0</v>
      </c>
      <c r="BI144" s="289">
        <v>0</v>
      </c>
      <c r="BJ144" s="289">
        <v>0</v>
      </c>
      <c r="BK144" s="289">
        <v>367172.40559851617</v>
      </c>
      <c r="BL144" s="289">
        <v>7767.94</v>
      </c>
      <c r="BM144" s="301">
        <v>380</v>
      </c>
    </row>
    <row r="145" spans="6:65" s="289" customFormat="1" ht="12.75">
      <c r="F145" s="289">
        <v>217</v>
      </c>
      <c r="G145" s="289" t="s">
        <v>188</v>
      </c>
      <c r="H145" s="289">
        <v>481</v>
      </c>
      <c r="I145" s="289">
        <v>61</v>
      </c>
      <c r="J145" s="289">
        <v>459</v>
      </c>
      <c r="K145" s="289">
        <v>225</v>
      </c>
      <c r="L145" s="289">
        <v>4171</v>
      </c>
      <c r="M145" s="289">
        <v>579</v>
      </c>
      <c r="N145" s="289">
        <v>353</v>
      </c>
      <c r="O145" s="289">
        <v>152</v>
      </c>
      <c r="P145" s="289">
        <v>5736</v>
      </c>
      <c r="Q145" s="289">
        <v>0</v>
      </c>
      <c r="R145" s="289">
        <v>3</v>
      </c>
      <c r="S145" s="289">
        <v>468.23999999999995</v>
      </c>
      <c r="T145" s="289">
        <v>12.250128139415686</v>
      </c>
      <c r="U145" s="289">
        <v>0</v>
      </c>
      <c r="V145" s="289">
        <v>0</v>
      </c>
      <c r="W145" s="289">
        <v>2368</v>
      </c>
      <c r="X145" s="289">
        <v>269</v>
      </c>
      <c r="Y145" s="289">
        <v>25</v>
      </c>
      <c r="Z145" s="289">
        <v>0.9203521117697951</v>
      </c>
      <c r="AA145" s="289">
        <v>3</v>
      </c>
      <c r="AB145" s="289">
        <v>2</v>
      </c>
      <c r="AC145" s="289">
        <v>0.20976353047986357</v>
      </c>
      <c r="AD145" s="289">
        <v>297</v>
      </c>
      <c r="AE145" s="289">
        <v>45</v>
      </c>
      <c r="AF145" s="289">
        <v>13</v>
      </c>
      <c r="AG145" s="289">
        <v>0</v>
      </c>
      <c r="AH145" s="289">
        <v>355</v>
      </c>
      <c r="AI145" s="289">
        <v>1.2134589615859153</v>
      </c>
      <c r="AJ145" s="289">
        <v>2579</v>
      </c>
      <c r="AK145" s="289">
        <v>206</v>
      </c>
      <c r="AL145" s="289">
        <v>0.8156528706241949</v>
      </c>
      <c r="AM145" s="289">
        <v>1.1979964047718656</v>
      </c>
      <c r="AN145" s="289">
        <v>0</v>
      </c>
      <c r="AO145" s="289">
        <v>0</v>
      </c>
      <c r="AP145" s="289">
        <f t="shared" si="1"/>
        <v>0</v>
      </c>
      <c r="AQ145" s="289">
        <v>-29314.746329082176</v>
      </c>
      <c r="AR145" s="289">
        <v>2756069.400641027</v>
      </c>
      <c r="AS145" s="289">
        <v>1</v>
      </c>
      <c r="AT145" s="289">
        <v>5736</v>
      </c>
      <c r="AU145" s="289">
        <v>0</v>
      </c>
      <c r="AV145" s="289">
        <v>0</v>
      </c>
      <c r="AW145" s="289">
        <v>0</v>
      </c>
      <c r="AX145" s="289">
        <v>0</v>
      </c>
      <c r="AY145" s="289">
        <v>468.24</v>
      </c>
      <c r="AZ145" s="289">
        <v>12.250128139415684</v>
      </c>
      <c r="BA145" s="289">
        <v>4119</v>
      </c>
      <c r="BB145" s="289">
        <v>0.7180962343096234</v>
      </c>
      <c r="BC145" s="289">
        <v>0</v>
      </c>
      <c r="BD145" s="289">
        <v>0</v>
      </c>
      <c r="BE145" s="289">
        <v>5793</v>
      </c>
      <c r="BF145" s="289">
        <v>5736</v>
      </c>
      <c r="BG145" s="289">
        <v>-0.00983946141895391</v>
      </c>
      <c r="BH145" s="289">
        <v>0</v>
      </c>
      <c r="BI145" s="289">
        <v>0</v>
      </c>
      <c r="BJ145" s="289">
        <v>0</v>
      </c>
      <c r="BK145" s="289">
        <v>1053507.9340226285</v>
      </c>
      <c r="BL145" s="289">
        <v>6759.12</v>
      </c>
      <c r="BM145" s="301">
        <v>2064</v>
      </c>
    </row>
    <row r="146" spans="6:65" s="289" customFormat="1" ht="12.75">
      <c r="F146" s="289">
        <v>218</v>
      </c>
      <c r="G146" s="289" t="s">
        <v>189</v>
      </c>
      <c r="H146" s="289">
        <v>73</v>
      </c>
      <c r="I146" s="289">
        <v>11</v>
      </c>
      <c r="J146" s="289">
        <v>76</v>
      </c>
      <c r="K146" s="289">
        <v>47</v>
      </c>
      <c r="L146" s="289">
        <v>1023</v>
      </c>
      <c r="M146" s="289">
        <v>182</v>
      </c>
      <c r="N146" s="289">
        <v>157</v>
      </c>
      <c r="O146" s="289">
        <v>79</v>
      </c>
      <c r="P146" s="289">
        <v>1514</v>
      </c>
      <c r="Q146" s="289">
        <v>2</v>
      </c>
      <c r="R146" s="289">
        <v>4</v>
      </c>
      <c r="S146" s="289">
        <v>185.76</v>
      </c>
      <c r="T146" s="289">
        <v>8.150301464254953</v>
      </c>
      <c r="U146" s="289">
        <v>0</v>
      </c>
      <c r="V146" s="289">
        <v>0</v>
      </c>
      <c r="W146" s="289">
        <v>627</v>
      </c>
      <c r="X146" s="289">
        <v>136</v>
      </c>
      <c r="Y146" s="289">
        <v>7</v>
      </c>
      <c r="Z146" s="289">
        <v>0.8111567378023523</v>
      </c>
      <c r="AA146" s="289">
        <v>2</v>
      </c>
      <c r="AB146" s="289">
        <v>2</v>
      </c>
      <c r="AC146" s="289">
        <v>0.794718369109972</v>
      </c>
      <c r="AD146" s="289">
        <v>102</v>
      </c>
      <c r="AE146" s="289">
        <v>6</v>
      </c>
      <c r="AF146" s="289">
        <v>3</v>
      </c>
      <c r="AG146" s="289">
        <v>2</v>
      </c>
      <c r="AH146" s="289">
        <v>113</v>
      </c>
      <c r="AI146" s="289">
        <v>1.4633845018572562</v>
      </c>
      <c r="AJ146" s="289">
        <v>667</v>
      </c>
      <c r="AK146" s="289">
        <v>52</v>
      </c>
      <c r="AL146" s="289">
        <v>0.7960988571758019</v>
      </c>
      <c r="AM146" s="289">
        <v>1.0787503143033668</v>
      </c>
      <c r="AN146" s="289">
        <v>0</v>
      </c>
      <c r="AO146" s="289">
        <v>0</v>
      </c>
      <c r="AP146" s="289">
        <f t="shared" si="1"/>
        <v>0</v>
      </c>
      <c r="AQ146" s="289">
        <v>87483.34700512048</v>
      </c>
      <c r="AR146" s="289">
        <v>1331709.8618292683</v>
      </c>
      <c r="AS146" s="289">
        <v>1</v>
      </c>
      <c r="AT146" s="289">
        <v>1514</v>
      </c>
      <c r="AU146" s="289">
        <v>0</v>
      </c>
      <c r="AV146" s="289">
        <v>0</v>
      </c>
      <c r="AW146" s="289">
        <v>0</v>
      </c>
      <c r="AX146" s="289">
        <v>0.020533333333333334</v>
      </c>
      <c r="AY146" s="289">
        <v>185.77</v>
      </c>
      <c r="AZ146" s="289">
        <v>8.149862733487646</v>
      </c>
      <c r="BA146" s="289">
        <v>750</v>
      </c>
      <c r="BB146" s="289">
        <v>0.4953764861294584</v>
      </c>
      <c r="BC146" s="289">
        <v>0</v>
      </c>
      <c r="BD146" s="289">
        <v>0</v>
      </c>
      <c r="BE146" s="289">
        <v>1529</v>
      </c>
      <c r="BF146" s="289">
        <v>1514</v>
      </c>
      <c r="BG146" s="289">
        <v>-0.009810333551340745</v>
      </c>
      <c r="BH146" s="289">
        <v>0</v>
      </c>
      <c r="BI146" s="289">
        <v>0</v>
      </c>
      <c r="BJ146" s="289">
        <v>0</v>
      </c>
      <c r="BK146" s="289">
        <v>345422.71243632067</v>
      </c>
      <c r="BL146" s="289">
        <v>7079.13</v>
      </c>
      <c r="BM146" s="301">
        <v>419</v>
      </c>
    </row>
    <row r="147" spans="6:65" s="289" customFormat="1" ht="12.75">
      <c r="F147" s="289">
        <v>224</v>
      </c>
      <c r="G147" s="289" t="s">
        <v>190</v>
      </c>
      <c r="H147" s="289">
        <v>727</v>
      </c>
      <c r="I147" s="289">
        <v>112</v>
      </c>
      <c r="J147" s="289">
        <v>651</v>
      </c>
      <c r="K147" s="289">
        <v>297</v>
      </c>
      <c r="L147" s="289">
        <v>6553</v>
      </c>
      <c r="M147" s="289">
        <v>983</v>
      </c>
      <c r="N147" s="289">
        <v>589</v>
      </c>
      <c r="O147" s="289">
        <v>267</v>
      </c>
      <c r="P147" s="289">
        <v>9119</v>
      </c>
      <c r="Q147" s="289">
        <v>12</v>
      </c>
      <c r="R147" s="289">
        <v>51</v>
      </c>
      <c r="S147" s="289">
        <v>242.36</v>
      </c>
      <c r="T147" s="289">
        <v>37.625845849150025</v>
      </c>
      <c r="U147" s="289">
        <v>0</v>
      </c>
      <c r="V147" s="289">
        <v>0</v>
      </c>
      <c r="W147" s="289">
        <v>4036</v>
      </c>
      <c r="X147" s="289">
        <v>78</v>
      </c>
      <c r="Y147" s="289">
        <v>56</v>
      </c>
      <c r="Z147" s="289">
        <v>1.0159283194520476</v>
      </c>
      <c r="AA147" s="289">
        <v>16</v>
      </c>
      <c r="AB147" s="289">
        <v>16</v>
      </c>
      <c r="AC147" s="289">
        <v>1.055557504842634</v>
      </c>
      <c r="AD147" s="289">
        <v>412</v>
      </c>
      <c r="AE147" s="289">
        <v>45</v>
      </c>
      <c r="AF147" s="289">
        <v>10</v>
      </c>
      <c r="AG147" s="289">
        <v>2</v>
      </c>
      <c r="AH147" s="289">
        <v>469</v>
      </c>
      <c r="AI147" s="289">
        <v>1.0083969187117576</v>
      </c>
      <c r="AJ147" s="289">
        <v>4423</v>
      </c>
      <c r="AK147" s="289">
        <v>365</v>
      </c>
      <c r="AL147" s="289">
        <v>0.8426852957170335</v>
      </c>
      <c r="AM147" s="289">
        <v>1.0338719133335577</v>
      </c>
      <c r="AN147" s="289">
        <v>0</v>
      </c>
      <c r="AO147" s="289">
        <v>0</v>
      </c>
      <c r="AP147" s="289">
        <f t="shared" si="1"/>
        <v>0</v>
      </c>
      <c r="AQ147" s="289">
        <v>-10497.994075188413</v>
      </c>
      <c r="AR147" s="289">
        <v>1173792.9579012354</v>
      </c>
      <c r="AS147" s="289">
        <v>1</v>
      </c>
      <c r="AT147" s="289">
        <v>9119</v>
      </c>
      <c r="AU147" s="289">
        <v>0</v>
      </c>
      <c r="AV147" s="289">
        <v>0</v>
      </c>
      <c r="AW147" s="289">
        <v>0</v>
      </c>
      <c r="AX147" s="289">
        <v>0</v>
      </c>
      <c r="AY147" s="289">
        <v>242.36</v>
      </c>
      <c r="AZ147" s="289">
        <v>37.625845849150025</v>
      </c>
      <c r="BA147" s="289">
        <v>7639</v>
      </c>
      <c r="BB147" s="289">
        <v>0.8377015023577147</v>
      </c>
      <c r="BC147" s="289">
        <v>0</v>
      </c>
      <c r="BD147" s="289">
        <v>0</v>
      </c>
      <c r="BE147" s="289">
        <v>9109</v>
      </c>
      <c r="BF147" s="289">
        <v>9119</v>
      </c>
      <c r="BG147" s="289">
        <v>0.0010978153474585574</v>
      </c>
      <c r="BH147" s="289">
        <v>0</v>
      </c>
      <c r="BI147" s="289">
        <v>0</v>
      </c>
      <c r="BJ147" s="289">
        <v>0</v>
      </c>
      <c r="BK147" s="289">
        <v>1283533.095811643</v>
      </c>
      <c r="BL147" s="289">
        <v>6050.91</v>
      </c>
      <c r="BM147" s="301">
        <v>2818</v>
      </c>
    </row>
    <row r="148" spans="6:65" s="289" customFormat="1" ht="12.75">
      <c r="F148" s="289">
        <v>226</v>
      </c>
      <c r="G148" s="289" t="s">
        <v>191</v>
      </c>
      <c r="H148" s="289">
        <v>264</v>
      </c>
      <c r="I148" s="289">
        <v>45</v>
      </c>
      <c r="J148" s="289">
        <v>279</v>
      </c>
      <c r="K148" s="289">
        <v>155</v>
      </c>
      <c r="L148" s="289">
        <v>2939</v>
      </c>
      <c r="M148" s="289">
        <v>590</v>
      </c>
      <c r="N148" s="289">
        <v>424</v>
      </c>
      <c r="O148" s="289">
        <v>159</v>
      </c>
      <c r="P148" s="289">
        <v>4376</v>
      </c>
      <c r="Q148" s="289">
        <v>0</v>
      </c>
      <c r="R148" s="289">
        <v>4</v>
      </c>
      <c r="S148" s="289">
        <v>887.26</v>
      </c>
      <c r="T148" s="289">
        <v>4.932037959560895</v>
      </c>
      <c r="U148" s="289">
        <v>0</v>
      </c>
      <c r="V148" s="289">
        <v>0</v>
      </c>
      <c r="W148" s="289">
        <v>1604</v>
      </c>
      <c r="X148" s="289">
        <v>255</v>
      </c>
      <c r="Y148" s="289">
        <v>28</v>
      </c>
      <c r="Z148" s="289">
        <v>0.8654169814994294</v>
      </c>
      <c r="AA148" s="289">
        <v>11</v>
      </c>
      <c r="AB148" s="289">
        <v>11</v>
      </c>
      <c r="AC148" s="289">
        <v>1.5122531671797845</v>
      </c>
      <c r="AD148" s="289">
        <v>287</v>
      </c>
      <c r="AE148" s="289">
        <v>22</v>
      </c>
      <c r="AF148" s="289">
        <v>15</v>
      </c>
      <c r="AG148" s="289">
        <v>0</v>
      </c>
      <c r="AH148" s="289">
        <v>324</v>
      </c>
      <c r="AI148" s="289">
        <v>1.4516889793140604</v>
      </c>
      <c r="AJ148" s="289">
        <v>1882</v>
      </c>
      <c r="AK148" s="289">
        <v>260</v>
      </c>
      <c r="AL148" s="289">
        <v>1.4107277835713599</v>
      </c>
      <c r="AM148" s="289">
        <v>1.3620322434089622</v>
      </c>
      <c r="AN148" s="289">
        <v>0.05</v>
      </c>
      <c r="AO148" s="289">
        <v>0</v>
      </c>
      <c r="AP148" s="289">
        <f t="shared" si="1"/>
        <v>0.05</v>
      </c>
      <c r="AQ148" s="289">
        <v>29320.945028565824</v>
      </c>
      <c r="AR148" s="289">
        <v>3532278.219054055</v>
      </c>
      <c r="AS148" s="289">
        <v>1</v>
      </c>
      <c r="AT148" s="289">
        <v>4376</v>
      </c>
      <c r="AU148" s="289">
        <v>0</v>
      </c>
      <c r="AV148" s="289">
        <v>0</v>
      </c>
      <c r="AW148" s="289">
        <v>0</v>
      </c>
      <c r="AX148" s="289">
        <v>0.9006666666666667</v>
      </c>
      <c r="AY148" s="289">
        <v>887.26</v>
      </c>
      <c r="AZ148" s="289">
        <v>4.932037959560895</v>
      </c>
      <c r="BA148" s="289">
        <v>2170</v>
      </c>
      <c r="BB148" s="289">
        <v>0.49588665447897623</v>
      </c>
      <c r="BC148" s="289">
        <v>0</v>
      </c>
      <c r="BD148" s="289">
        <v>0</v>
      </c>
      <c r="BE148" s="289">
        <v>4564</v>
      </c>
      <c r="BF148" s="289">
        <v>4376</v>
      </c>
      <c r="BG148" s="289">
        <v>-0.04119193689745837</v>
      </c>
      <c r="BH148" s="289">
        <v>0</v>
      </c>
      <c r="BI148" s="289">
        <v>0</v>
      </c>
      <c r="BJ148" s="289">
        <v>0</v>
      </c>
      <c r="BK148" s="289">
        <v>1007517.4653852549</v>
      </c>
      <c r="BL148" s="289">
        <v>7385.77</v>
      </c>
      <c r="BM148" s="301">
        <v>1227</v>
      </c>
    </row>
    <row r="149" spans="6:65" s="289" customFormat="1" ht="12.75">
      <c r="F149" s="289">
        <v>230</v>
      </c>
      <c r="G149" s="289" t="s">
        <v>192</v>
      </c>
      <c r="H149" s="289">
        <v>119</v>
      </c>
      <c r="I149" s="289">
        <v>20</v>
      </c>
      <c r="J149" s="289">
        <v>150</v>
      </c>
      <c r="K149" s="289">
        <v>88</v>
      </c>
      <c r="L149" s="289">
        <v>1721</v>
      </c>
      <c r="M149" s="289">
        <v>338</v>
      </c>
      <c r="N149" s="289">
        <v>248</v>
      </c>
      <c r="O149" s="289">
        <v>119</v>
      </c>
      <c r="P149" s="289">
        <v>2545</v>
      </c>
      <c r="Q149" s="289">
        <v>0</v>
      </c>
      <c r="R149" s="289">
        <v>7</v>
      </c>
      <c r="S149" s="289">
        <v>502</v>
      </c>
      <c r="T149" s="289">
        <v>5.069721115537849</v>
      </c>
      <c r="U149" s="289">
        <v>0</v>
      </c>
      <c r="V149" s="289">
        <v>0</v>
      </c>
      <c r="W149" s="289">
        <v>996</v>
      </c>
      <c r="X149" s="289">
        <v>243</v>
      </c>
      <c r="Y149" s="289">
        <v>13</v>
      </c>
      <c r="Z149" s="289">
        <v>0.7807272544839181</v>
      </c>
      <c r="AA149" s="289">
        <v>0</v>
      </c>
      <c r="AB149" s="289">
        <v>2</v>
      </c>
      <c r="AC149" s="289">
        <v>0.47277155631925244</v>
      </c>
      <c r="AD149" s="289">
        <v>185</v>
      </c>
      <c r="AE149" s="289">
        <v>15</v>
      </c>
      <c r="AF149" s="289">
        <v>8</v>
      </c>
      <c r="AG149" s="289">
        <v>0</v>
      </c>
      <c r="AH149" s="289">
        <v>208</v>
      </c>
      <c r="AI149" s="289">
        <v>1.6024387233300492</v>
      </c>
      <c r="AJ149" s="289">
        <v>1152</v>
      </c>
      <c r="AK149" s="289">
        <v>119</v>
      </c>
      <c r="AL149" s="289">
        <v>1.0548336436734596</v>
      </c>
      <c r="AM149" s="289">
        <v>0.8785175895098798</v>
      </c>
      <c r="AN149" s="289">
        <v>0.05</v>
      </c>
      <c r="AO149" s="289">
        <v>0</v>
      </c>
      <c r="AP149" s="289">
        <f t="shared" si="1"/>
        <v>0.05</v>
      </c>
      <c r="AQ149" s="289">
        <v>9185.336451798677</v>
      </c>
      <c r="AR149" s="289">
        <v>2525543.372658227</v>
      </c>
      <c r="AS149" s="289">
        <v>1</v>
      </c>
      <c r="AT149" s="289">
        <v>2545</v>
      </c>
      <c r="AU149" s="289">
        <v>0</v>
      </c>
      <c r="AV149" s="289">
        <v>0</v>
      </c>
      <c r="AW149" s="289">
        <v>0</v>
      </c>
      <c r="AX149" s="289">
        <v>0.5229333333333334</v>
      </c>
      <c r="AY149" s="289">
        <v>502.38</v>
      </c>
      <c r="AZ149" s="289">
        <v>5.065886380827262</v>
      </c>
      <c r="BA149" s="289">
        <v>827</v>
      </c>
      <c r="BB149" s="289">
        <v>0.324950884086444</v>
      </c>
      <c r="BC149" s="289">
        <v>0</v>
      </c>
      <c r="BD149" s="289">
        <v>0</v>
      </c>
      <c r="BE149" s="289">
        <v>2672</v>
      </c>
      <c r="BF149" s="289">
        <v>2545</v>
      </c>
      <c r="BG149" s="289">
        <v>-0.04752994011976048</v>
      </c>
      <c r="BH149" s="289">
        <v>0</v>
      </c>
      <c r="BI149" s="289">
        <v>0</v>
      </c>
      <c r="BJ149" s="289">
        <v>0</v>
      </c>
      <c r="BK149" s="289">
        <v>831308.8845598081</v>
      </c>
      <c r="BL149" s="289">
        <v>7388.84</v>
      </c>
      <c r="BM149" s="301">
        <v>652</v>
      </c>
    </row>
    <row r="150" spans="6:65" s="289" customFormat="1" ht="12.75">
      <c r="F150" s="289">
        <v>231</v>
      </c>
      <c r="G150" s="289" t="s">
        <v>193</v>
      </c>
      <c r="H150" s="289">
        <v>65</v>
      </c>
      <c r="I150" s="289">
        <v>9</v>
      </c>
      <c r="J150" s="289">
        <v>73</v>
      </c>
      <c r="K150" s="289">
        <v>30</v>
      </c>
      <c r="L150" s="289">
        <v>929</v>
      </c>
      <c r="M150" s="289">
        <v>245</v>
      </c>
      <c r="N150" s="289">
        <v>103</v>
      </c>
      <c r="O150" s="289">
        <v>40</v>
      </c>
      <c r="P150" s="289">
        <v>1382</v>
      </c>
      <c r="Q150" s="289">
        <v>33</v>
      </c>
      <c r="R150" s="289">
        <v>8</v>
      </c>
      <c r="S150" s="289">
        <v>10.629999999999995</v>
      </c>
      <c r="T150" s="289">
        <v>130.00940733772347</v>
      </c>
      <c r="U150" s="289">
        <v>0</v>
      </c>
      <c r="V150" s="289">
        <v>1</v>
      </c>
      <c r="W150" s="289">
        <v>531</v>
      </c>
      <c r="X150" s="289">
        <v>41</v>
      </c>
      <c r="Y150" s="289">
        <v>9</v>
      </c>
      <c r="Z150" s="289">
        <v>0.9518697260883023</v>
      </c>
      <c r="AA150" s="289">
        <v>0</v>
      </c>
      <c r="AB150" s="289">
        <v>2</v>
      </c>
      <c r="AC150" s="289">
        <v>0.8706248992999258</v>
      </c>
      <c r="AD150" s="289">
        <v>67</v>
      </c>
      <c r="AE150" s="289">
        <v>5</v>
      </c>
      <c r="AF150" s="289">
        <v>1</v>
      </c>
      <c r="AG150" s="289">
        <v>0</v>
      </c>
      <c r="AH150" s="289">
        <v>73</v>
      </c>
      <c r="AI150" s="289">
        <v>1.0356683395506556</v>
      </c>
      <c r="AJ150" s="289">
        <v>659</v>
      </c>
      <c r="AK150" s="289">
        <v>92</v>
      </c>
      <c r="AL150" s="289">
        <v>1.425581016450797</v>
      </c>
      <c r="AM150" s="289">
        <v>0.8165938460047882</v>
      </c>
      <c r="AN150" s="289">
        <v>0</v>
      </c>
      <c r="AO150" s="289">
        <v>0</v>
      </c>
      <c r="AP150" s="289">
        <f t="shared" si="1"/>
        <v>0</v>
      </c>
      <c r="AQ150" s="289">
        <v>10795.96809515229</v>
      </c>
      <c r="AR150" s="289">
        <v>-286576.8456887497</v>
      </c>
      <c r="AS150" s="289">
        <v>0</v>
      </c>
      <c r="AT150" s="289">
        <v>1382</v>
      </c>
      <c r="AU150" s="289">
        <v>0</v>
      </c>
      <c r="AV150" s="289">
        <v>0</v>
      </c>
      <c r="AW150" s="289">
        <v>0</v>
      </c>
      <c r="AX150" s="289">
        <v>0.34908333333333336</v>
      </c>
      <c r="AY150" s="289">
        <v>10.63</v>
      </c>
      <c r="AZ150" s="289">
        <v>130.00940733772342</v>
      </c>
      <c r="BA150" s="289">
        <v>1370</v>
      </c>
      <c r="BB150" s="289">
        <v>0.9913169319826338</v>
      </c>
      <c r="BC150" s="289">
        <v>1</v>
      </c>
      <c r="BD150" s="289">
        <v>0</v>
      </c>
      <c r="BE150" s="289">
        <v>1442</v>
      </c>
      <c r="BF150" s="289">
        <v>1382</v>
      </c>
      <c r="BG150" s="289">
        <v>-0.04160887656033287</v>
      </c>
      <c r="BH150" s="289">
        <v>0</v>
      </c>
      <c r="BI150" s="289">
        <v>0</v>
      </c>
      <c r="BJ150" s="289">
        <v>0</v>
      </c>
      <c r="BK150" s="289">
        <v>261467.4392278617</v>
      </c>
      <c r="BL150" s="289">
        <v>6556.37</v>
      </c>
      <c r="BM150" s="301">
        <v>323</v>
      </c>
    </row>
    <row r="151" spans="6:65" s="289" customFormat="1" ht="12.75">
      <c r="F151" s="289">
        <v>232</v>
      </c>
      <c r="G151" s="289" t="s">
        <v>194</v>
      </c>
      <c r="H151" s="289">
        <v>1044</v>
      </c>
      <c r="I151" s="289">
        <v>129</v>
      </c>
      <c r="J151" s="289">
        <v>911</v>
      </c>
      <c r="K151" s="289">
        <v>507</v>
      </c>
      <c r="L151" s="289">
        <v>10157</v>
      </c>
      <c r="M151" s="289">
        <v>1601</v>
      </c>
      <c r="N151" s="289">
        <v>928</v>
      </c>
      <c r="O151" s="289">
        <v>437</v>
      </c>
      <c r="P151" s="289">
        <v>14167</v>
      </c>
      <c r="Q151" s="289">
        <v>1</v>
      </c>
      <c r="R151" s="289">
        <v>15</v>
      </c>
      <c r="S151" s="289">
        <v>1299.08</v>
      </c>
      <c r="T151" s="289">
        <v>10.905409982449118</v>
      </c>
      <c r="U151" s="289">
        <v>0</v>
      </c>
      <c r="V151" s="289">
        <v>0</v>
      </c>
      <c r="W151" s="289">
        <v>5799</v>
      </c>
      <c r="X151" s="289">
        <v>616</v>
      </c>
      <c r="Y151" s="289">
        <v>104</v>
      </c>
      <c r="Z151" s="289">
        <v>0.9203479795262288</v>
      </c>
      <c r="AA151" s="289">
        <v>15</v>
      </c>
      <c r="AB151" s="289">
        <v>15</v>
      </c>
      <c r="AC151" s="289">
        <v>0.6369751592605162</v>
      </c>
      <c r="AD151" s="289">
        <v>929</v>
      </c>
      <c r="AE151" s="289">
        <v>102</v>
      </c>
      <c r="AF151" s="289">
        <v>52</v>
      </c>
      <c r="AG151" s="289">
        <v>2</v>
      </c>
      <c r="AH151" s="289">
        <v>1085</v>
      </c>
      <c r="AI151" s="289">
        <v>1.5016119895706126</v>
      </c>
      <c r="AJ151" s="289">
        <v>6468</v>
      </c>
      <c r="AK151" s="289">
        <v>610</v>
      </c>
      <c r="AL151" s="289">
        <v>0.9630510620900484</v>
      </c>
      <c r="AM151" s="289">
        <v>1.4985738465312346</v>
      </c>
      <c r="AN151" s="289">
        <v>0</v>
      </c>
      <c r="AO151" s="289">
        <v>0</v>
      </c>
      <c r="AP151" s="289">
        <f t="shared" si="1"/>
        <v>0</v>
      </c>
      <c r="AQ151" s="289">
        <v>220633.7152224183</v>
      </c>
      <c r="AR151" s="289">
        <v>8654300.375833334</v>
      </c>
      <c r="AS151" s="289">
        <v>1</v>
      </c>
      <c r="AT151" s="289">
        <v>14167</v>
      </c>
      <c r="AU151" s="289">
        <v>0</v>
      </c>
      <c r="AV151" s="289">
        <v>0</v>
      </c>
      <c r="AW151" s="289">
        <v>0</v>
      </c>
      <c r="AX151" s="289">
        <v>0</v>
      </c>
      <c r="AY151" s="289">
        <v>1299.1</v>
      </c>
      <c r="AZ151" s="289">
        <v>10.905242090678163</v>
      </c>
      <c r="BA151" s="289">
        <v>9339</v>
      </c>
      <c r="BB151" s="289">
        <v>0.6592080186348557</v>
      </c>
      <c r="BC151" s="289">
        <v>0</v>
      </c>
      <c r="BD151" s="289">
        <v>0</v>
      </c>
      <c r="BE151" s="289">
        <v>14384</v>
      </c>
      <c r="BF151" s="289">
        <v>14167</v>
      </c>
      <c r="BG151" s="289">
        <v>-0.015086206896551725</v>
      </c>
      <c r="BH151" s="289">
        <v>0</v>
      </c>
      <c r="BI151" s="289">
        <v>0</v>
      </c>
      <c r="BJ151" s="289">
        <v>0</v>
      </c>
      <c r="BK151" s="289">
        <v>2972708.765847245</v>
      </c>
      <c r="BL151" s="289">
        <v>6844.73</v>
      </c>
      <c r="BM151" s="301">
        <v>4609</v>
      </c>
    </row>
    <row r="152" spans="6:65" s="289" customFormat="1" ht="12.75">
      <c r="F152" s="289">
        <v>233</v>
      </c>
      <c r="G152" s="289" t="s">
        <v>195</v>
      </c>
      <c r="H152" s="289">
        <v>1313</v>
      </c>
      <c r="I152" s="289">
        <v>200</v>
      </c>
      <c r="J152" s="289">
        <v>1189</v>
      </c>
      <c r="K152" s="289">
        <v>626</v>
      </c>
      <c r="L152" s="289">
        <v>11912</v>
      </c>
      <c r="M152" s="289">
        <v>1935</v>
      </c>
      <c r="N152" s="289">
        <v>1447</v>
      </c>
      <c r="O152" s="289">
        <v>595</v>
      </c>
      <c r="P152" s="289">
        <v>17202</v>
      </c>
      <c r="Q152" s="289">
        <v>2</v>
      </c>
      <c r="R152" s="289">
        <v>21</v>
      </c>
      <c r="S152" s="289">
        <v>1313.6899999999998</v>
      </c>
      <c r="T152" s="289">
        <v>13.09441344609459</v>
      </c>
      <c r="U152" s="289">
        <v>0</v>
      </c>
      <c r="V152" s="289">
        <v>0</v>
      </c>
      <c r="W152" s="289">
        <v>7106</v>
      </c>
      <c r="X152" s="289">
        <v>932</v>
      </c>
      <c r="Y152" s="289">
        <v>113</v>
      </c>
      <c r="Z152" s="289">
        <v>0.8962848179059415</v>
      </c>
      <c r="AA152" s="289">
        <v>16</v>
      </c>
      <c r="AB152" s="289">
        <v>16</v>
      </c>
      <c r="AC152" s="289">
        <v>0.5595645207917672</v>
      </c>
      <c r="AD152" s="289">
        <v>1067</v>
      </c>
      <c r="AE152" s="289">
        <v>125</v>
      </c>
      <c r="AF152" s="289">
        <v>37</v>
      </c>
      <c r="AG152" s="289">
        <v>9</v>
      </c>
      <c r="AH152" s="289">
        <v>1238</v>
      </c>
      <c r="AI152" s="289">
        <v>1.411066834240881</v>
      </c>
      <c r="AJ152" s="289">
        <v>7557</v>
      </c>
      <c r="AK152" s="289">
        <v>392</v>
      </c>
      <c r="AL152" s="289">
        <v>0.529695319654253</v>
      </c>
      <c r="AM152" s="289">
        <v>1.2603401678361619</v>
      </c>
      <c r="AN152" s="289">
        <v>0</v>
      </c>
      <c r="AO152" s="289">
        <v>0</v>
      </c>
      <c r="AP152" s="289">
        <f t="shared" si="1"/>
        <v>0</v>
      </c>
      <c r="AQ152" s="289">
        <v>55571.627510622144</v>
      </c>
      <c r="AR152" s="289">
        <v>8984808.43197531</v>
      </c>
      <c r="AS152" s="289">
        <v>1</v>
      </c>
      <c r="AT152" s="289">
        <v>17202</v>
      </c>
      <c r="AU152" s="289">
        <v>0</v>
      </c>
      <c r="AV152" s="289">
        <v>0</v>
      </c>
      <c r="AW152" s="289">
        <v>0</v>
      </c>
      <c r="AX152" s="289">
        <v>0</v>
      </c>
      <c r="AY152" s="289">
        <v>1313.73</v>
      </c>
      <c r="AZ152" s="289">
        <v>13.094014751889658</v>
      </c>
      <c r="BA152" s="289">
        <v>10815</v>
      </c>
      <c r="BB152" s="289">
        <v>0.6287059644227415</v>
      </c>
      <c r="BC152" s="289">
        <v>0</v>
      </c>
      <c r="BD152" s="289">
        <v>0</v>
      </c>
      <c r="BE152" s="289">
        <v>17545</v>
      </c>
      <c r="BF152" s="289">
        <v>17202</v>
      </c>
      <c r="BG152" s="289">
        <v>-0.019549729267597606</v>
      </c>
      <c r="BH152" s="289">
        <v>0</v>
      </c>
      <c r="BI152" s="289">
        <v>0</v>
      </c>
      <c r="BJ152" s="289">
        <v>0</v>
      </c>
      <c r="BK152" s="289">
        <v>3121682.541496901</v>
      </c>
      <c r="BL152" s="289">
        <v>6721.11</v>
      </c>
      <c r="BM152" s="301">
        <v>5548</v>
      </c>
    </row>
    <row r="153" spans="6:65" s="289" customFormat="1" ht="12.75">
      <c r="F153" s="289">
        <v>235</v>
      </c>
      <c r="G153" s="289" t="s">
        <v>196</v>
      </c>
      <c r="H153" s="289">
        <v>665</v>
      </c>
      <c r="I153" s="289">
        <v>113</v>
      </c>
      <c r="J153" s="289">
        <v>754</v>
      </c>
      <c r="K153" s="289">
        <v>374</v>
      </c>
      <c r="L153" s="289">
        <v>6418</v>
      </c>
      <c r="M153" s="289">
        <v>1031</v>
      </c>
      <c r="N153" s="289">
        <v>574</v>
      </c>
      <c r="O153" s="289">
        <v>222</v>
      </c>
      <c r="P153" s="289">
        <v>8910</v>
      </c>
      <c r="Q153" s="289">
        <v>568</v>
      </c>
      <c r="R153" s="289">
        <v>45</v>
      </c>
      <c r="S153" s="289">
        <v>5.89</v>
      </c>
      <c r="T153" s="289">
        <v>1512.7334465195247</v>
      </c>
      <c r="U153" s="289">
        <v>0</v>
      </c>
      <c r="V153" s="289">
        <v>1</v>
      </c>
      <c r="W153" s="289">
        <v>3755</v>
      </c>
      <c r="X153" s="289">
        <v>11</v>
      </c>
      <c r="Y153" s="289">
        <v>71</v>
      </c>
      <c r="Z153" s="289">
        <v>1.0278694212748958</v>
      </c>
      <c r="AA153" s="289">
        <v>4</v>
      </c>
      <c r="AB153" s="289">
        <v>2</v>
      </c>
      <c r="AC153" s="289">
        <v>0.13503968696212093</v>
      </c>
      <c r="AD153" s="289">
        <v>212</v>
      </c>
      <c r="AE153" s="289">
        <v>43</v>
      </c>
      <c r="AF153" s="289">
        <v>15</v>
      </c>
      <c r="AG153" s="289">
        <v>1</v>
      </c>
      <c r="AH153" s="289">
        <v>271</v>
      </c>
      <c r="AI153" s="289">
        <v>0.5963448455101865</v>
      </c>
      <c r="AJ153" s="289">
        <v>3842</v>
      </c>
      <c r="AK153" s="289">
        <v>160</v>
      </c>
      <c r="AL153" s="289">
        <v>0.4252576284277098</v>
      </c>
      <c r="AM153" s="289">
        <v>0.49138056253333756</v>
      </c>
      <c r="AN153" s="289">
        <v>0</v>
      </c>
      <c r="AO153" s="289">
        <v>0</v>
      </c>
      <c r="AP153" s="289">
        <f t="shared" si="1"/>
        <v>0</v>
      </c>
      <c r="AQ153" s="289">
        <v>-383247.70536642754</v>
      </c>
      <c r="AR153" s="289">
        <v>-11815297.562966665</v>
      </c>
      <c r="AS153" s="289">
        <v>1</v>
      </c>
      <c r="AT153" s="289">
        <v>8910</v>
      </c>
      <c r="AU153" s="289">
        <v>0</v>
      </c>
      <c r="AV153" s="289">
        <v>0</v>
      </c>
      <c r="AW153" s="289">
        <v>0</v>
      </c>
      <c r="AX153" s="289">
        <v>0</v>
      </c>
      <c r="AY153" s="289">
        <v>5.88</v>
      </c>
      <c r="AZ153" s="289">
        <v>1515.3061224489795</v>
      </c>
      <c r="BA153" s="289">
        <v>8797</v>
      </c>
      <c r="BB153" s="289">
        <v>0.987317620650954</v>
      </c>
      <c r="BC153" s="289">
        <v>1</v>
      </c>
      <c r="BD153" s="289">
        <v>0</v>
      </c>
      <c r="BE153" s="289">
        <v>8617</v>
      </c>
      <c r="BF153" s="289">
        <v>8910</v>
      </c>
      <c r="BG153" s="289">
        <v>0.03400255309272369</v>
      </c>
      <c r="BH153" s="289">
        <v>0</v>
      </c>
      <c r="BI153" s="289">
        <v>1</v>
      </c>
      <c r="BJ153" s="289">
        <v>0.0001122334455667789</v>
      </c>
      <c r="BK153" s="289">
        <v>245098.78112048033</v>
      </c>
      <c r="BL153" s="289">
        <v>6641.59</v>
      </c>
      <c r="BM153" s="301">
        <v>3121</v>
      </c>
    </row>
    <row r="154" spans="6:65" s="289" customFormat="1" ht="12.75">
      <c r="F154" s="289">
        <v>236</v>
      </c>
      <c r="G154" s="289" t="s">
        <v>197</v>
      </c>
      <c r="H154" s="289">
        <v>394</v>
      </c>
      <c r="I154" s="289">
        <v>48</v>
      </c>
      <c r="J154" s="289">
        <v>292</v>
      </c>
      <c r="K154" s="289">
        <v>142</v>
      </c>
      <c r="L154" s="289">
        <v>3036</v>
      </c>
      <c r="M154" s="289">
        <v>454</v>
      </c>
      <c r="N154" s="289">
        <v>298</v>
      </c>
      <c r="O154" s="289">
        <v>105</v>
      </c>
      <c r="P154" s="289">
        <v>4287</v>
      </c>
      <c r="Q154" s="289">
        <v>4</v>
      </c>
      <c r="R154" s="289">
        <v>6</v>
      </c>
      <c r="S154" s="289">
        <v>354.03000000000003</v>
      </c>
      <c r="T154" s="289">
        <v>12.109143292941274</v>
      </c>
      <c r="U154" s="289">
        <v>0</v>
      </c>
      <c r="V154" s="289">
        <v>0</v>
      </c>
      <c r="W154" s="289">
        <v>1962</v>
      </c>
      <c r="X154" s="289">
        <v>360</v>
      </c>
      <c r="Y154" s="289">
        <v>34</v>
      </c>
      <c r="Z154" s="289">
        <v>0.8397964113361024</v>
      </c>
      <c r="AA154" s="289">
        <v>2</v>
      </c>
      <c r="AB154" s="289">
        <v>2</v>
      </c>
      <c r="AC154" s="289">
        <v>0.28066331020118906</v>
      </c>
      <c r="AD154" s="289">
        <v>223</v>
      </c>
      <c r="AE154" s="289">
        <v>32</v>
      </c>
      <c r="AF154" s="289">
        <v>12</v>
      </c>
      <c r="AG154" s="289">
        <v>1</v>
      </c>
      <c r="AH154" s="289">
        <v>268</v>
      </c>
      <c r="AI154" s="289">
        <v>1.2257084876846969</v>
      </c>
      <c r="AJ154" s="289">
        <v>2099</v>
      </c>
      <c r="AK154" s="289">
        <v>120</v>
      </c>
      <c r="AL154" s="289">
        <v>0.5837922135847765</v>
      </c>
      <c r="AM154" s="289">
        <v>0.782241090793012</v>
      </c>
      <c r="AN154" s="289">
        <v>0</v>
      </c>
      <c r="AO154" s="289">
        <v>0</v>
      </c>
      <c r="AP154" s="289">
        <f t="shared" si="1"/>
        <v>0</v>
      </c>
      <c r="AQ154" s="289">
        <v>2179.703014673665</v>
      </c>
      <c r="AR154" s="289">
        <v>2066049.9202439024</v>
      </c>
      <c r="AS154" s="289">
        <v>1</v>
      </c>
      <c r="AT154" s="289">
        <v>4287</v>
      </c>
      <c r="AU154" s="289">
        <v>0</v>
      </c>
      <c r="AV154" s="289">
        <v>0</v>
      </c>
      <c r="AW154" s="289">
        <v>0</v>
      </c>
      <c r="AX154" s="289">
        <v>0.0516</v>
      </c>
      <c r="AY154" s="289">
        <v>354.03</v>
      </c>
      <c r="AZ154" s="289">
        <v>12.109143292941278</v>
      </c>
      <c r="BA154" s="289">
        <v>2726</v>
      </c>
      <c r="BB154" s="289">
        <v>0.635875903895498</v>
      </c>
      <c r="BC154" s="289">
        <v>0</v>
      </c>
      <c r="BD154" s="289">
        <v>0</v>
      </c>
      <c r="BE154" s="289">
        <v>4298</v>
      </c>
      <c r="BF154" s="289">
        <v>4287</v>
      </c>
      <c r="BG154" s="289">
        <v>-0.0025593299208934387</v>
      </c>
      <c r="BH154" s="289">
        <v>0</v>
      </c>
      <c r="BI154" s="289">
        <v>1</v>
      </c>
      <c r="BJ154" s="289">
        <v>0.00023326335432703523</v>
      </c>
      <c r="BK154" s="289">
        <v>840098.638055435</v>
      </c>
      <c r="BL154" s="289">
        <v>6785.26</v>
      </c>
      <c r="BM154" s="301">
        <v>1519</v>
      </c>
    </row>
    <row r="155" spans="6:65" s="289" customFormat="1" ht="12.75">
      <c r="F155" s="289">
        <v>239</v>
      </c>
      <c r="G155" s="289" t="s">
        <v>198</v>
      </c>
      <c r="H155" s="289">
        <v>130</v>
      </c>
      <c r="I155" s="289">
        <v>13</v>
      </c>
      <c r="J155" s="289">
        <v>134</v>
      </c>
      <c r="K155" s="289">
        <v>70</v>
      </c>
      <c r="L155" s="289">
        <v>1680</v>
      </c>
      <c r="M155" s="289">
        <v>332</v>
      </c>
      <c r="N155" s="289">
        <v>233</v>
      </c>
      <c r="O155" s="289">
        <v>101</v>
      </c>
      <c r="P155" s="289">
        <v>2476</v>
      </c>
      <c r="Q155" s="289">
        <v>0</v>
      </c>
      <c r="R155" s="289">
        <v>2</v>
      </c>
      <c r="S155" s="289">
        <v>481.78000000000003</v>
      </c>
      <c r="T155" s="289">
        <v>5.139275187845074</v>
      </c>
      <c r="U155" s="289">
        <v>0</v>
      </c>
      <c r="V155" s="289">
        <v>0</v>
      </c>
      <c r="W155" s="289">
        <v>955</v>
      </c>
      <c r="X155" s="289">
        <v>148</v>
      </c>
      <c r="Y155" s="289">
        <v>11</v>
      </c>
      <c r="Z155" s="289">
        <v>0.875863957819332</v>
      </c>
      <c r="AA155" s="289">
        <v>4</v>
      </c>
      <c r="AB155" s="289">
        <v>2</v>
      </c>
      <c r="AC155" s="289">
        <v>0.48594653103089563</v>
      </c>
      <c r="AD155" s="289">
        <v>164</v>
      </c>
      <c r="AE155" s="289">
        <v>16</v>
      </c>
      <c r="AF155" s="289">
        <v>1</v>
      </c>
      <c r="AG155" s="289">
        <v>1</v>
      </c>
      <c r="AH155" s="289">
        <v>182</v>
      </c>
      <c r="AI155" s="289">
        <v>1.441207888536189</v>
      </c>
      <c r="AJ155" s="289">
        <v>1071</v>
      </c>
      <c r="AK155" s="289">
        <v>115</v>
      </c>
      <c r="AL155" s="289">
        <v>1.0964727939321604</v>
      </c>
      <c r="AM155" s="289">
        <v>1.540215696290974</v>
      </c>
      <c r="AN155" s="289">
        <v>0.05</v>
      </c>
      <c r="AO155" s="289">
        <v>0</v>
      </c>
      <c r="AP155" s="289">
        <f t="shared" si="1"/>
        <v>0.05</v>
      </c>
      <c r="AQ155" s="289">
        <v>-73467.48825489823</v>
      </c>
      <c r="AR155" s="289">
        <v>1705363.2516666662</v>
      </c>
      <c r="AS155" s="289">
        <v>1</v>
      </c>
      <c r="AT155" s="289">
        <v>2476</v>
      </c>
      <c r="AU155" s="289">
        <v>0</v>
      </c>
      <c r="AV155" s="289">
        <v>0</v>
      </c>
      <c r="AW155" s="289">
        <v>0</v>
      </c>
      <c r="AX155" s="289">
        <v>0.9854833333333333</v>
      </c>
      <c r="AY155" s="289">
        <v>481.79</v>
      </c>
      <c r="AZ155" s="289">
        <v>5.1391685174038475</v>
      </c>
      <c r="BA155" s="289">
        <v>1216</v>
      </c>
      <c r="BB155" s="289">
        <v>0.4911147011308562</v>
      </c>
      <c r="BC155" s="289">
        <v>0</v>
      </c>
      <c r="BD155" s="289">
        <v>0</v>
      </c>
      <c r="BE155" s="289">
        <v>2563</v>
      </c>
      <c r="BF155" s="289">
        <v>2476</v>
      </c>
      <c r="BG155" s="289">
        <v>-0.03394459617635583</v>
      </c>
      <c r="BH155" s="289">
        <v>0</v>
      </c>
      <c r="BI155" s="289">
        <v>0</v>
      </c>
      <c r="BJ155" s="289">
        <v>0</v>
      </c>
      <c r="BK155" s="289">
        <v>530506.740601496</v>
      </c>
      <c r="BL155" s="289">
        <v>7361.36</v>
      </c>
      <c r="BM155" s="301">
        <v>633</v>
      </c>
    </row>
    <row r="156" spans="6:65" s="289" customFormat="1" ht="12.75">
      <c r="F156" s="289">
        <v>240</v>
      </c>
      <c r="G156" s="289" t="s">
        <v>199</v>
      </c>
      <c r="H156" s="289">
        <v>1606</v>
      </c>
      <c r="I156" s="289">
        <v>211</v>
      </c>
      <c r="J156" s="289">
        <v>1230</v>
      </c>
      <c r="K156" s="289">
        <v>642</v>
      </c>
      <c r="L156" s="289">
        <v>15852</v>
      </c>
      <c r="M156" s="289">
        <v>2505</v>
      </c>
      <c r="N156" s="289">
        <v>1692</v>
      </c>
      <c r="O156" s="289">
        <v>602</v>
      </c>
      <c r="P156" s="289">
        <v>22257</v>
      </c>
      <c r="Q156" s="289">
        <v>1</v>
      </c>
      <c r="R156" s="289">
        <v>98</v>
      </c>
      <c r="S156" s="289">
        <v>95.40999999999997</v>
      </c>
      <c r="T156" s="289">
        <v>233.27743423121274</v>
      </c>
      <c r="U156" s="289">
        <v>0</v>
      </c>
      <c r="V156" s="289">
        <v>0</v>
      </c>
      <c r="W156" s="289">
        <v>7949</v>
      </c>
      <c r="X156" s="289">
        <v>48</v>
      </c>
      <c r="Y156" s="289">
        <v>74</v>
      </c>
      <c r="Z156" s="289">
        <v>1.0346889141184246</v>
      </c>
      <c r="AA156" s="289">
        <v>53</v>
      </c>
      <c r="AB156" s="289">
        <v>53</v>
      </c>
      <c r="AC156" s="289">
        <v>1.43257832084563</v>
      </c>
      <c r="AD156" s="289">
        <v>1426</v>
      </c>
      <c r="AE156" s="289">
        <v>177</v>
      </c>
      <c r="AF156" s="289">
        <v>37</v>
      </c>
      <c r="AG156" s="289">
        <v>4</v>
      </c>
      <c r="AH156" s="289">
        <v>1644</v>
      </c>
      <c r="AI156" s="289">
        <v>1.4482417739013955</v>
      </c>
      <c r="AJ156" s="289">
        <v>9603</v>
      </c>
      <c r="AK156" s="289">
        <v>1395</v>
      </c>
      <c r="AL156" s="289">
        <v>1.4833948588623798</v>
      </c>
      <c r="AM156" s="289">
        <v>1.867888470984837</v>
      </c>
      <c r="AN156" s="289">
        <v>0</v>
      </c>
      <c r="AO156" s="289">
        <v>0</v>
      </c>
      <c r="AP156" s="289">
        <f t="shared" si="1"/>
        <v>0</v>
      </c>
      <c r="AQ156" s="289">
        <v>-426000.6102620363</v>
      </c>
      <c r="AR156" s="289">
        <v>-306315.8457156638</v>
      </c>
      <c r="AS156" s="289">
        <v>1</v>
      </c>
      <c r="AT156" s="289">
        <v>22257</v>
      </c>
      <c r="AU156" s="289">
        <v>0</v>
      </c>
      <c r="AV156" s="289">
        <v>0</v>
      </c>
      <c r="AW156" s="289">
        <v>0</v>
      </c>
      <c r="AX156" s="289">
        <v>0</v>
      </c>
      <c r="AY156" s="289">
        <v>95.35</v>
      </c>
      <c r="AZ156" s="289">
        <v>233.42422653382278</v>
      </c>
      <c r="BA156" s="289">
        <v>21971</v>
      </c>
      <c r="BB156" s="289">
        <v>0.9871501100777283</v>
      </c>
      <c r="BC156" s="289">
        <v>0</v>
      </c>
      <c r="BD156" s="289">
        <v>0</v>
      </c>
      <c r="BE156" s="289">
        <v>22580</v>
      </c>
      <c r="BF156" s="289">
        <v>22257</v>
      </c>
      <c r="BG156" s="289">
        <v>-0.014304694419840567</v>
      </c>
      <c r="BH156" s="289">
        <v>0</v>
      </c>
      <c r="BI156" s="289">
        <v>6</v>
      </c>
      <c r="BJ156" s="289">
        <v>0.0002695781102574471</v>
      </c>
      <c r="BK156" s="289">
        <v>3854991.9144088384</v>
      </c>
      <c r="BL156" s="289">
        <v>6002.43</v>
      </c>
      <c r="BM156" s="301">
        <v>7156</v>
      </c>
    </row>
    <row r="157" spans="6:65" s="289" customFormat="1" ht="12.75">
      <c r="F157" s="289">
        <v>241</v>
      </c>
      <c r="G157" s="289" t="s">
        <v>201</v>
      </c>
      <c r="H157" s="289">
        <v>707</v>
      </c>
      <c r="I157" s="289">
        <v>103</v>
      </c>
      <c r="J157" s="289">
        <v>655</v>
      </c>
      <c r="K157" s="289">
        <v>336</v>
      </c>
      <c r="L157" s="289">
        <v>6276</v>
      </c>
      <c r="M157" s="289">
        <v>916</v>
      </c>
      <c r="N157" s="289">
        <v>513</v>
      </c>
      <c r="O157" s="289">
        <v>173</v>
      </c>
      <c r="P157" s="289">
        <v>8585</v>
      </c>
      <c r="Q157" s="289">
        <v>0</v>
      </c>
      <c r="R157" s="289">
        <v>7</v>
      </c>
      <c r="S157" s="289">
        <v>626.3000000000001</v>
      </c>
      <c r="T157" s="289">
        <v>13.707488424077916</v>
      </c>
      <c r="U157" s="289">
        <v>0</v>
      </c>
      <c r="V157" s="289">
        <v>0</v>
      </c>
      <c r="W157" s="289">
        <v>3514</v>
      </c>
      <c r="X157" s="289">
        <v>95</v>
      </c>
      <c r="Y157" s="289">
        <v>42</v>
      </c>
      <c r="Z157" s="289">
        <v>1.009848588133421</v>
      </c>
      <c r="AA157" s="289">
        <v>20</v>
      </c>
      <c r="AB157" s="289">
        <v>20</v>
      </c>
      <c r="AC157" s="289">
        <v>1.4015184750524141</v>
      </c>
      <c r="AD157" s="289">
        <v>381</v>
      </c>
      <c r="AE157" s="289">
        <v>65</v>
      </c>
      <c r="AF157" s="289">
        <v>9</v>
      </c>
      <c r="AG157" s="289">
        <v>3</v>
      </c>
      <c r="AH157" s="289">
        <v>458</v>
      </c>
      <c r="AI157" s="289">
        <v>1.0459984993396012</v>
      </c>
      <c r="AJ157" s="289">
        <v>3951</v>
      </c>
      <c r="AK157" s="289">
        <v>411</v>
      </c>
      <c r="AL157" s="289">
        <v>1.0622439908572454</v>
      </c>
      <c r="AM157" s="289">
        <v>1.0152983080535265</v>
      </c>
      <c r="AN157" s="289">
        <v>0</v>
      </c>
      <c r="AO157" s="289">
        <v>0</v>
      </c>
      <c r="AP157" s="289">
        <f t="shared" si="1"/>
        <v>0</v>
      </c>
      <c r="AQ157" s="289">
        <v>-51259.728174733</v>
      </c>
      <c r="AR157" s="289">
        <v>-123924.74348414609</v>
      </c>
      <c r="AS157" s="289">
        <v>1</v>
      </c>
      <c r="AT157" s="289">
        <v>8585</v>
      </c>
      <c r="AU157" s="289">
        <v>0</v>
      </c>
      <c r="AV157" s="289">
        <v>0</v>
      </c>
      <c r="AW157" s="289">
        <v>0</v>
      </c>
      <c r="AX157" s="289">
        <v>0</v>
      </c>
      <c r="AY157" s="289">
        <v>625.06</v>
      </c>
      <c r="AZ157" s="289">
        <v>13.734681470578826</v>
      </c>
      <c r="BA157" s="289">
        <v>7625</v>
      </c>
      <c r="BB157" s="289">
        <v>0.8881770529994176</v>
      </c>
      <c r="BC157" s="289">
        <v>0</v>
      </c>
      <c r="BD157" s="289">
        <v>0</v>
      </c>
      <c r="BE157" s="289">
        <v>8606</v>
      </c>
      <c r="BF157" s="289">
        <v>8585</v>
      </c>
      <c r="BG157" s="289">
        <v>-0.0024401580292818963</v>
      </c>
      <c r="BH157" s="289">
        <v>0</v>
      </c>
      <c r="BI157" s="289">
        <v>2</v>
      </c>
      <c r="BJ157" s="289">
        <v>0.00023296447291788001</v>
      </c>
      <c r="BK157" s="289">
        <v>1456584.5772371744</v>
      </c>
      <c r="BL157" s="289">
        <v>6683.81</v>
      </c>
      <c r="BM157" s="301">
        <v>2840</v>
      </c>
    </row>
    <row r="158" spans="6:65" s="289" customFormat="1" ht="12.75">
      <c r="F158" s="289">
        <v>244</v>
      </c>
      <c r="G158" s="289" t="s">
        <v>203</v>
      </c>
      <c r="H158" s="289">
        <v>2014</v>
      </c>
      <c r="I158" s="289">
        <v>288</v>
      </c>
      <c r="J158" s="289">
        <v>1643</v>
      </c>
      <c r="K158" s="289">
        <v>748</v>
      </c>
      <c r="L158" s="289">
        <v>12472</v>
      </c>
      <c r="M158" s="289">
        <v>1216</v>
      </c>
      <c r="N158" s="289">
        <v>563</v>
      </c>
      <c r="O158" s="289">
        <v>118</v>
      </c>
      <c r="P158" s="289">
        <v>16383</v>
      </c>
      <c r="Q158" s="289">
        <v>12</v>
      </c>
      <c r="R158" s="289">
        <v>9</v>
      </c>
      <c r="S158" s="289">
        <v>110.11</v>
      </c>
      <c r="T158" s="289">
        <v>148.78757606030334</v>
      </c>
      <c r="U158" s="289">
        <v>0</v>
      </c>
      <c r="V158" s="289">
        <v>0</v>
      </c>
      <c r="W158" s="289">
        <v>7049</v>
      </c>
      <c r="X158" s="289">
        <v>83</v>
      </c>
      <c r="Y158" s="289">
        <v>79</v>
      </c>
      <c r="Z158" s="289">
        <v>1.0266668316426368</v>
      </c>
      <c r="AA158" s="289">
        <v>18</v>
      </c>
      <c r="AB158" s="289">
        <v>18</v>
      </c>
      <c r="AC158" s="289">
        <v>0.6609798264965194</v>
      </c>
      <c r="AD158" s="289">
        <v>530</v>
      </c>
      <c r="AE158" s="289">
        <v>147</v>
      </c>
      <c r="AF158" s="289">
        <v>38</v>
      </c>
      <c r="AG158" s="289">
        <v>3</v>
      </c>
      <c r="AH158" s="289">
        <v>718</v>
      </c>
      <c r="AI158" s="289">
        <v>0.8592843377540252</v>
      </c>
      <c r="AJ158" s="289">
        <v>7588</v>
      </c>
      <c r="AK158" s="289">
        <v>745</v>
      </c>
      <c r="AL158" s="289">
        <v>1.002578625191379</v>
      </c>
      <c r="AM158" s="289">
        <v>0.9273754139467256</v>
      </c>
      <c r="AN158" s="289">
        <v>0</v>
      </c>
      <c r="AO158" s="289">
        <v>0</v>
      </c>
      <c r="AP158" s="289">
        <f t="shared" si="1"/>
        <v>0</v>
      </c>
      <c r="AQ158" s="289">
        <v>-424852.51182803884</v>
      </c>
      <c r="AR158" s="289">
        <v>-538682.4281602564</v>
      </c>
      <c r="AS158" s="289">
        <v>1</v>
      </c>
      <c r="AT158" s="289">
        <v>16383</v>
      </c>
      <c r="AU158" s="289">
        <v>0</v>
      </c>
      <c r="AV158" s="289">
        <v>0</v>
      </c>
      <c r="AW158" s="289">
        <v>0</v>
      </c>
      <c r="AX158" s="289">
        <v>0</v>
      </c>
      <c r="AY158" s="289">
        <v>110.12</v>
      </c>
      <c r="AZ158" s="289">
        <v>148.7740646567381</v>
      </c>
      <c r="BA158" s="289">
        <v>15495</v>
      </c>
      <c r="BB158" s="289">
        <v>0.9457974729902948</v>
      </c>
      <c r="BC158" s="289">
        <v>0</v>
      </c>
      <c r="BD158" s="289">
        <v>0</v>
      </c>
      <c r="BE158" s="289">
        <v>15652</v>
      </c>
      <c r="BF158" s="289">
        <v>16383</v>
      </c>
      <c r="BG158" s="289">
        <v>0.046703296703296704</v>
      </c>
      <c r="BH158" s="289">
        <v>0</v>
      </c>
      <c r="BI158" s="289">
        <v>5</v>
      </c>
      <c r="BJ158" s="289">
        <v>0.0003051944088384301</v>
      </c>
      <c r="BK158" s="289">
        <v>2088045.8058427398</v>
      </c>
      <c r="BL158" s="289">
        <v>5940.27</v>
      </c>
      <c r="BM158" s="301">
        <v>6743</v>
      </c>
    </row>
    <row r="159" spans="6:65" s="289" customFormat="1" ht="12.75">
      <c r="F159" s="289">
        <v>245</v>
      </c>
      <c r="G159" s="289" t="s">
        <v>204</v>
      </c>
      <c r="H159" s="289">
        <v>2858</v>
      </c>
      <c r="I159" s="289">
        <v>431</v>
      </c>
      <c r="J159" s="289">
        <v>2250</v>
      </c>
      <c r="K159" s="289">
        <v>1098</v>
      </c>
      <c r="L159" s="289">
        <v>26373</v>
      </c>
      <c r="M159" s="289">
        <v>3391</v>
      </c>
      <c r="N159" s="289">
        <v>1417</v>
      </c>
      <c r="O159" s="289">
        <v>452</v>
      </c>
      <c r="P159" s="289">
        <v>34491</v>
      </c>
      <c r="Q159" s="289">
        <v>43</v>
      </c>
      <c r="R159" s="289">
        <v>263</v>
      </c>
      <c r="S159" s="289">
        <v>30.619999999999997</v>
      </c>
      <c r="T159" s="289">
        <v>1126.420640104507</v>
      </c>
      <c r="U159" s="289">
        <v>0</v>
      </c>
      <c r="V159" s="289">
        <v>0</v>
      </c>
      <c r="W159" s="289">
        <v>17011</v>
      </c>
      <c r="X159" s="289">
        <v>38</v>
      </c>
      <c r="Y159" s="289">
        <v>166</v>
      </c>
      <c r="Z159" s="289">
        <v>1.038215036871751</v>
      </c>
      <c r="AA159" s="289">
        <v>52</v>
      </c>
      <c r="AB159" s="289">
        <v>52</v>
      </c>
      <c r="AC159" s="289">
        <v>0.9069987498664851</v>
      </c>
      <c r="AD159" s="289">
        <v>940</v>
      </c>
      <c r="AE159" s="289">
        <v>172</v>
      </c>
      <c r="AF159" s="289">
        <v>46</v>
      </c>
      <c r="AG159" s="289">
        <v>6</v>
      </c>
      <c r="AH159" s="289">
        <v>1164</v>
      </c>
      <c r="AI159" s="289">
        <v>0.6616877236116322</v>
      </c>
      <c r="AJ159" s="289">
        <v>18076</v>
      </c>
      <c r="AK159" s="289">
        <v>1206</v>
      </c>
      <c r="AL159" s="289">
        <v>0.6812938457601339</v>
      </c>
      <c r="AM159" s="289">
        <v>0.8966961110980531</v>
      </c>
      <c r="AN159" s="289">
        <v>0</v>
      </c>
      <c r="AO159" s="289">
        <v>0</v>
      </c>
      <c r="AP159" s="289">
        <f t="shared" si="1"/>
        <v>0</v>
      </c>
      <c r="AQ159" s="289">
        <v>-443347.1452234015</v>
      </c>
      <c r="AR159" s="289">
        <v>-9920494.613183992</v>
      </c>
      <c r="AS159" s="289">
        <v>1</v>
      </c>
      <c r="AT159" s="289">
        <v>34491</v>
      </c>
      <c r="AU159" s="289">
        <v>0</v>
      </c>
      <c r="AV159" s="289">
        <v>0</v>
      </c>
      <c r="AW159" s="289">
        <v>0</v>
      </c>
      <c r="AX159" s="289">
        <v>0</v>
      </c>
      <c r="AY159" s="289">
        <v>30.62</v>
      </c>
      <c r="AZ159" s="289">
        <v>1126.420640104507</v>
      </c>
      <c r="BA159" s="289">
        <v>33812</v>
      </c>
      <c r="BB159" s="289">
        <v>0.9803137050244991</v>
      </c>
      <c r="BC159" s="289">
        <v>0</v>
      </c>
      <c r="BD159" s="289">
        <v>0</v>
      </c>
      <c r="BE159" s="289">
        <v>33833</v>
      </c>
      <c r="BF159" s="289">
        <v>34491</v>
      </c>
      <c r="BG159" s="289">
        <v>0.019448467472585936</v>
      </c>
      <c r="BH159" s="289">
        <v>0</v>
      </c>
      <c r="BI159" s="289">
        <v>0</v>
      </c>
      <c r="BJ159" s="289">
        <v>0</v>
      </c>
      <c r="BK159" s="289">
        <v>3229190.8465695777</v>
      </c>
      <c r="BL159" s="289">
        <v>6039.34</v>
      </c>
      <c r="BM159" s="301">
        <v>12359</v>
      </c>
    </row>
    <row r="160" spans="6:65" s="289" customFormat="1" ht="12.75">
      <c r="F160" s="289">
        <v>249</v>
      </c>
      <c r="G160" s="289" t="s">
        <v>205</v>
      </c>
      <c r="H160" s="289">
        <v>687</v>
      </c>
      <c r="I160" s="289">
        <v>90</v>
      </c>
      <c r="J160" s="289">
        <v>585</v>
      </c>
      <c r="K160" s="289">
        <v>319</v>
      </c>
      <c r="L160" s="289">
        <v>7044</v>
      </c>
      <c r="M160" s="289">
        <v>1462</v>
      </c>
      <c r="N160" s="289">
        <v>914</v>
      </c>
      <c r="O160" s="289">
        <v>381</v>
      </c>
      <c r="P160" s="289">
        <v>10488</v>
      </c>
      <c r="Q160" s="289">
        <v>0</v>
      </c>
      <c r="R160" s="289">
        <v>13</v>
      </c>
      <c r="S160" s="289">
        <v>1258.03</v>
      </c>
      <c r="T160" s="289">
        <v>8.33684411341542</v>
      </c>
      <c r="U160" s="289">
        <v>0</v>
      </c>
      <c r="V160" s="289">
        <v>0</v>
      </c>
      <c r="W160" s="289">
        <v>3876</v>
      </c>
      <c r="X160" s="289">
        <v>228</v>
      </c>
      <c r="Y160" s="289">
        <v>44</v>
      </c>
      <c r="Z160" s="289">
        <v>0.9770751614437426</v>
      </c>
      <c r="AA160" s="289">
        <v>10</v>
      </c>
      <c r="AB160" s="289">
        <v>10</v>
      </c>
      <c r="AC160" s="289">
        <v>0.5736096542870411</v>
      </c>
      <c r="AD160" s="289">
        <v>677</v>
      </c>
      <c r="AE160" s="289">
        <v>75</v>
      </c>
      <c r="AF160" s="289">
        <v>26</v>
      </c>
      <c r="AG160" s="289">
        <v>1</v>
      </c>
      <c r="AH160" s="289">
        <v>779</v>
      </c>
      <c r="AI160" s="289">
        <v>1.4562993710447498</v>
      </c>
      <c r="AJ160" s="289">
        <v>4552</v>
      </c>
      <c r="AK160" s="289">
        <v>574</v>
      </c>
      <c r="AL160" s="289">
        <v>1.2876538472548549</v>
      </c>
      <c r="AM160" s="289">
        <v>1.3454167068803906</v>
      </c>
      <c r="AN160" s="289">
        <v>0</v>
      </c>
      <c r="AO160" s="289">
        <v>0</v>
      </c>
      <c r="AP160" s="289">
        <f t="shared" si="1"/>
        <v>0</v>
      </c>
      <c r="AQ160" s="289">
        <v>817469.7983167842</v>
      </c>
      <c r="AR160" s="289">
        <v>4260573.752278485</v>
      </c>
      <c r="AS160" s="289">
        <v>1</v>
      </c>
      <c r="AT160" s="289">
        <v>10488</v>
      </c>
      <c r="AU160" s="289">
        <v>0</v>
      </c>
      <c r="AV160" s="289">
        <v>0</v>
      </c>
      <c r="AW160" s="289">
        <v>0</v>
      </c>
      <c r="AX160" s="289">
        <v>0</v>
      </c>
      <c r="AY160" s="289">
        <v>1258.02</v>
      </c>
      <c r="AZ160" s="289">
        <v>8.336910382982783</v>
      </c>
      <c r="BA160" s="289">
        <v>7252</v>
      </c>
      <c r="BB160" s="289">
        <v>0.6914569031273837</v>
      </c>
      <c r="BC160" s="289">
        <v>0</v>
      </c>
      <c r="BD160" s="289">
        <v>0</v>
      </c>
      <c r="BE160" s="289">
        <v>10757</v>
      </c>
      <c r="BF160" s="289">
        <v>10488</v>
      </c>
      <c r="BG160" s="289">
        <v>-0.025006972204146136</v>
      </c>
      <c r="BH160" s="289">
        <v>0</v>
      </c>
      <c r="BI160" s="289">
        <v>0</v>
      </c>
      <c r="BJ160" s="289">
        <v>0</v>
      </c>
      <c r="BK160" s="289">
        <v>1944539.869546084</v>
      </c>
      <c r="BL160" s="289">
        <v>7033.3</v>
      </c>
      <c r="BM160" s="301">
        <v>2875</v>
      </c>
    </row>
    <row r="161" spans="6:65" s="289" customFormat="1" ht="12.75">
      <c r="F161" s="289">
        <v>250</v>
      </c>
      <c r="G161" s="289" t="s">
        <v>206</v>
      </c>
      <c r="H161" s="289">
        <v>133</v>
      </c>
      <c r="I161" s="289">
        <v>14</v>
      </c>
      <c r="J161" s="289">
        <v>118</v>
      </c>
      <c r="K161" s="289">
        <v>61</v>
      </c>
      <c r="L161" s="289">
        <v>1456</v>
      </c>
      <c r="M161" s="289">
        <v>281</v>
      </c>
      <c r="N161" s="289">
        <v>198</v>
      </c>
      <c r="O161" s="289">
        <v>79</v>
      </c>
      <c r="P161" s="289">
        <v>2147</v>
      </c>
      <c r="Q161" s="289">
        <v>0</v>
      </c>
      <c r="R161" s="289">
        <v>2</v>
      </c>
      <c r="S161" s="289">
        <v>357.1</v>
      </c>
      <c r="T161" s="289">
        <v>6.012321478577429</v>
      </c>
      <c r="U161" s="289">
        <v>0</v>
      </c>
      <c r="V161" s="289">
        <v>0</v>
      </c>
      <c r="W161" s="289">
        <v>835</v>
      </c>
      <c r="X161" s="289">
        <v>83</v>
      </c>
      <c r="Y161" s="289">
        <v>19</v>
      </c>
      <c r="Z161" s="289">
        <v>0.922453447526404</v>
      </c>
      <c r="AA161" s="289">
        <v>1</v>
      </c>
      <c r="AB161" s="289">
        <v>2</v>
      </c>
      <c r="AC161" s="289">
        <v>0.5604115560468084</v>
      </c>
      <c r="AD161" s="289">
        <v>149</v>
      </c>
      <c r="AE161" s="289">
        <v>11</v>
      </c>
      <c r="AF161" s="289">
        <v>5</v>
      </c>
      <c r="AG161" s="289">
        <v>0</v>
      </c>
      <c r="AH161" s="289">
        <v>165</v>
      </c>
      <c r="AI161" s="289">
        <v>1.5068075330836654</v>
      </c>
      <c r="AJ161" s="289">
        <v>953</v>
      </c>
      <c r="AK161" s="289">
        <v>73</v>
      </c>
      <c r="AL161" s="289">
        <v>0.7822029513025056</v>
      </c>
      <c r="AM161" s="289">
        <v>1.2234033598085499</v>
      </c>
      <c r="AN161" s="289">
        <v>0</v>
      </c>
      <c r="AO161" s="289">
        <v>0</v>
      </c>
      <c r="AP161" s="289">
        <f t="shared" si="1"/>
        <v>0</v>
      </c>
      <c r="AQ161" s="289">
        <v>82427.22236314509</v>
      </c>
      <c r="AR161" s="289">
        <v>1863268.4950000006</v>
      </c>
      <c r="AS161" s="289">
        <v>0</v>
      </c>
      <c r="AT161" s="289">
        <v>2147</v>
      </c>
      <c r="AU161" s="289">
        <v>0</v>
      </c>
      <c r="AV161" s="289">
        <v>0</v>
      </c>
      <c r="AW161" s="289">
        <v>0</v>
      </c>
      <c r="AX161" s="289">
        <v>0.45276666666666665</v>
      </c>
      <c r="AY161" s="289">
        <v>357.11</v>
      </c>
      <c r="AZ161" s="289">
        <v>6.0121531180868635</v>
      </c>
      <c r="BA161" s="289">
        <v>734</v>
      </c>
      <c r="BB161" s="289">
        <v>0.34187238006520726</v>
      </c>
      <c r="BC161" s="289">
        <v>0</v>
      </c>
      <c r="BD161" s="289">
        <v>0</v>
      </c>
      <c r="BE161" s="289">
        <v>2257</v>
      </c>
      <c r="BF161" s="289">
        <v>2147</v>
      </c>
      <c r="BG161" s="289">
        <v>-0.04873726185201595</v>
      </c>
      <c r="BH161" s="289">
        <v>0</v>
      </c>
      <c r="BI161" s="289">
        <v>0</v>
      </c>
      <c r="BJ161" s="289">
        <v>0</v>
      </c>
      <c r="BK161" s="289">
        <v>502696.33569098916</v>
      </c>
      <c r="BL161" s="289">
        <v>7256.08</v>
      </c>
      <c r="BM161" s="301">
        <v>581</v>
      </c>
    </row>
    <row r="162" spans="6:65" s="289" customFormat="1" ht="12.75">
      <c r="F162" s="289">
        <v>256</v>
      </c>
      <c r="G162" s="289" t="s">
        <v>207</v>
      </c>
      <c r="H162" s="289">
        <v>132</v>
      </c>
      <c r="I162" s="289">
        <v>17</v>
      </c>
      <c r="J162" s="289">
        <v>119</v>
      </c>
      <c r="K162" s="289">
        <v>72</v>
      </c>
      <c r="L162" s="289">
        <v>1188</v>
      </c>
      <c r="M162" s="289">
        <v>233</v>
      </c>
      <c r="N162" s="289">
        <v>162</v>
      </c>
      <c r="O162" s="289">
        <v>49</v>
      </c>
      <c r="P162" s="289">
        <v>1764</v>
      </c>
      <c r="Q162" s="289">
        <v>0</v>
      </c>
      <c r="R162" s="289">
        <v>0</v>
      </c>
      <c r="S162" s="289">
        <v>460.24</v>
      </c>
      <c r="T162" s="289">
        <v>3.83278289588041</v>
      </c>
      <c r="U162" s="289">
        <v>0</v>
      </c>
      <c r="V162" s="289">
        <v>0</v>
      </c>
      <c r="W162" s="289">
        <v>614</v>
      </c>
      <c r="X162" s="289">
        <v>133</v>
      </c>
      <c r="Y162" s="289">
        <v>19</v>
      </c>
      <c r="Z162" s="289">
        <v>0.7906796540304689</v>
      </c>
      <c r="AA162" s="289">
        <v>4</v>
      </c>
      <c r="AB162" s="289">
        <v>2</v>
      </c>
      <c r="AC162" s="289">
        <v>0.6820882147576517</v>
      </c>
      <c r="AD162" s="289">
        <v>126</v>
      </c>
      <c r="AE162" s="289">
        <v>12</v>
      </c>
      <c r="AF162" s="289">
        <v>2</v>
      </c>
      <c r="AG162" s="289">
        <v>0</v>
      </c>
      <c r="AH162" s="289">
        <v>140</v>
      </c>
      <c r="AI162" s="289">
        <v>1.556092243160476</v>
      </c>
      <c r="AJ162" s="289">
        <v>741</v>
      </c>
      <c r="AK162" s="289">
        <v>103</v>
      </c>
      <c r="AL162" s="289">
        <v>1.4194121142643716</v>
      </c>
      <c r="AM162" s="289">
        <v>1.7845962298977418</v>
      </c>
      <c r="AN162" s="289">
        <v>0.0800000000000001</v>
      </c>
      <c r="AO162" s="289">
        <v>0</v>
      </c>
      <c r="AP162" s="289">
        <f t="shared" si="1"/>
        <v>0.0800000000000001</v>
      </c>
      <c r="AQ162" s="289">
        <v>7985.68745491188</v>
      </c>
      <c r="AR162" s="289">
        <v>1953787.642</v>
      </c>
      <c r="AS162" s="289">
        <v>1</v>
      </c>
      <c r="AT162" s="289">
        <v>1764</v>
      </c>
      <c r="AU162" s="289">
        <v>0</v>
      </c>
      <c r="AV162" s="289">
        <v>0</v>
      </c>
      <c r="AW162" s="289">
        <v>0</v>
      </c>
      <c r="AX162" s="289">
        <v>1.2447166666666667</v>
      </c>
      <c r="AY162" s="289">
        <v>460.23</v>
      </c>
      <c r="AZ162" s="289">
        <v>3.832866175607848</v>
      </c>
      <c r="BA162" s="289">
        <v>878</v>
      </c>
      <c r="BB162" s="289">
        <v>0.4977324263038549</v>
      </c>
      <c r="BC162" s="289">
        <v>0</v>
      </c>
      <c r="BD162" s="289">
        <v>0</v>
      </c>
      <c r="BE162" s="289">
        <v>1820</v>
      </c>
      <c r="BF162" s="289">
        <v>1764</v>
      </c>
      <c r="BG162" s="289">
        <v>-0.03076923076923077</v>
      </c>
      <c r="BH162" s="289">
        <v>0</v>
      </c>
      <c r="BI162" s="289">
        <v>0</v>
      </c>
      <c r="BJ162" s="289">
        <v>0</v>
      </c>
      <c r="BK162" s="289">
        <v>522731.8455423922</v>
      </c>
      <c r="BL162" s="289">
        <v>7585.83</v>
      </c>
      <c r="BM162" s="301">
        <v>570</v>
      </c>
    </row>
    <row r="163" spans="6:65" s="289" customFormat="1" ht="12.75">
      <c r="F163" s="289">
        <v>257</v>
      </c>
      <c r="G163" s="289" t="s">
        <v>208</v>
      </c>
      <c r="H163" s="289">
        <v>3954</v>
      </c>
      <c r="I163" s="289">
        <v>614</v>
      </c>
      <c r="J163" s="289">
        <v>3450</v>
      </c>
      <c r="K163" s="289">
        <v>1599</v>
      </c>
      <c r="L163" s="289">
        <v>29014</v>
      </c>
      <c r="M163" s="289">
        <v>3047</v>
      </c>
      <c r="N163" s="289">
        <v>1219</v>
      </c>
      <c r="O163" s="289">
        <v>333</v>
      </c>
      <c r="P163" s="289">
        <v>37567</v>
      </c>
      <c r="Q163" s="289">
        <v>1006</v>
      </c>
      <c r="R163" s="289">
        <v>204</v>
      </c>
      <c r="S163" s="289">
        <v>366.15</v>
      </c>
      <c r="T163" s="289">
        <v>102.60002731121126</v>
      </c>
      <c r="U163" s="289">
        <v>0</v>
      </c>
      <c r="V163" s="289">
        <v>1</v>
      </c>
      <c r="W163" s="289">
        <v>18073</v>
      </c>
      <c r="X163" s="289">
        <v>165</v>
      </c>
      <c r="Y163" s="289">
        <v>219</v>
      </c>
      <c r="Z163" s="289">
        <v>1.0284898083708385</v>
      </c>
      <c r="AA163" s="289">
        <v>62</v>
      </c>
      <c r="AB163" s="289">
        <v>62</v>
      </c>
      <c r="AC163" s="289">
        <v>0.9928743827243971</v>
      </c>
      <c r="AD163" s="289">
        <v>720</v>
      </c>
      <c r="AE163" s="289">
        <v>258</v>
      </c>
      <c r="AF163" s="289">
        <v>49</v>
      </c>
      <c r="AG163" s="289">
        <v>5</v>
      </c>
      <c r="AH163" s="289">
        <v>1032</v>
      </c>
      <c r="AI163" s="289">
        <v>0.5386157706568079</v>
      </c>
      <c r="AJ163" s="289">
        <v>19044</v>
      </c>
      <c r="AK163" s="289">
        <v>1112</v>
      </c>
      <c r="AL163" s="289">
        <v>0.5962605896090036</v>
      </c>
      <c r="AM163" s="289">
        <v>0.5847625837029456</v>
      </c>
      <c r="AN163" s="289">
        <v>0</v>
      </c>
      <c r="AO163" s="289">
        <v>0</v>
      </c>
      <c r="AP163" s="289">
        <f t="shared" si="1"/>
        <v>0</v>
      </c>
      <c r="AQ163" s="289">
        <v>-115756.35312727839</v>
      </c>
      <c r="AR163" s="289">
        <v>-15112178.383638157</v>
      </c>
      <c r="AS163" s="289">
        <v>1</v>
      </c>
      <c r="AT163" s="289">
        <v>37567</v>
      </c>
      <c r="AU163" s="289">
        <v>0</v>
      </c>
      <c r="AV163" s="289">
        <v>0</v>
      </c>
      <c r="AW163" s="289">
        <v>0</v>
      </c>
      <c r="AX163" s="289">
        <v>0</v>
      </c>
      <c r="AY163" s="289">
        <v>366.16</v>
      </c>
      <c r="AZ163" s="289">
        <v>102.59722525671837</v>
      </c>
      <c r="BA163" s="289">
        <v>32469</v>
      </c>
      <c r="BB163" s="289">
        <v>0.8642957915191525</v>
      </c>
      <c r="BC163" s="289">
        <v>1</v>
      </c>
      <c r="BD163" s="289">
        <v>0</v>
      </c>
      <c r="BE163" s="289">
        <v>36509</v>
      </c>
      <c r="BF163" s="289">
        <v>37567</v>
      </c>
      <c r="BG163" s="289">
        <v>0.028979155824591197</v>
      </c>
      <c r="BH163" s="289">
        <v>0</v>
      </c>
      <c r="BI163" s="289">
        <v>5</v>
      </c>
      <c r="BJ163" s="289">
        <v>0.00013309553597572337</v>
      </c>
      <c r="BK163" s="289">
        <v>3856976.161340502</v>
      </c>
      <c r="BL163" s="289">
        <v>6407.98</v>
      </c>
      <c r="BM163" s="301">
        <v>13650</v>
      </c>
    </row>
    <row r="164" spans="6:65" s="289" customFormat="1" ht="12.75">
      <c r="F164" s="289">
        <v>260</v>
      </c>
      <c r="G164" s="289" t="s">
        <v>209</v>
      </c>
      <c r="H164" s="289">
        <v>605</v>
      </c>
      <c r="I164" s="289">
        <v>93</v>
      </c>
      <c r="J164" s="289">
        <v>613</v>
      </c>
      <c r="K164" s="289">
        <v>348</v>
      </c>
      <c r="L164" s="289">
        <v>7686</v>
      </c>
      <c r="M164" s="289">
        <v>1601</v>
      </c>
      <c r="N164" s="289">
        <v>1070</v>
      </c>
      <c r="O164" s="289">
        <v>379</v>
      </c>
      <c r="P164" s="289">
        <v>11341</v>
      </c>
      <c r="Q164" s="289">
        <v>0</v>
      </c>
      <c r="R164" s="289">
        <v>30</v>
      </c>
      <c r="S164" s="289">
        <v>1253.5900000000001</v>
      </c>
      <c r="T164" s="289">
        <v>9.046817540025048</v>
      </c>
      <c r="U164" s="289">
        <v>1</v>
      </c>
      <c r="V164" s="289">
        <v>0</v>
      </c>
      <c r="W164" s="289">
        <v>4123</v>
      </c>
      <c r="X164" s="289">
        <v>550</v>
      </c>
      <c r="Y164" s="289">
        <v>76</v>
      </c>
      <c r="Z164" s="289">
        <v>0.8912699346757939</v>
      </c>
      <c r="AA164" s="289">
        <v>8</v>
      </c>
      <c r="AB164" s="289">
        <v>8</v>
      </c>
      <c r="AC164" s="289">
        <v>0.4243730220730086</v>
      </c>
      <c r="AD164" s="289">
        <v>857</v>
      </c>
      <c r="AE164" s="289">
        <v>39</v>
      </c>
      <c r="AF164" s="289">
        <v>10</v>
      </c>
      <c r="AG164" s="289">
        <v>7</v>
      </c>
      <c r="AH164" s="289">
        <v>913</v>
      </c>
      <c r="AI164" s="289">
        <v>1.5784299397645256</v>
      </c>
      <c r="AJ164" s="289">
        <v>4948</v>
      </c>
      <c r="AK164" s="289">
        <v>697</v>
      </c>
      <c r="AL164" s="289">
        <v>1.4384427375558622</v>
      </c>
      <c r="AM164" s="289">
        <v>1.4884445142973348</v>
      </c>
      <c r="AN164" s="289">
        <v>0.05</v>
      </c>
      <c r="AO164" s="289">
        <v>0</v>
      </c>
      <c r="AP164" s="289">
        <f t="shared" si="1"/>
        <v>0.05</v>
      </c>
      <c r="AQ164" s="289">
        <v>-56715.47882780805</v>
      </c>
      <c r="AR164" s="289">
        <v>8030460.508047315</v>
      </c>
      <c r="AS164" s="289">
        <v>1</v>
      </c>
      <c r="AT164" s="289">
        <v>11341</v>
      </c>
      <c r="AU164" s="289">
        <v>1</v>
      </c>
      <c r="AV164" s="289">
        <v>450</v>
      </c>
      <c r="AW164" s="289">
        <v>0.039679040648972756</v>
      </c>
      <c r="AX164" s="289">
        <v>0.5443666666666667</v>
      </c>
      <c r="AY164" s="289">
        <v>1253.58</v>
      </c>
      <c r="AZ164" s="289">
        <v>9.046889707876641</v>
      </c>
      <c r="BA164" s="289">
        <v>6147</v>
      </c>
      <c r="BB164" s="289">
        <v>0.5420156952649678</v>
      </c>
      <c r="BC164" s="289">
        <v>0</v>
      </c>
      <c r="BD164" s="289">
        <v>0</v>
      </c>
      <c r="BE164" s="289">
        <v>11861</v>
      </c>
      <c r="BF164" s="289">
        <v>11341</v>
      </c>
      <c r="BG164" s="289">
        <v>-0.04384116010454431</v>
      </c>
      <c r="BH164" s="289">
        <v>0</v>
      </c>
      <c r="BI164" s="289">
        <v>2</v>
      </c>
      <c r="BJ164" s="289">
        <v>0.00017635129177321225</v>
      </c>
      <c r="BK164" s="289">
        <v>3062688.8431248683</v>
      </c>
      <c r="BL164" s="289">
        <v>6997.02</v>
      </c>
      <c r="BM164" s="301">
        <v>2408</v>
      </c>
    </row>
    <row r="165" spans="6:65" s="289" customFormat="1" ht="12.75">
      <c r="F165" s="289">
        <v>261</v>
      </c>
      <c r="G165" s="289" t="s">
        <v>210</v>
      </c>
      <c r="H165" s="289">
        <v>467</v>
      </c>
      <c r="I165" s="289">
        <v>76</v>
      </c>
      <c r="J165" s="289">
        <v>396</v>
      </c>
      <c r="K165" s="289">
        <v>206</v>
      </c>
      <c r="L165" s="289">
        <v>4742</v>
      </c>
      <c r="M165" s="289">
        <v>599</v>
      </c>
      <c r="N165" s="289">
        <v>447</v>
      </c>
      <c r="O165" s="289">
        <v>133</v>
      </c>
      <c r="P165" s="289">
        <v>6388</v>
      </c>
      <c r="Q165" s="289">
        <v>3</v>
      </c>
      <c r="R165" s="289">
        <v>10</v>
      </c>
      <c r="S165" s="289">
        <v>8094.330000000001</v>
      </c>
      <c r="T165" s="289">
        <v>0.7891944113966195</v>
      </c>
      <c r="U165" s="289">
        <v>0</v>
      </c>
      <c r="V165" s="289">
        <v>0</v>
      </c>
      <c r="W165" s="289">
        <v>2849</v>
      </c>
      <c r="X165" s="289">
        <v>182</v>
      </c>
      <c r="Y165" s="289">
        <v>45</v>
      </c>
      <c r="Z165" s="289">
        <v>0.9670906784797917</v>
      </c>
      <c r="AA165" s="289">
        <v>5</v>
      </c>
      <c r="AB165" s="289">
        <v>5</v>
      </c>
      <c r="AC165" s="289">
        <v>0.47088431857877955</v>
      </c>
      <c r="AD165" s="289">
        <v>361</v>
      </c>
      <c r="AE165" s="289">
        <v>36</v>
      </c>
      <c r="AF165" s="289">
        <v>5</v>
      </c>
      <c r="AG165" s="289">
        <v>3</v>
      </c>
      <c r="AH165" s="289">
        <v>405</v>
      </c>
      <c r="AI165" s="289">
        <v>1.243071182975565</v>
      </c>
      <c r="AJ165" s="289">
        <v>3083</v>
      </c>
      <c r="AK165" s="289">
        <v>345</v>
      </c>
      <c r="AL165" s="289">
        <v>1.1427074560181743</v>
      </c>
      <c r="AM165" s="289">
        <v>0.9132373739832663</v>
      </c>
      <c r="AN165" s="289">
        <v>0.17</v>
      </c>
      <c r="AO165" s="289">
        <v>0</v>
      </c>
      <c r="AP165" s="289">
        <f t="shared" si="1"/>
        <v>0.17</v>
      </c>
      <c r="AQ165" s="289">
        <v>194464.53024873324</v>
      </c>
      <c r="AR165" s="289">
        <v>1794489.2992105284</v>
      </c>
      <c r="AS165" s="289">
        <v>1</v>
      </c>
      <c r="AT165" s="289">
        <v>6388</v>
      </c>
      <c r="AU165" s="289">
        <v>0</v>
      </c>
      <c r="AV165" s="289">
        <v>0</v>
      </c>
      <c r="AW165" s="289">
        <v>0</v>
      </c>
      <c r="AX165" s="289">
        <v>1.5721666666666667</v>
      </c>
      <c r="AY165" s="289">
        <v>8094.08</v>
      </c>
      <c r="AZ165" s="289">
        <v>0.7892187870641258</v>
      </c>
      <c r="BA165" s="289">
        <v>3603</v>
      </c>
      <c r="BB165" s="289">
        <v>0.5640262993112085</v>
      </c>
      <c r="BC165" s="289">
        <v>0</v>
      </c>
      <c r="BD165" s="289">
        <v>0</v>
      </c>
      <c r="BE165" s="289">
        <v>6115</v>
      </c>
      <c r="BF165" s="289">
        <v>6388</v>
      </c>
      <c r="BG165" s="289">
        <v>0.0446443172526574</v>
      </c>
      <c r="BH165" s="289">
        <v>0</v>
      </c>
      <c r="BI165" s="289">
        <v>9</v>
      </c>
      <c r="BJ165" s="289">
        <v>0.001408891671884784</v>
      </c>
      <c r="BK165" s="289">
        <v>1274140.1468576102</v>
      </c>
      <c r="BL165" s="289">
        <v>9125.88</v>
      </c>
      <c r="BM165" s="301">
        <v>1949</v>
      </c>
    </row>
    <row r="166" spans="6:65" s="289" customFormat="1" ht="12.75">
      <c r="F166" s="289">
        <v>263</v>
      </c>
      <c r="G166" s="289" t="s">
        <v>211</v>
      </c>
      <c r="H166" s="289">
        <v>604</v>
      </c>
      <c r="I166" s="289">
        <v>91</v>
      </c>
      <c r="J166" s="289">
        <v>555</v>
      </c>
      <c r="K166" s="289">
        <v>308</v>
      </c>
      <c r="L166" s="289">
        <v>6114</v>
      </c>
      <c r="M166" s="289">
        <v>1093</v>
      </c>
      <c r="N166" s="289">
        <v>808</v>
      </c>
      <c r="O166" s="289">
        <v>370</v>
      </c>
      <c r="P166" s="289">
        <v>8989</v>
      </c>
      <c r="Q166" s="289">
        <v>0</v>
      </c>
      <c r="R166" s="289">
        <v>4</v>
      </c>
      <c r="S166" s="289">
        <v>1328.14</v>
      </c>
      <c r="T166" s="289">
        <v>6.768111795443251</v>
      </c>
      <c r="U166" s="289">
        <v>0</v>
      </c>
      <c r="V166" s="289">
        <v>0</v>
      </c>
      <c r="W166" s="289">
        <v>3200</v>
      </c>
      <c r="X166" s="289">
        <v>738</v>
      </c>
      <c r="Y166" s="289">
        <v>68</v>
      </c>
      <c r="Z166" s="289">
        <v>0.7861422310158622</v>
      </c>
      <c r="AA166" s="289">
        <v>7</v>
      </c>
      <c r="AB166" s="289">
        <v>7</v>
      </c>
      <c r="AC166" s="289">
        <v>0.4684851082338126</v>
      </c>
      <c r="AD166" s="289">
        <v>696</v>
      </c>
      <c r="AE166" s="289">
        <v>56</v>
      </c>
      <c r="AF166" s="289">
        <v>10</v>
      </c>
      <c r="AG166" s="289">
        <v>5</v>
      </c>
      <c r="AH166" s="289">
        <v>767</v>
      </c>
      <c r="AI166" s="289">
        <v>1.6729765998833543</v>
      </c>
      <c r="AJ166" s="289">
        <v>3705</v>
      </c>
      <c r="AK166" s="289">
        <v>430</v>
      </c>
      <c r="AL166" s="289">
        <v>1.1851402119100578</v>
      </c>
      <c r="AM166" s="289">
        <v>1.7438672537099373</v>
      </c>
      <c r="AN166" s="289">
        <v>0</v>
      </c>
      <c r="AO166" s="289">
        <v>0</v>
      </c>
      <c r="AP166" s="289">
        <f t="shared" si="1"/>
        <v>0</v>
      </c>
      <c r="AQ166" s="289">
        <v>168045.4978406094</v>
      </c>
      <c r="AR166" s="289">
        <v>7662338.13113924</v>
      </c>
      <c r="AS166" s="289">
        <v>1</v>
      </c>
      <c r="AT166" s="289">
        <v>8989</v>
      </c>
      <c r="AU166" s="289">
        <v>0</v>
      </c>
      <c r="AV166" s="289">
        <v>0</v>
      </c>
      <c r="AW166" s="289">
        <v>0</v>
      </c>
      <c r="AX166" s="289">
        <v>0.22366666666666668</v>
      </c>
      <c r="AY166" s="289">
        <v>1328.15</v>
      </c>
      <c r="AZ166" s="289">
        <v>6.768060836501901</v>
      </c>
      <c r="BA166" s="289">
        <v>4489</v>
      </c>
      <c r="BB166" s="289">
        <v>0.49938814106129714</v>
      </c>
      <c r="BC166" s="289">
        <v>0</v>
      </c>
      <c r="BD166" s="289">
        <v>0</v>
      </c>
      <c r="BE166" s="289">
        <v>9318</v>
      </c>
      <c r="BF166" s="289">
        <v>8989</v>
      </c>
      <c r="BG166" s="289">
        <v>-0.03530800600987336</v>
      </c>
      <c r="BH166" s="289">
        <v>0</v>
      </c>
      <c r="BI166" s="289">
        <v>0</v>
      </c>
      <c r="BJ166" s="289">
        <v>0</v>
      </c>
      <c r="BK166" s="289">
        <v>2221660.496811812</v>
      </c>
      <c r="BL166" s="289">
        <v>7163.32</v>
      </c>
      <c r="BM166" s="301">
        <v>2694</v>
      </c>
    </row>
    <row r="167" spans="6:65" s="289" customFormat="1" ht="12.75">
      <c r="F167" s="289">
        <v>265</v>
      </c>
      <c r="G167" s="289" t="s">
        <v>212</v>
      </c>
      <c r="H167" s="289">
        <v>83</v>
      </c>
      <c r="I167" s="289">
        <v>14</v>
      </c>
      <c r="J167" s="289">
        <v>66</v>
      </c>
      <c r="K167" s="289">
        <v>43</v>
      </c>
      <c r="L167" s="289">
        <v>808</v>
      </c>
      <c r="M167" s="289">
        <v>225</v>
      </c>
      <c r="N167" s="289">
        <v>139</v>
      </c>
      <c r="O167" s="289">
        <v>48</v>
      </c>
      <c r="P167" s="289">
        <v>1303</v>
      </c>
      <c r="Q167" s="289">
        <v>0</v>
      </c>
      <c r="R167" s="289">
        <v>1</v>
      </c>
      <c r="S167" s="289">
        <v>483.95</v>
      </c>
      <c r="T167" s="289">
        <v>2.6924269036057447</v>
      </c>
      <c r="U167" s="289">
        <v>1</v>
      </c>
      <c r="V167" s="289">
        <v>0</v>
      </c>
      <c r="W167" s="289">
        <v>389</v>
      </c>
      <c r="X167" s="289">
        <v>81</v>
      </c>
      <c r="Y167" s="289">
        <v>7</v>
      </c>
      <c r="Z167" s="289">
        <v>0.813099798461963</v>
      </c>
      <c r="AA167" s="289">
        <v>7</v>
      </c>
      <c r="AB167" s="289">
        <v>7</v>
      </c>
      <c r="AC167" s="289">
        <v>3.231936022957591</v>
      </c>
      <c r="AD167" s="289">
        <v>109</v>
      </c>
      <c r="AE167" s="289">
        <v>9</v>
      </c>
      <c r="AF167" s="289">
        <v>3</v>
      </c>
      <c r="AG167" s="289">
        <v>0</v>
      </c>
      <c r="AH167" s="289">
        <v>121</v>
      </c>
      <c r="AI167" s="289">
        <v>1.8207354059266783</v>
      </c>
      <c r="AJ167" s="289">
        <v>444</v>
      </c>
      <c r="AK167" s="289">
        <v>58</v>
      </c>
      <c r="AL167" s="289">
        <v>1.33393452827023</v>
      </c>
      <c r="AM167" s="289">
        <v>2.221041313616438</v>
      </c>
      <c r="AN167" s="289">
        <v>0.0800000000000001</v>
      </c>
      <c r="AO167" s="289">
        <v>0</v>
      </c>
      <c r="AP167" s="289">
        <f t="shared" si="1"/>
        <v>0.0800000000000001</v>
      </c>
      <c r="AQ167" s="289">
        <v>8762.558215379715</v>
      </c>
      <c r="AR167" s="289">
        <v>1406630.6651250008</v>
      </c>
      <c r="AS167" s="289">
        <v>1</v>
      </c>
      <c r="AT167" s="289">
        <v>1303</v>
      </c>
      <c r="AU167" s="289">
        <v>1</v>
      </c>
      <c r="AV167" s="289">
        <v>112</v>
      </c>
      <c r="AW167" s="289">
        <v>0.08595548733691481</v>
      </c>
      <c r="AX167" s="289">
        <v>1.1136333333333335</v>
      </c>
      <c r="AY167" s="289">
        <v>483.94</v>
      </c>
      <c r="AZ167" s="289">
        <v>2.692482539157747</v>
      </c>
      <c r="BA167" s="289">
        <v>665</v>
      </c>
      <c r="BB167" s="289">
        <v>0.5103607060629317</v>
      </c>
      <c r="BC167" s="289">
        <v>0</v>
      </c>
      <c r="BD167" s="289">
        <v>0</v>
      </c>
      <c r="BE167" s="289">
        <v>1365</v>
      </c>
      <c r="BF167" s="289">
        <v>1303</v>
      </c>
      <c r="BG167" s="289">
        <v>-0.04542124542124542</v>
      </c>
      <c r="BH167" s="289">
        <v>0</v>
      </c>
      <c r="BI167" s="289">
        <v>0</v>
      </c>
      <c r="BJ167" s="289">
        <v>0</v>
      </c>
      <c r="BK167" s="289">
        <v>353378.95138562546</v>
      </c>
      <c r="BL167" s="289">
        <v>8099.54</v>
      </c>
      <c r="BM167" s="301">
        <v>379</v>
      </c>
    </row>
    <row r="168" spans="6:65" s="289" customFormat="1" ht="12.75">
      <c r="F168" s="289">
        <v>271</v>
      </c>
      <c r="G168" s="289" t="s">
        <v>213</v>
      </c>
      <c r="H168" s="289">
        <v>480</v>
      </c>
      <c r="I168" s="289">
        <v>81</v>
      </c>
      <c r="J168" s="289">
        <v>462</v>
      </c>
      <c r="K168" s="289">
        <v>240</v>
      </c>
      <c r="L168" s="289">
        <v>5400</v>
      </c>
      <c r="M168" s="289">
        <v>1077</v>
      </c>
      <c r="N168" s="289">
        <v>646</v>
      </c>
      <c r="O168" s="289">
        <v>290</v>
      </c>
      <c r="P168" s="289">
        <v>7893</v>
      </c>
      <c r="Q168" s="289">
        <v>1</v>
      </c>
      <c r="R168" s="289">
        <v>17</v>
      </c>
      <c r="S168" s="289">
        <v>481.21999999999997</v>
      </c>
      <c r="T168" s="289">
        <v>16.402061427205854</v>
      </c>
      <c r="U168" s="289">
        <v>0</v>
      </c>
      <c r="V168" s="289">
        <v>0</v>
      </c>
      <c r="W168" s="289">
        <v>3143</v>
      </c>
      <c r="X168" s="289">
        <v>257</v>
      </c>
      <c r="Y168" s="289">
        <v>45</v>
      </c>
      <c r="Z168" s="289">
        <v>0.9498473422142969</v>
      </c>
      <c r="AA168" s="289">
        <v>14</v>
      </c>
      <c r="AB168" s="289">
        <v>14</v>
      </c>
      <c r="AC168" s="289">
        <v>1.0670752915022783</v>
      </c>
      <c r="AD168" s="289">
        <v>478</v>
      </c>
      <c r="AE168" s="289">
        <v>58</v>
      </c>
      <c r="AF168" s="289">
        <v>22</v>
      </c>
      <c r="AG168" s="289">
        <v>7</v>
      </c>
      <c r="AH168" s="289">
        <v>565</v>
      </c>
      <c r="AI168" s="289">
        <v>1.4034993892131546</v>
      </c>
      <c r="AJ168" s="289">
        <v>3537</v>
      </c>
      <c r="AK168" s="289">
        <v>369</v>
      </c>
      <c r="AL168" s="289">
        <v>1.0653217580341874</v>
      </c>
      <c r="AM168" s="289">
        <v>1.1661915771254683</v>
      </c>
      <c r="AN168" s="289">
        <v>0</v>
      </c>
      <c r="AO168" s="289">
        <v>0</v>
      </c>
      <c r="AP168" s="289">
        <f t="shared" si="1"/>
        <v>0</v>
      </c>
      <c r="AQ168" s="289">
        <v>-17435.946478638798</v>
      </c>
      <c r="AR168" s="289">
        <v>3080509.474303799</v>
      </c>
      <c r="AS168" s="289">
        <v>1</v>
      </c>
      <c r="AT168" s="289">
        <v>7893</v>
      </c>
      <c r="AU168" s="289">
        <v>0</v>
      </c>
      <c r="AV168" s="289">
        <v>0</v>
      </c>
      <c r="AW168" s="289">
        <v>0</v>
      </c>
      <c r="AX168" s="289">
        <v>0</v>
      </c>
      <c r="AY168" s="289">
        <v>481.23</v>
      </c>
      <c r="AZ168" s="289">
        <v>16.401720590985597</v>
      </c>
      <c r="BA168" s="289">
        <v>4625</v>
      </c>
      <c r="BB168" s="289">
        <v>0.5859622450272394</v>
      </c>
      <c r="BC168" s="289">
        <v>0</v>
      </c>
      <c r="BD168" s="289">
        <v>0</v>
      </c>
      <c r="BE168" s="289">
        <v>8080</v>
      </c>
      <c r="BF168" s="289">
        <v>7893</v>
      </c>
      <c r="BG168" s="289">
        <v>-0.023143564356435643</v>
      </c>
      <c r="BH168" s="289">
        <v>0</v>
      </c>
      <c r="BI168" s="289">
        <v>0</v>
      </c>
      <c r="BJ168" s="289">
        <v>0</v>
      </c>
      <c r="BK168" s="289">
        <v>1605479.1936541316</v>
      </c>
      <c r="BL168" s="289">
        <v>6581.83</v>
      </c>
      <c r="BM168" s="301">
        <v>2225</v>
      </c>
    </row>
    <row r="169" spans="6:65" s="289" customFormat="1" ht="12.75">
      <c r="F169" s="289">
        <v>272</v>
      </c>
      <c r="G169" s="289" t="s">
        <v>214</v>
      </c>
      <c r="H169" s="289">
        <v>4277</v>
      </c>
      <c r="I169" s="289">
        <v>591</v>
      </c>
      <c r="J169" s="289">
        <v>3380</v>
      </c>
      <c r="K169" s="289">
        <v>1660</v>
      </c>
      <c r="L169" s="289">
        <v>33863</v>
      </c>
      <c r="M169" s="289">
        <v>4864</v>
      </c>
      <c r="N169" s="289">
        <v>2731</v>
      </c>
      <c r="O169" s="289">
        <v>1038</v>
      </c>
      <c r="P169" s="289">
        <v>46773</v>
      </c>
      <c r="Q169" s="289">
        <v>779</v>
      </c>
      <c r="R169" s="289">
        <v>137</v>
      </c>
      <c r="S169" s="289">
        <v>1444.19</v>
      </c>
      <c r="T169" s="289">
        <v>32.38701278917594</v>
      </c>
      <c r="U169" s="289">
        <v>0</v>
      </c>
      <c r="V169" s="289">
        <v>1</v>
      </c>
      <c r="W169" s="289">
        <v>19682</v>
      </c>
      <c r="X169" s="289">
        <v>860</v>
      </c>
      <c r="Y169" s="289">
        <v>209</v>
      </c>
      <c r="Z169" s="289">
        <v>0.9937430607578286</v>
      </c>
      <c r="AA169" s="289">
        <v>79</v>
      </c>
      <c r="AB169" s="289">
        <v>79</v>
      </c>
      <c r="AC169" s="289">
        <v>1.0161106327984875</v>
      </c>
      <c r="AD169" s="289">
        <v>2431</v>
      </c>
      <c r="AE169" s="289">
        <v>428</v>
      </c>
      <c r="AF169" s="289">
        <v>123</v>
      </c>
      <c r="AG169" s="289">
        <v>3</v>
      </c>
      <c r="AH169" s="289">
        <v>2985</v>
      </c>
      <c r="AI169" s="289">
        <v>1.2512814093068365</v>
      </c>
      <c r="AJ169" s="289">
        <v>21435</v>
      </c>
      <c r="AK169" s="289">
        <v>1872</v>
      </c>
      <c r="AL169" s="289">
        <v>0.8918089926991067</v>
      </c>
      <c r="AM169" s="289">
        <v>1.0683792688305471</v>
      </c>
      <c r="AN169" s="289">
        <v>0</v>
      </c>
      <c r="AO169" s="289">
        <v>0</v>
      </c>
      <c r="AP169" s="289">
        <f t="shared" si="1"/>
        <v>0</v>
      </c>
      <c r="AQ169" s="289">
        <v>193897.22869046032</v>
      </c>
      <c r="AR169" s="289">
        <v>-43393.427224042454</v>
      </c>
      <c r="AS169" s="289">
        <v>1</v>
      </c>
      <c r="AT169" s="289">
        <v>46773</v>
      </c>
      <c r="AU169" s="289">
        <v>0</v>
      </c>
      <c r="AV169" s="289">
        <v>0</v>
      </c>
      <c r="AW169" s="289">
        <v>0</v>
      </c>
      <c r="AX169" s="289">
        <v>0</v>
      </c>
      <c r="AY169" s="289">
        <v>1444.2</v>
      </c>
      <c r="AZ169" s="289">
        <v>32.38678853344412</v>
      </c>
      <c r="BA169" s="289">
        <v>40490</v>
      </c>
      <c r="BB169" s="289">
        <v>0.8656703653817374</v>
      </c>
      <c r="BC169" s="289">
        <v>1</v>
      </c>
      <c r="BD169" s="289">
        <v>0</v>
      </c>
      <c r="BE169" s="289">
        <v>45896</v>
      </c>
      <c r="BF169" s="289">
        <v>46773</v>
      </c>
      <c r="BG169" s="289">
        <v>0.019108419034338506</v>
      </c>
      <c r="BH169" s="289">
        <v>0</v>
      </c>
      <c r="BI169" s="289">
        <v>0</v>
      </c>
      <c r="BJ169" s="289">
        <v>0</v>
      </c>
      <c r="BK169" s="289">
        <v>8977113.787241358</v>
      </c>
      <c r="BL169" s="289">
        <v>6505.64</v>
      </c>
      <c r="BM169" s="301">
        <v>17033</v>
      </c>
    </row>
    <row r="170" spans="6:65" s="289" customFormat="1" ht="12.75">
      <c r="F170" s="289">
        <v>273</v>
      </c>
      <c r="G170" s="289" t="s">
        <v>215</v>
      </c>
      <c r="H170" s="289">
        <v>257</v>
      </c>
      <c r="I170" s="289">
        <v>34</v>
      </c>
      <c r="J170" s="289">
        <v>180</v>
      </c>
      <c r="K170" s="289">
        <v>86</v>
      </c>
      <c r="L170" s="289">
        <v>2737</v>
      </c>
      <c r="M170" s="289">
        <v>505</v>
      </c>
      <c r="N170" s="289">
        <v>288</v>
      </c>
      <c r="O170" s="289">
        <v>66</v>
      </c>
      <c r="P170" s="289">
        <v>3853</v>
      </c>
      <c r="Q170" s="289">
        <v>3</v>
      </c>
      <c r="R170" s="289">
        <v>5</v>
      </c>
      <c r="S170" s="289">
        <v>2558.81</v>
      </c>
      <c r="T170" s="289">
        <v>1.505778076527761</v>
      </c>
      <c r="U170" s="289">
        <v>0</v>
      </c>
      <c r="V170" s="289">
        <v>0</v>
      </c>
      <c r="W170" s="289">
        <v>1574</v>
      </c>
      <c r="X170" s="289">
        <v>112</v>
      </c>
      <c r="Y170" s="289">
        <v>52</v>
      </c>
      <c r="Z170" s="289">
        <v>0.9413287948650668</v>
      </c>
      <c r="AA170" s="289">
        <v>7</v>
      </c>
      <c r="AB170" s="289">
        <v>7</v>
      </c>
      <c r="AC170" s="289">
        <v>1.0929697996142593</v>
      </c>
      <c r="AD170" s="289">
        <v>224</v>
      </c>
      <c r="AE170" s="289">
        <v>23</v>
      </c>
      <c r="AF170" s="289">
        <v>9</v>
      </c>
      <c r="AG170" s="289">
        <v>1</v>
      </c>
      <c r="AH170" s="289">
        <v>257</v>
      </c>
      <c r="AI170" s="289">
        <v>1.3077959776284074</v>
      </c>
      <c r="AJ170" s="289">
        <v>1843</v>
      </c>
      <c r="AK170" s="289">
        <v>295</v>
      </c>
      <c r="AL170" s="289">
        <v>1.6345046916836747</v>
      </c>
      <c r="AM170" s="289">
        <v>1.2857387776418605</v>
      </c>
      <c r="AN170" s="289">
        <v>0.17</v>
      </c>
      <c r="AO170" s="289">
        <v>0</v>
      </c>
      <c r="AP170" s="289">
        <f t="shared" si="1"/>
        <v>0.17</v>
      </c>
      <c r="AQ170" s="289">
        <v>159790.83063413762</v>
      </c>
      <c r="AR170" s="289">
        <v>2059314.8942499997</v>
      </c>
      <c r="AS170" s="289">
        <v>1</v>
      </c>
      <c r="AT170" s="289">
        <v>3853</v>
      </c>
      <c r="AU170" s="289">
        <v>0</v>
      </c>
      <c r="AV170" s="289">
        <v>0</v>
      </c>
      <c r="AW170" s="289">
        <v>0</v>
      </c>
      <c r="AX170" s="289">
        <v>1.7130166666666666</v>
      </c>
      <c r="AY170" s="289">
        <v>2558.8</v>
      </c>
      <c r="AZ170" s="289">
        <v>1.5057839612318273</v>
      </c>
      <c r="BA170" s="289">
        <v>1889</v>
      </c>
      <c r="BB170" s="289">
        <v>0.4902673241629899</v>
      </c>
      <c r="BC170" s="289">
        <v>0</v>
      </c>
      <c r="BD170" s="289">
        <v>0</v>
      </c>
      <c r="BE170" s="289">
        <v>3854</v>
      </c>
      <c r="BF170" s="289">
        <v>3853</v>
      </c>
      <c r="BG170" s="289">
        <v>-0.0002594706798131811</v>
      </c>
      <c r="BH170" s="289">
        <v>0</v>
      </c>
      <c r="BI170" s="289">
        <v>2</v>
      </c>
      <c r="BJ170" s="289">
        <v>0.0005190760446405398</v>
      </c>
      <c r="BK170" s="289">
        <v>758750.3087460153</v>
      </c>
      <c r="BL170" s="289">
        <v>8623.78</v>
      </c>
      <c r="BM170" s="301">
        <v>1098</v>
      </c>
    </row>
    <row r="171" spans="6:65" s="289" customFormat="1" ht="12.75">
      <c r="F171" s="289">
        <v>275</v>
      </c>
      <c r="G171" s="289" t="s">
        <v>216</v>
      </c>
      <c r="H171" s="289">
        <v>167</v>
      </c>
      <c r="I171" s="289">
        <v>28</v>
      </c>
      <c r="J171" s="289">
        <v>175</v>
      </c>
      <c r="K171" s="289">
        <v>90</v>
      </c>
      <c r="L171" s="289">
        <v>1931</v>
      </c>
      <c r="M171" s="289">
        <v>388</v>
      </c>
      <c r="N171" s="289">
        <v>318</v>
      </c>
      <c r="O171" s="289">
        <v>100</v>
      </c>
      <c r="P171" s="289">
        <v>2904</v>
      </c>
      <c r="Q171" s="289">
        <v>0</v>
      </c>
      <c r="R171" s="289">
        <v>5</v>
      </c>
      <c r="S171" s="289">
        <v>512.97</v>
      </c>
      <c r="T171" s="289">
        <v>5.661149774840633</v>
      </c>
      <c r="U171" s="289">
        <v>0</v>
      </c>
      <c r="V171" s="289">
        <v>0</v>
      </c>
      <c r="W171" s="289">
        <v>1112</v>
      </c>
      <c r="X171" s="289">
        <v>172</v>
      </c>
      <c r="Y171" s="289">
        <v>28</v>
      </c>
      <c r="Z171" s="289">
        <v>0.8618208767559984</v>
      </c>
      <c r="AA171" s="289">
        <v>7</v>
      </c>
      <c r="AB171" s="289">
        <v>7</v>
      </c>
      <c r="AC171" s="289">
        <v>1.4501420929455033</v>
      </c>
      <c r="AD171" s="289">
        <v>169</v>
      </c>
      <c r="AE171" s="289">
        <v>20</v>
      </c>
      <c r="AF171" s="289">
        <v>5</v>
      </c>
      <c r="AG171" s="289">
        <v>1</v>
      </c>
      <c r="AH171" s="289">
        <v>195</v>
      </c>
      <c r="AI171" s="289">
        <v>1.3165697801120144</v>
      </c>
      <c r="AJ171" s="289">
        <v>1254</v>
      </c>
      <c r="AK171" s="289">
        <v>140</v>
      </c>
      <c r="AL171" s="289">
        <v>1.1400397387295482</v>
      </c>
      <c r="AM171" s="289">
        <v>1.2890963070528727</v>
      </c>
      <c r="AN171" s="289">
        <v>0</v>
      </c>
      <c r="AO171" s="289">
        <v>0</v>
      </c>
      <c r="AP171" s="289">
        <f t="shared" si="1"/>
        <v>0</v>
      </c>
      <c r="AQ171" s="289">
        <v>212913.65034567937</v>
      </c>
      <c r="AR171" s="289">
        <v>2363208.7573750014</v>
      </c>
      <c r="AS171" s="289">
        <v>1</v>
      </c>
      <c r="AT171" s="289">
        <v>2904</v>
      </c>
      <c r="AU171" s="289">
        <v>0</v>
      </c>
      <c r="AV171" s="289">
        <v>0</v>
      </c>
      <c r="AW171" s="289">
        <v>0</v>
      </c>
      <c r="AX171" s="289">
        <v>0.17993333333333333</v>
      </c>
      <c r="AY171" s="289">
        <v>513.01</v>
      </c>
      <c r="AZ171" s="289">
        <v>5.660708368257929</v>
      </c>
      <c r="BA171" s="289">
        <v>1124</v>
      </c>
      <c r="BB171" s="289">
        <v>0.38705234159779617</v>
      </c>
      <c r="BC171" s="289">
        <v>0</v>
      </c>
      <c r="BD171" s="289">
        <v>0</v>
      </c>
      <c r="BE171" s="289">
        <v>2971</v>
      </c>
      <c r="BF171" s="289">
        <v>2904</v>
      </c>
      <c r="BG171" s="289">
        <v>-0.02255132951868058</v>
      </c>
      <c r="BH171" s="289">
        <v>0</v>
      </c>
      <c r="BI171" s="289">
        <v>0</v>
      </c>
      <c r="BJ171" s="289">
        <v>0</v>
      </c>
      <c r="BK171" s="289">
        <v>706694.2313790194</v>
      </c>
      <c r="BL171" s="289">
        <v>7307.41</v>
      </c>
      <c r="BM171" s="301">
        <v>747</v>
      </c>
    </row>
    <row r="172" spans="6:65" s="289" customFormat="1" ht="12.75">
      <c r="F172" s="289">
        <v>276</v>
      </c>
      <c r="G172" s="289" t="s">
        <v>217</v>
      </c>
      <c r="H172" s="289">
        <v>1500</v>
      </c>
      <c r="I172" s="289">
        <v>205</v>
      </c>
      <c r="J172" s="289">
        <v>1314</v>
      </c>
      <c r="K172" s="289">
        <v>656</v>
      </c>
      <c r="L172" s="289">
        <v>10904</v>
      </c>
      <c r="M172" s="289">
        <v>1102</v>
      </c>
      <c r="N172" s="289">
        <v>565</v>
      </c>
      <c r="O172" s="289">
        <v>174</v>
      </c>
      <c r="P172" s="289">
        <v>14245</v>
      </c>
      <c r="Q172" s="289">
        <v>0</v>
      </c>
      <c r="R172" s="289">
        <v>50</v>
      </c>
      <c r="S172" s="289">
        <v>799.68</v>
      </c>
      <c r="T172" s="289">
        <v>17.813375350140056</v>
      </c>
      <c r="U172" s="289">
        <v>0</v>
      </c>
      <c r="V172" s="289">
        <v>0</v>
      </c>
      <c r="W172" s="289">
        <v>6156</v>
      </c>
      <c r="X172" s="289">
        <v>200</v>
      </c>
      <c r="Y172" s="289">
        <v>95</v>
      </c>
      <c r="Z172" s="289">
        <v>1.0004607828829097</v>
      </c>
      <c r="AA172" s="289">
        <v>12</v>
      </c>
      <c r="AB172" s="289">
        <v>12</v>
      </c>
      <c r="AC172" s="289">
        <v>0.5067898676725157</v>
      </c>
      <c r="AD172" s="289">
        <v>396</v>
      </c>
      <c r="AE172" s="289">
        <v>80</v>
      </c>
      <c r="AF172" s="289">
        <v>17</v>
      </c>
      <c r="AG172" s="289">
        <v>2</v>
      </c>
      <c r="AH172" s="289">
        <v>495</v>
      </c>
      <c r="AI172" s="289">
        <v>0.6813160632216139</v>
      </c>
      <c r="AJ172" s="289">
        <v>6658</v>
      </c>
      <c r="AK172" s="289">
        <v>695</v>
      </c>
      <c r="AL172" s="289">
        <v>1.0659344649776457</v>
      </c>
      <c r="AM172" s="289">
        <v>0.7816449712444699</v>
      </c>
      <c r="AN172" s="289">
        <v>0</v>
      </c>
      <c r="AO172" s="289">
        <v>0</v>
      </c>
      <c r="AP172" s="289">
        <f t="shared" si="1"/>
        <v>0</v>
      </c>
      <c r="AQ172" s="289">
        <v>-31189.175071258098</v>
      </c>
      <c r="AR172" s="289">
        <v>4309231.790000009</v>
      </c>
      <c r="AS172" s="289">
        <v>0</v>
      </c>
      <c r="AT172" s="289">
        <v>14245</v>
      </c>
      <c r="AU172" s="289">
        <v>0</v>
      </c>
      <c r="AV172" s="289">
        <v>0</v>
      </c>
      <c r="AW172" s="289">
        <v>0</v>
      </c>
      <c r="AX172" s="289">
        <v>0</v>
      </c>
      <c r="AY172" s="289">
        <v>799.69</v>
      </c>
      <c r="AZ172" s="289">
        <v>17.813152596631195</v>
      </c>
      <c r="BA172" s="289">
        <v>9859</v>
      </c>
      <c r="BB172" s="289">
        <v>0.6921024921024921</v>
      </c>
      <c r="BC172" s="289">
        <v>0</v>
      </c>
      <c r="BD172" s="289">
        <v>0</v>
      </c>
      <c r="BE172" s="289">
        <v>13677</v>
      </c>
      <c r="BF172" s="289">
        <v>14245</v>
      </c>
      <c r="BG172" s="289">
        <v>0.041529575199239596</v>
      </c>
      <c r="BH172" s="289">
        <v>0</v>
      </c>
      <c r="BI172" s="289">
        <v>0</v>
      </c>
      <c r="BJ172" s="289">
        <v>0</v>
      </c>
      <c r="BK172" s="289">
        <v>1983932.7568386167</v>
      </c>
      <c r="BL172" s="289">
        <v>6526.28</v>
      </c>
      <c r="BM172" s="301">
        <v>5158</v>
      </c>
    </row>
    <row r="173" spans="6:65" s="289" customFormat="1" ht="12.75">
      <c r="F173" s="289">
        <v>280</v>
      </c>
      <c r="G173" s="289" t="s">
        <v>218</v>
      </c>
      <c r="H173" s="289">
        <v>149</v>
      </c>
      <c r="I173" s="289">
        <v>16</v>
      </c>
      <c r="J173" s="289">
        <v>115</v>
      </c>
      <c r="K173" s="289">
        <v>79</v>
      </c>
      <c r="L173" s="289">
        <v>1516</v>
      </c>
      <c r="M173" s="289">
        <v>269</v>
      </c>
      <c r="N173" s="289">
        <v>162</v>
      </c>
      <c r="O173" s="289">
        <v>136</v>
      </c>
      <c r="P173" s="289">
        <v>2232</v>
      </c>
      <c r="Q173" s="289">
        <v>183</v>
      </c>
      <c r="R173" s="289">
        <v>26</v>
      </c>
      <c r="S173" s="289">
        <v>235.77999999999997</v>
      </c>
      <c r="T173" s="289">
        <v>9.46645177708033</v>
      </c>
      <c r="U173" s="289">
        <v>0</v>
      </c>
      <c r="V173" s="289">
        <v>2</v>
      </c>
      <c r="W173" s="289">
        <v>1008</v>
      </c>
      <c r="X173" s="289">
        <v>204</v>
      </c>
      <c r="Y173" s="289">
        <v>27</v>
      </c>
      <c r="Z173" s="289">
        <v>0.810004526527065</v>
      </c>
      <c r="AA173" s="289">
        <v>0</v>
      </c>
      <c r="AB173" s="289">
        <v>2</v>
      </c>
      <c r="AC173" s="289">
        <v>0.5390697181149182</v>
      </c>
      <c r="AD173" s="289">
        <v>106</v>
      </c>
      <c r="AE173" s="289">
        <v>10</v>
      </c>
      <c r="AF173" s="289">
        <v>4</v>
      </c>
      <c r="AG173" s="289">
        <v>0</v>
      </c>
      <c r="AH173" s="289">
        <v>120</v>
      </c>
      <c r="AI173" s="289">
        <v>1.0541270034312902</v>
      </c>
      <c r="AJ173" s="289">
        <v>1067</v>
      </c>
      <c r="AK173" s="289">
        <v>37</v>
      </c>
      <c r="AL173" s="289">
        <v>0.3541007082445681</v>
      </c>
      <c r="AM173" s="289">
        <v>0.9777094256100017</v>
      </c>
      <c r="AN173" s="289">
        <v>0</v>
      </c>
      <c r="AO173" s="289">
        <v>0</v>
      </c>
      <c r="AP173" s="289">
        <f t="shared" si="1"/>
        <v>0</v>
      </c>
      <c r="AQ173" s="289">
        <v>307910.7989604967</v>
      </c>
      <c r="AR173" s="289">
        <v>1051074.3079746838</v>
      </c>
      <c r="AS173" s="289">
        <v>1</v>
      </c>
      <c r="AT173" s="289">
        <v>2232</v>
      </c>
      <c r="AU173" s="289">
        <v>0</v>
      </c>
      <c r="AV173" s="289">
        <v>0</v>
      </c>
      <c r="AW173" s="289">
        <v>0</v>
      </c>
      <c r="AX173" s="289">
        <v>0.3258666666666667</v>
      </c>
      <c r="AY173" s="289">
        <v>235.78</v>
      </c>
      <c r="AZ173" s="289">
        <v>9.466451777080328</v>
      </c>
      <c r="BA173" s="289">
        <v>1429</v>
      </c>
      <c r="BB173" s="289">
        <v>0.6402329749103942</v>
      </c>
      <c r="BC173" s="289">
        <v>2</v>
      </c>
      <c r="BD173" s="289">
        <v>0</v>
      </c>
      <c r="BE173" s="289">
        <v>2239</v>
      </c>
      <c r="BF173" s="289">
        <v>2232</v>
      </c>
      <c r="BG173" s="289">
        <v>-0.0031263957123715946</v>
      </c>
      <c r="BH173" s="289">
        <v>0</v>
      </c>
      <c r="BI173" s="289">
        <v>0</v>
      </c>
      <c r="BJ173" s="289">
        <v>0</v>
      </c>
      <c r="BK173" s="289">
        <v>515208.79907998117</v>
      </c>
      <c r="BL173" s="289">
        <v>7793.44</v>
      </c>
      <c r="BM173" s="301">
        <v>688</v>
      </c>
    </row>
    <row r="174" spans="6:65" s="289" customFormat="1" ht="12.75">
      <c r="F174" s="289">
        <v>283</v>
      </c>
      <c r="G174" s="289" t="s">
        <v>152</v>
      </c>
      <c r="H174" s="289">
        <v>132</v>
      </c>
      <c r="I174" s="289">
        <v>19</v>
      </c>
      <c r="J174" s="289">
        <v>137</v>
      </c>
      <c r="K174" s="289">
        <v>66</v>
      </c>
      <c r="L174" s="289">
        <v>1449</v>
      </c>
      <c r="M174" s="289">
        <v>262</v>
      </c>
      <c r="N174" s="289">
        <v>191</v>
      </c>
      <c r="O174" s="289">
        <v>62</v>
      </c>
      <c r="P174" s="289">
        <v>2096</v>
      </c>
      <c r="Q174" s="289">
        <v>0</v>
      </c>
      <c r="R174" s="289">
        <v>7</v>
      </c>
      <c r="S174" s="289">
        <v>187.73000000000002</v>
      </c>
      <c r="T174" s="289">
        <v>11.16497096894476</v>
      </c>
      <c r="U174" s="289">
        <v>0</v>
      </c>
      <c r="V174" s="289">
        <v>0</v>
      </c>
      <c r="W174" s="289">
        <v>902</v>
      </c>
      <c r="X174" s="289">
        <v>144</v>
      </c>
      <c r="Y174" s="289">
        <v>15</v>
      </c>
      <c r="Z174" s="289">
        <v>0.8655840305046217</v>
      </c>
      <c r="AA174" s="289">
        <v>2</v>
      </c>
      <c r="AB174" s="289">
        <v>2</v>
      </c>
      <c r="AC174" s="289">
        <v>0.5740475242521458</v>
      </c>
      <c r="AD174" s="289">
        <v>103</v>
      </c>
      <c r="AE174" s="289">
        <v>18</v>
      </c>
      <c r="AF174" s="289">
        <v>0</v>
      </c>
      <c r="AG174" s="289">
        <v>0</v>
      </c>
      <c r="AH174" s="289">
        <v>121</v>
      </c>
      <c r="AI174" s="289">
        <v>1.131878928398121</v>
      </c>
      <c r="AJ174" s="289">
        <v>982</v>
      </c>
      <c r="AK174" s="289">
        <v>80</v>
      </c>
      <c r="AL174" s="289">
        <v>0.8318939961401534</v>
      </c>
      <c r="AM174" s="289">
        <v>1.113382758732061</v>
      </c>
      <c r="AN174" s="289">
        <v>0</v>
      </c>
      <c r="AO174" s="289">
        <v>0</v>
      </c>
      <c r="AP174" s="289">
        <f t="shared" si="1"/>
        <v>0</v>
      </c>
      <c r="AQ174" s="289">
        <v>6523.89735085424</v>
      </c>
      <c r="AR174" s="289">
        <v>1240565.0929069775</v>
      </c>
      <c r="AS174" s="289">
        <v>1</v>
      </c>
      <c r="AT174" s="289">
        <v>2096</v>
      </c>
      <c r="AU174" s="289">
        <v>0</v>
      </c>
      <c r="AV174" s="289">
        <v>0</v>
      </c>
      <c r="AW174" s="289">
        <v>0</v>
      </c>
      <c r="AX174" s="289">
        <v>0</v>
      </c>
      <c r="AY174" s="289">
        <v>187.74</v>
      </c>
      <c r="AZ174" s="289">
        <v>11.164376265047405</v>
      </c>
      <c r="BA174" s="289">
        <v>1071</v>
      </c>
      <c r="BB174" s="289">
        <v>0.5109732824427481</v>
      </c>
      <c r="BC174" s="289">
        <v>0</v>
      </c>
      <c r="BD174" s="289">
        <v>0</v>
      </c>
      <c r="BE174" s="289">
        <v>2126</v>
      </c>
      <c r="BF174" s="289">
        <v>2096</v>
      </c>
      <c r="BG174" s="289">
        <v>-0.014111006585136407</v>
      </c>
      <c r="BH174" s="289">
        <v>0</v>
      </c>
      <c r="BI174" s="289">
        <v>0</v>
      </c>
      <c r="BJ174" s="289">
        <v>0</v>
      </c>
      <c r="BK174" s="289">
        <v>497527.6956373359</v>
      </c>
      <c r="BL174" s="289">
        <v>6861.39</v>
      </c>
      <c r="BM174" s="301">
        <v>596</v>
      </c>
    </row>
    <row r="175" spans="6:65" s="289" customFormat="1" ht="12.75">
      <c r="F175" s="289">
        <v>284</v>
      </c>
      <c r="G175" s="289" t="s">
        <v>219</v>
      </c>
      <c r="H175" s="289">
        <v>151</v>
      </c>
      <c r="I175" s="289">
        <v>25</v>
      </c>
      <c r="J175" s="289">
        <v>143</v>
      </c>
      <c r="K175" s="289">
        <v>91</v>
      </c>
      <c r="L175" s="289">
        <v>1630</v>
      </c>
      <c r="M175" s="289">
        <v>341</v>
      </c>
      <c r="N175" s="289">
        <v>231</v>
      </c>
      <c r="O175" s="289">
        <v>97</v>
      </c>
      <c r="P175" s="289">
        <v>2450</v>
      </c>
      <c r="Q175" s="289">
        <v>1</v>
      </c>
      <c r="R175" s="289">
        <v>12</v>
      </c>
      <c r="S175" s="289">
        <v>191.45999999999998</v>
      </c>
      <c r="T175" s="289">
        <v>12.796406560116997</v>
      </c>
      <c r="U175" s="289">
        <v>0</v>
      </c>
      <c r="V175" s="289">
        <v>0</v>
      </c>
      <c r="W175" s="289">
        <v>978</v>
      </c>
      <c r="X175" s="289">
        <v>186</v>
      </c>
      <c r="Y175" s="289">
        <v>7</v>
      </c>
      <c r="Z175" s="289">
        <v>0.8434469286337204</v>
      </c>
      <c r="AA175" s="289">
        <v>4</v>
      </c>
      <c r="AB175" s="289">
        <v>2</v>
      </c>
      <c r="AC175" s="289">
        <v>0.4911035146255092</v>
      </c>
      <c r="AD175" s="289">
        <v>132</v>
      </c>
      <c r="AE175" s="289">
        <v>22</v>
      </c>
      <c r="AF175" s="289">
        <v>2</v>
      </c>
      <c r="AG175" s="289">
        <v>2</v>
      </c>
      <c r="AH175" s="289">
        <v>158</v>
      </c>
      <c r="AI175" s="289">
        <v>1.2644360970138269</v>
      </c>
      <c r="AJ175" s="289">
        <v>1043</v>
      </c>
      <c r="AK175" s="289">
        <v>73</v>
      </c>
      <c r="AL175" s="289">
        <v>0.7147070111134112</v>
      </c>
      <c r="AM175" s="289">
        <v>0.8888601251304414</v>
      </c>
      <c r="AN175" s="289">
        <v>0</v>
      </c>
      <c r="AO175" s="289">
        <v>0</v>
      </c>
      <c r="AP175" s="289">
        <f t="shared" si="1"/>
        <v>0</v>
      </c>
      <c r="AQ175" s="289">
        <v>240131.28113703616</v>
      </c>
      <c r="AR175" s="289">
        <v>1723240.095657895</v>
      </c>
      <c r="AS175" s="289">
        <v>1</v>
      </c>
      <c r="AT175" s="289">
        <v>2450</v>
      </c>
      <c r="AU175" s="289">
        <v>0</v>
      </c>
      <c r="AV175" s="289">
        <v>0</v>
      </c>
      <c r="AW175" s="289">
        <v>0</v>
      </c>
      <c r="AX175" s="289">
        <v>0</v>
      </c>
      <c r="AY175" s="289">
        <v>191.46</v>
      </c>
      <c r="AZ175" s="289">
        <v>12.796406560116996</v>
      </c>
      <c r="BA175" s="289">
        <v>1257</v>
      </c>
      <c r="BB175" s="289">
        <v>0.513061224489796</v>
      </c>
      <c r="BC175" s="289">
        <v>0</v>
      </c>
      <c r="BD175" s="289">
        <v>0</v>
      </c>
      <c r="BE175" s="289">
        <v>2450</v>
      </c>
      <c r="BF175" s="289">
        <v>2450</v>
      </c>
      <c r="BG175" s="289">
        <v>0</v>
      </c>
      <c r="BH175" s="289">
        <v>0</v>
      </c>
      <c r="BI175" s="289">
        <v>0</v>
      </c>
      <c r="BJ175" s="289">
        <v>0</v>
      </c>
      <c r="BK175" s="289">
        <v>476396.34717197827</v>
      </c>
      <c r="BL175" s="289">
        <v>6785.02</v>
      </c>
      <c r="BM175" s="301">
        <v>660</v>
      </c>
    </row>
    <row r="176" spans="6:65" s="289" customFormat="1" ht="12.75">
      <c r="F176" s="289">
        <v>285</v>
      </c>
      <c r="G176" s="289" t="s">
        <v>220</v>
      </c>
      <c r="H176" s="289">
        <v>3623</v>
      </c>
      <c r="I176" s="289">
        <v>459</v>
      </c>
      <c r="J176" s="289">
        <v>3208</v>
      </c>
      <c r="K176" s="289">
        <v>1762</v>
      </c>
      <c r="L176" s="289">
        <v>39001</v>
      </c>
      <c r="M176" s="289">
        <v>6751</v>
      </c>
      <c r="N176" s="289">
        <v>3941</v>
      </c>
      <c r="O176" s="289">
        <v>1557</v>
      </c>
      <c r="P176" s="289">
        <v>54873</v>
      </c>
      <c r="Q176" s="289">
        <v>66</v>
      </c>
      <c r="R176" s="289">
        <v>515</v>
      </c>
      <c r="S176" s="289">
        <v>271.62</v>
      </c>
      <c r="T176" s="289">
        <v>202.02120609675282</v>
      </c>
      <c r="U176" s="289">
        <v>1</v>
      </c>
      <c r="V176" s="289">
        <v>0</v>
      </c>
      <c r="W176" s="289">
        <v>20969</v>
      </c>
      <c r="X176" s="289">
        <v>151</v>
      </c>
      <c r="Y176" s="289">
        <v>241</v>
      </c>
      <c r="Z176" s="289">
        <v>1.0311724396666326</v>
      </c>
      <c r="AA176" s="289">
        <v>108</v>
      </c>
      <c r="AB176" s="289">
        <v>108</v>
      </c>
      <c r="AC176" s="289">
        <v>1.1840612866975537</v>
      </c>
      <c r="AD176" s="289">
        <v>2717</v>
      </c>
      <c r="AE176" s="289">
        <v>303</v>
      </c>
      <c r="AF176" s="289">
        <v>85</v>
      </c>
      <c r="AG176" s="289">
        <v>33</v>
      </c>
      <c r="AH176" s="289">
        <v>3138</v>
      </c>
      <c r="AI176" s="289">
        <v>1.1212439630396267</v>
      </c>
      <c r="AJ176" s="289">
        <v>25010</v>
      </c>
      <c r="AK176" s="289">
        <v>3967</v>
      </c>
      <c r="AL176" s="289">
        <v>1.6197127449018416</v>
      </c>
      <c r="AM176" s="289">
        <v>1.1886028538905735</v>
      </c>
      <c r="AN176" s="289">
        <v>0</v>
      </c>
      <c r="AO176" s="289">
        <v>0</v>
      </c>
      <c r="AP176" s="289">
        <f t="shared" si="1"/>
        <v>0</v>
      </c>
      <c r="AQ176" s="289">
        <v>-573075.1788794994</v>
      </c>
      <c r="AR176" s="289">
        <v>-1894444.0975487088</v>
      </c>
      <c r="AS176" s="289">
        <v>1</v>
      </c>
      <c r="AT176" s="289">
        <v>54873</v>
      </c>
      <c r="AU176" s="289">
        <v>1</v>
      </c>
      <c r="AV176" s="289">
        <v>436</v>
      </c>
      <c r="AW176" s="289">
        <v>0.007945619885918393</v>
      </c>
      <c r="AX176" s="289">
        <v>0</v>
      </c>
      <c r="AY176" s="289">
        <v>271.33</v>
      </c>
      <c r="AZ176" s="289">
        <v>202.23712822024842</v>
      </c>
      <c r="BA176" s="289">
        <v>53286</v>
      </c>
      <c r="BB176" s="289">
        <v>0.9710786725712098</v>
      </c>
      <c r="BC176" s="289">
        <v>0</v>
      </c>
      <c r="BD176" s="289">
        <v>0</v>
      </c>
      <c r="BE176" s="289">
        <v>54775</v>
      </c>
      <c r="BF176" s="289">
        <v>54873</v>
      </c>
      <c r="BG176" s="289">
        <v>0.0017891373801916933</v>
      </c>
      <c r="BH176" s="289">
        <v>0</v>
      </c>
      <c r="BI176" s="289">
        <v>1</v>
      </c>
      <c r="BJ176" s="289">
        <v>1.8223898820913746E-05</v>
      </c>
      <c r="BK176" s="289">
        <v>9167722.730744058</v>
      </c>
      <c r="BL176" s="289">
        <v>6080.96</v>
      </c>
      <c r="BM176" s="301">
        <v>16723</v>
      </c>
    </row>
    <row r="177" spans="6:65" s="289" customFormat="1" ht="12.75">
      <c r="F177" s="289">
        <v>286</v>
      </c>
      <c r="G177" s="289" t="s">
        <v>221</v>
      </c>
      <c r="H177" s="289">
        <v>5522</v>
      </c>
      <c r="I177" s="289">
        <v>828</v>
      </c>
      <c r="J177" s="289">
        <v>5195</v>
      </c>
      <c r="K177" s="289">
        <v>2836</v>
      </c>
      <c r="L177" s="289">
        <v>62185</v>
      </c>
      <c r="M177" s="289">
        <v>10623</v>
      </c>
      <c r="N177" s="289">
        <v>6538</v>
      </c>
      <c r="O177" s="289">
        <v>2428</v>
      </c>
      <c r="P177" s="289">
        <v>87296</v>
      </c>
      <c r="Q177" s="289">
        <v>45</v>
      </c>
      <c r="R177" s="289">
        <v>301</v>
      </c>
      <c r="S177" s="289">
        <v>2558.3700000000003</v>
      </c>
      <c r="T177" s="289">
        <v>34.12172594269007</v>
      </c>
      <c r="U177" s="289">
        <v>0</v>
      </c>
      <c r="V177" s="289">
        <v>0</v>
      </c>
      <c r="W177" s="289">
        <v>35257</v>
      </c>
      <c r="X177" s="289">
        <v>1313</v>
      </c>
      <c r="Y177" s="289">
        <v>439</v>
      </c>
      <c r="Z177" s="289">
        <v>0.9985992275575614</v>
      </c>
      <c r="AA177" s="289">
        <v>155</v>
      </c>
      <c r="AB177" s="289">
        <v>155</v>
      </c>
      <c r="AC177" s="289">
        <v>1.0681850238214645</v>
      </c>
      <c r="AD177" s="289">
        <v>4154</v>
      </c>
      <c r="AE177" s="289">
        <v>523</v>
      </c>
      <c r="AF177" s="289">
        <v>140</v>
      </c>
      <c r="AG177" s="289">
        <v>51</v>
      </c>
      <c r="AH177" s="289">
        <v>4868</v>
      </c>
      <c r="AI177" s="289">
        <v>1.0933572981612616</v>
      </c>
      <c r="AJ177" s="289">
        <v>40591</v>
      </c>
      <c r="AK177" s="289">
        <v>4742</v>
      </c>
      <c r="AL177" s="289">
        <v>1.1929473854309045</v>
      </c>
      <c r="AM177" s="289">
        <v>1.1967076672235586</v>
      </c>
      <c r="AN177" s="289">
        <v>0</v>
      </c>
      <c r="AO177" s="289">
        <v>0</v>
      </c>
      <c r="AP177" s="289">
        <f t="shared" si="1"/>
        <v>0</v>
      </c>
      <c r="AQ177" s="289">
        <v>-328800.80143755674</v>
      </c>
      <c r="AR177" s="289">
        <v>-2909086.963260013</v>
      </c>
      <c r="AS177" s="289">
        <v>1</v>
      </c>
      <c r="AT177" s="289">
        <v>87296</v>
      </c>
      <c r="AU177" s="289">
        <v>0</v>
      </c>
      <c r="AV177" s="289">
        <v>0</v>
      </c>
      <c r="AW177" s="289">
        <v>0</v>
      </c>
      <c r="AX177" s="289">
        <v>0</v>
      </c>
      <c r="AY177" s="289">
        <v>2558.24</v>
      </c>
      <c r="AZ177" s="289">
        <v>34.12345987866659</v>
      </c>
      <c r="BA177" s="289">
        <v>74264</v>
      </c>
      <c r="BB177" s="289">
        <v>0.8507148093841642</v>
      </c>
      <c r="BC177" s="289">
        <v>0</v>
      </c>
      <c r="BD177" s="289">
        <v>0</v>
      </c>
      <c r="BE177" s="289">
        <v>88174</v>
      </c>
      <c r="BF177" s="289">
        <v>87296</v>
      </c>
      <c r="BG177" s="289">
        <v>-0.009957583868260485</v>
      </c>
      <c r="BH177" s="289">
        <v>0</v>
      </c>
      <c r="BI177" s="289">
        <v>1</v>
      </c>
      <c r="BJ177" s="289">
        <v>1.1455278592375367E-05</v>
      </c>
      <c r="BK177" s="289">
        <v>15182149.55396291</v>
      </c>
      <c r="BL177" s="289">
        <v>6099.56</v>
      </c>
      <c r="BM177" s="301">
        <v>26049</v>
      </c>
    </row>
    <row r="178" spans="6:65" s="289" customFormat="1" ht="12.75">
      <c r="F178" s="289">
        <v>287</v>
      </c>
      <c r="G178" s="289" t="s">
        <v>222</v>
      </c>
      <c r="H178" s="289">
        <v>376</v>
      </c>
      <c r="I178" s="289">
        <v>42</v>
      </c>
      <c r="J178" s="289">
        <v>323</v>
      </c>
      <c r="K178" s="289">
        <v>200</v>
      </c>
      <c r="L178" s="289">
        <v>4643</v>
      </c>
      <c r="M178" s="289">
        <v>1042</v>
      </c>
      <c r="N178" s="289">
        <v>662</v>
      </c>
      <c r="O178" s="289">
        <v>332</v>
      </c>
      <c r="P178" s="289">
        <v>7055</v>
      </c>
      <c r="Q178" s="289">
        <v>316</v>
      </c>
      <c r="R178" s="289">
        <v>25</v>
      </c>
      <c r="S178" s="289">
        <v>682.99</v>
      </c>
      <c r="T178" s="289">
        <v>10.329580228114613</v>
      </c>
      <c r="U178" s="289">
        <v>0</v>
      </c>
      <c r="V178" s="289">
        <v>3</v>
      </c>
      <c r="W178" s="289">
        <v>2922</v>
      </c>
      <c r="X178" s="289">
        <v>370</v>
      </c>
      <c r="Y178" s="289">
        <v>40</v>
      </c>
      <c r="Z178" s="289">
        <v>0.903371494815911</v>
      </c>
      <c r="AA178" s="289">
        <v>8</v>
      </c>
      <c r="AB178" s="289">
        <v>8</v>
      </c>
      <c r="AC178" s="289">
        <v>0.6821848962905727</v>
      </c>
      <c r="AD178" s="289">
        <v>386</v>
      </c>
      <c r="AE178" s="289">
        <v>39</v>
      </c>
      <c r="AF178" s="289">
        <v>11</v>
      </c>
      <c r="AG178" s="289">
        <v>1</v>
      </c>
      <c r="AH178" s="289">
        <v>437</v>
      </c>
      <c r="AI178" s="289">
        <v>1.214479817050349</v>
      </c>
      <c r="AJ178" s="289">
        <v>3155</v>
      </c>
      <c r="AK178" s="289">
        <v>174</v>
      </c>
      <c r="AL178" s="289">
        <v>0.5631698230288261</v>
      </c>
      <c r="AM178" s="289">
        <v>1.0514919075013387</v>
      </c>
      <c r="AN178" s="289">
        <v>0</v>
      </c>
      <c r="AO178" s="289">
        <v>0</v>
      </c>
      <c r="AP178" s="289">
        <f t="shared" si="1"/>
        <v>0</v>
      </c>
      <c r="AQ178" s="289">
        <v>168304.4416630827</v>
      </c>
      <c r="AR178" s="289">
        <v>3649533.529625</v>
      </c>
      <c r="AS178" s="289">
        <v>1</v>
      </c>
      <c r="AT178" s="289">
        <v>7055</v>
      </c>
      <c r="AU178" s="289">
        <v>0</v>
      </c>
      <c r="AV178" s="289">
        <v>0</v>
      </c>
      <c r="AW178" s="289">
        <v>0</v>
      </c>
      <c r="AX178" s="289">
        <v>0.41386666666666666</v>
      </c>
      <c r="AY178" s="289">
        <v>682.99</v>
      </c>
      <c r="AZ178" s="289">
        <v>10.329580228114613</v>
      </c>
      <c r="BA178" s="289">
        <v>4807</v>
      </c>
      <c r="BB178" s="289">
        <v>0.6813607370659107</v>
      </c>
      <c r="BC178" s="289">
        <v>3</v>
      </c>
      <c r="BD178" s="289">
        <v>0</v>
      </c>
      <c r="BE178" s="289">
        <v>7254</v>
      </c>
      <c r="BF178" s="289">
        <v>7055</v>
      </c>
      <c r="BG178" s="289">
        <v>-0.02743314033636614</v>
      </c>
      <c r="BH178" s="289">
        <v>0</v>
      </c>
      <c r="BI178" s="289">
        <v>0</v>
      </c>
      <c r="BJ178" s="289">
        <v>0</v>
      </c>
      <c r="BK178" s="289">
        <v>1489524.5082725934</v>
      </c>
      <c r="BL178" s="289">
        <v>7652.64</v>
      </c>
      <c r="BM178" s="301">
        <v>1832</v>
      </c>
    </row>
    <row r="179" spans="6:65" s="289" customFormat="1" ht="12.75">
      <c r="F179" s="289">
        <v>288</v>
      </c>
      <c r="G179" s="289" t="s">
        <v>223</v>
      </c>
      <c r="H179" s="289">
        <v>520</v>
      </c>
      <c r="I179" s="289">
        <v>63</v>
      </c>
      <c r="J179" s="289">
        <v>504</v>
      </c>
      <c r="K179" s="289">
        <v>240</v>
      </c>
      <c r="L179" s="289">
        <v>4679</v>
      </c>
      <c r="M179" s="289">
        <v>734</v>
      </c>
      <c r="N179" s="289">
        <v>474</v>
      </c>
      <c r="O179" s="289">
        <v>259</v>
      </c>
      <c r="P179" s="289">
        <v>6666</v>
      </c>
      <c r="Q179" s="289">
        <v>673</v>
      </c>
      <c r="R179" s="289">
        <v>22</v>
      </c>
      <c r="S179" s="289">
        <v>712.36</v>
      </c>
      <c r="T179" s="289">
        <v>9.35762816553428</v>
      </c>
      <c r="U179" s="289">
        <v>0</v>
      </c>
      <c r="V179" s="289">
        <v>3</v>
      </c>
      <c r="W179" s="289">
        <v>3029</v>
      </c>
      <c r="X179" s="289">
        <v>385</v>
      </c>
      <c r="Y179" s="289">
        <v>34</v>
      </c>
      <c r="Z179" s="289">
        <v>0.905457755956481</v>
      </c>
      <c r="AA179" s="289">
        <v>7</v>
      </c>
      <c r="AB179" s="289">
        <v>7</v>
      </c>
      <c r="AC179" s="289">
        <v>0.6317450701940807</v>
      </c>
      <c r="AD179" s="289">
        <v>326</v>
      </c>
      <c r="AE179" s="289">
        <v>39</v>
      </c>
      <c r="AF179" s="289">
        <v>10</v>
      </c>
      <c r="AG179" s="289">
        <v>0</v>
      </c>
      <c r="AH179" s="289">
        <v>375</v>
      </c>
      <c r="AI179" s="289">
        <v>1.1029906764076283</v>
      </c>
      <c r="AJ179" s="289">
        <v>3141</v>
      </c>
      <c r="AK179" s="289">
        <v>131</v>
      </c>
      <c r="AL179" s="289">
        <v>0.4258854960659885</v>
      </c>
      <c r="AM179" s="289">
        <v>0.7255622846785814</v>
      </c>
      <c r="AN179" s="289">
        <v>0</v>
      </c>
      <c r="AO179" s="289">
        <v>0</v>
      </c>
      <c r="AP179" s="289">
        <f t="shared" si="1"/>
        <v>0</v>
      </c>
      <c r="AQ179" s="289">
        <v>-40340.352658394724</v>
      </c>
      <c r="AR179" s="289">
        <v>3101579.5341025637</v>
      </c>
      <c r="AS179" s="289">
        <v>0</v>
      </c>
      <c r="AT179" s="289">
        <v>6666</v>
      </c>
      <c r="AU179" s="289">
        <v>0</v>
      </c>
      <c r="AV179" s="289">
        <v>0</v>
      </c>
      <c r="AW179" s="289">
        <v>0</v>
      </c>
      <c r="AX179" s="289">
        <v>0</v>
      </c>
      <c r="AY179" s="289">
        <v>712.34</v>
      </c>
      <c r="AZ179" s="289">
        <v>9.357890894797428</v>
      </c>
      <c r="BA179" s="289">
        <v>3510</v>
      </c>
      <c r="BB179" s="289">
        <v>0.5265526552655265</v>
      </c>
      <c r="BC179" s="289">
        <v>3</v>
      </c>
      <c r="BD179" s="289">
        <v>0</v>
      </c>
      <c r="BE179" s="289">
        <v>6720</v>
      </c>
      <c r="BF179" s="289">
        <v>6666</v>
      </c>
      <c r="BG179" s="289">
        <v>-0.008035714285714285</v>
      </c>
      <c r="BH179" s="289">
        <v>0</v>
      </c>
      <c r="BI179" s="289">
        <v>0</v>
      </c>
      <c r="BJ179" s="289">
        <v>0</v>
      </c>
      <c r="BK179" s="289">
        <v>1334155.3574971692</v>
      </c>
      <c r="BL179" s="289">
        <v>7945.74</v>
      </c>
      <c r="BM179" s="301">
        <v>2256</v>
      </c>
    </row>
    <row r="180" spans="6:65" s="289" customFormat="1" ht="12.75">
      <c r="F180" s="289">
        <v>290</v>
      </c>
      <c r="G180" s="289" t="s">
        <v>224</v>
      </c>
      <c r="H180" s="289">
        <v>521</v>
      </c>
      <c r="I180" s="289">
        <v>72</v>
      </c>
      <c r="J180" s="289">
        <v>482</v>
      </c>
      <c r="K180" s="289">
        <v>238</v>
      </c>
      <c r="L180" s="289">
        <v>6199</v>
      </c>
      <c r="M180" s="289">
        <v>1381</v>
      </c>
      <c r="N180" s="289">
        <v>896</v>
      </c>
      <c r="O180" s="289">
        <v>243</v>
      </c>
      <c r="P180" s="289">
        <v>9240</v>
      </c>
      <c r="Q180" s="289">
        <v>0</v>
      </c>
      <c r="R180" s="289">
        <v>8</v>
      </c>
      <c r="S180" s="289">
        <v>4806.6900000000005</v>
      </c>
      <c r="T180" s="289">
        <v>1.9223207654331773</v>
      </c>
      <c r="U180" s="289">
        <v>0</v>
      </c>
      <c r="V180" s="289">
        <v>0</v>
      </c>
      <c r="W180" s="289">
        <v>3176</v>
      </c>
      <c r="X180" s="289">
        <v>449</v>
      </c>
      <c r="Y180" s="289">
        <v>90</v>
      </c>
      <c r="Z180" s="289">
        <v>0.8724822396835198</v>
      </c>
      <c r="AA180" s="289">
        <v>6</v>
      </c>
      <c r="AB180" s="289">
        <v>6</v>
      </c>
      <c r="AC180" s="289">
        <v>0.39065052299756414</v>
      </c>
      <c r="AD180" s="289">
        <v>644</v>
      </c>
      <c r="AE180" s="289">
        <v>51</v>
      </c>
      <c r="AF180" s="289">
        <v>20</v>
      </c>
      <c r="AG180" s="289">
        <v>0</v>
      </c>
      <c r="AH180" s="289">
        <v>715</v>
      </c>
      <c r="AI180" s="289">
        <v>1.5171899370814643</v>
      </c>
      <c r="AJ180" s="289">
        <v>3996</v>
      </c>
      <c r="AK180" s="289">
        <v>652</v>
      </c>
      <c r="AL180" s="289">
        <v>1.6661404452723945</v>
      </c>
      <c r="AM180" s="289">
        <v>1.4397439597509891</v>
      </c>
      <c r="AN180" s="289">
        <v>0.0800000000000001</v>
      </c>
      <c r="AO180" s="289">
        <v>0</v>
      </c>
      <c r="AP180" s="289">
        <f t="shared" si="1"/>
        <v>0.0800000000000001</v>
      </c>
      <c r="AQ180" s="289">
        <v>45840.17907136306</v>
      </c>
      <c r="AR180" s="289">
        <v>6042975.550617283</v>
      </c>
      <c r="AS180" s="289">
        <v>1</v>
      </c>
      <c r="AT180" s="289">
        <v>9240</v>
      </c>
      <c r="AU180" s="289">
        <v>0</v>
      </c>
      <c r="AV180" s="289">
        <v>0</v>
      </c>
      <c r="AW180" s="289">
        <v>0</v>
      </c>
      <c r="AX180" s="289">
        <v>1.2567333333333335</v>
      </c>
      <c r="AY180" s="289">
        <v>4806.75</v>
      </c>
      <c r="AZ180" s="289">
        <v>1.9222967701669527</v>
      </c>
      <c r="BA180" s="289">
        <v>5827</v>
      </c>
      <c r="BB180" s="289">
        <v>0.6306277056277056</v>
      </c>
      <c r="BC180" s="289">
        <v>0</v>
      </c>
      <c r="BD180" s="289">
        <v>0</v>
      </c>
      <c r="BE180" s="289">
        <v>9636</v>
      </c>
      <c r="BF180" s="289">
        <v>9240</v>
      </c>
      <c r="BG180" s="289">
        <v>-0.0410958904109589</v>
      </c>
      <c r="BH180" s="289">
        <v>0</v>
      </c>
      <c r="BI180" s="289">
        <v>1</v>
      </c>
      <c r="BJ180" s="289">
        <v>0.00010822510822510823</v>
      </c>
      <c r="BK180" s="289">
        <v>2610396.1610182133</v>
      </c>
      <c r="BL180" s="289">
        <v>8401.42</v>
      </c>
      <c r="BM180" s="301">
        <v>2308</v>
      </c>
    </row>
    <row r="181" spans="6:65" s="289" customFormat="1" ht="12.75">
      <c r="F181" s="289">
        <v>291</v>
      </c>
      <c r="G181" s="289" t="s">
        <v>225</v>
      </c>
      <c r="H181" s="289">
        <v>101</v>
      </c>
      <c r="I181" s="289">
        <v>17</v>
      </c>
      <c r="J181" s="289">
        <v>108</v>
      </c>
      <c r="K181" s="289">
        <v>41</v>
      </c>
      <c r="L181" s="289">
        <v>1437</v>
      </c>
      <c r="M181" s="289">
        <v>450</v>
      </c>
      <c r="N181" s="289">
        <v>320</v>
      </c>
      <c r="O181" s="289">
        <v>130</v>
      </c>
      <c r="P181" s="289">
        <v>2438</v>
      </c>
      <c r="Q181" s="289">
        <v>0</v>
      </c>
      <c r="R181" s="289">
        <v>2</v>
      </c>
      <c r="S181" s="289">
        <v>660.9599999999999</v>
      </c>
      <c r="T181" s="289">
        <v>3.688574195110143</v>
      </c>
      <c r="U181" s="289">
        <v>1</v>
      </c>
      <c r="V181" s="289">
        <v>0</v>
      </c>
      <c r="W181" s="289">
        <v>827</v>
      </c>
      <c r="X181" s="289">
        <v>121</v>
      </c>
      <c r="Y181" s="289">
        <v>30</v>
      </c>
      <c r="Z181" s="289">
        <v>0.8589505172309619</v>
      </c>
      <c r="AA181" s="289">
        <v>0</v>
      </c>
      <c r="AB181" s="289">
        <v>2</v>
      </c>
      <c r="AC181" s="289">
        <v>0.4935207591601713</v>
      </c>
      <c r="AD181" s="289">
        <v>191</v>
      </c>
      <c r="AE181" s="289">
        <v>7</v>
      </c>
      <c r="AF181" s="289">
        <v>4</v>
      </c>
      <c r="AG181" s="289">
        <v>0</v>
      </c>
      <c r="AH181" s="289">
        <v>202</v>
      </c>
      <c r="AI181" s="289">
        <v>1.6245143467153584</v>
      </c>
      <c r="AJ181" s="289">
        <v>998</v>
      </c>
      <c r="AK181" s="289">
        <v>122</v>
      </c>
      <c r="AL181" s="289">
        <v>1.2482994528253373</v>
      </c>
      <c r="AM181" s="289">
        <v>1.2867500692796705</v>
      </c>
      <c r="AN181" s="289">
        <v>0.05</v>
      </c>
      <c r="AO181" s="289">
        <v>0</v>
      </c>
      <c r="AP181" s="289">
        <f t="shared" si="1"/>
        <v>0.05</v>
      </c>
      <c r="AQ181" s="289">
        <v>7533.050449972972</v>
      </c>
      <c r="AR181" s="289">
        <v>1749749.2997468356</v>
      </c>
      <c r="AS181" s="289">
        <v>1</v>
      </c>
      <c r="AT181" s="289">
        <v>2438</v>
      </c>
      <c r="AU181" s="289">
        <v>1</v>
      </c>
      <c r="AV181" s="289">
        <v>203</v>
      </c>
      <c r="AW181" s="289">
        <v>0.08326497128794094</v>
      </c>
      <c r="AX181" s="289">
        <v>0.6464666666666666</v>
      </c>
      <c r="AY181" s="289">
        <v>660.96</v>
      </c>
      <c r="AZ181" s="289">
        <v>3.6885741951101427</v>
      </c>
      <c r="BA181" s="289">
        <v>1396</v>
      </c>
      <c r="BB181" s="289">
        <v>0.5726004922067268</v>
      </c>
      <c r="BC181" s="289">
        <v>0</v>
      </c>
      <c r="BD181" s="289">
        <v>0</v>
      </c>
      <c r="BE181" s="289">
        <v>2589</v>
      </c>
      <c r="BF181" s="289">
        <v>2438</v>
      </c>
      <c r="BG181" s="289">
        <v>-0.058323677095403634</v>
      </c>
      <c r="BH181" s="289">
        <v>0</v>
      </c>
      <c r="BI181" s="289">
        <v>0</v>
      </c>
      <c r="BJ181" s="289">
        <v>0</v>
      </c>
      <c r="BK181" s="289">
        <v>590042.1495420388</v>
      </c>
      <c r="BL181" s="289">
        <v>7705.41</v>
      </c>
      <c r="BM181" s="301">
        <v>491</v>
      </c>
    </row>
    <row r="182" spans="6:65" s="289" customFormat="1" ht="12.75">
      <c r="F182" s="289">
        <v>297</v>
      </c>
      <c r="G182" s="289" t="s">
        <v>226</v>
      </c>
      <c r="H182" s="289">
        <v>7670</v>
      </c>
      <c r="I182" s="289">
        <v>1083</v>
      </c>
      <c r="J182" s="289">
        <v>6316</v>
      </c>
      <c r="K182" s="289">
        <v>3242</v>
      </c>
      <c r="L182" s="289">
        <v>78999</v>
      </c>
      <c r="M182" s="289">
        <v>10079</v>
      </c>
      <c r="N182" s="289">
        <v>6131</v>
      </c>
      <c r="O182" s="289">
        <v>2257</v>
      </c>
      <c r="P182" s="289">
        <v>105136</v>
      </c>
      <c r="Q182" s="289">
        <v>8</v>
      </c>
      <c r="R182" s="289">
        <v>362</v>
      </c>
      <c r="S182" s="289">
        <v>2309.16</v>
      </c>
      <c r="T182" s="289">
        <v>45.529976268426616</v>
      </c>
      <c r="U182" s="289">
        <v>1</v>
      </c>
      <c r="V182" s="289">
        <v>0</v>
      </c>
      <c r="W182" s="289">
        <v>44768</v>
      </c>
      <c r="X182" s="289">
        <v>1213</v>
      </c>
      <c r="Y182" s="289">
        <v>497</v>
      </c>
      <c r="Z182" s="289">
        <v>1.0106787155845594</v>
      </c>
      <c r="AA182" s="289">
        <v>269</v>
      </c>
      <c r="AB182" s="289">
        <v>269</v>
      </c>
      <c r="AC182" s="289">
        <v>1.5392528311612665</v>
      </c>
      <c r="AD182" s="289">
        <v>4827</v>
      </c>
      <c r="AE182" s="289">
        <v>660</v>
      </c>
      <c r="AF182" s="289">
        <v>170</v>
      </c>
      <c r="AG182" s="289">
        <v>32</v>
      </c>
      <c r="AH182" s="289">
        <v>5689</v>
      </c>
      <c r="AI182" s="289">
        <v>1.0609388841013863</v>
      </c>
      <c r="AJ182" s="289">
        <v>49479</v>
      </c>
      <c r="AK182" s="289">
        <v>5101</v>
      </c>
      <c r="AL182" s="289">
        <v>1.0527467287569792</v>
      </c>
      <c r="AM182" s="289">
        <v>1.2624139316485155</v>
      </c>
      <c r="AN182" s="289">
        <v>0</v>
      </c>
      <c r="AO182" s="289">
        <v>0</v>
      </c>
      <c r="AP182" s="289">
        <f t="shared" si="1"/>
        <v>0</v>
      </c>
      <c r="AQ182" s="289">
        <v>402178.1501936652</v>
      </c>
      <c r="AR182" s="289">
        <v>-1514496.3972896482</v>
      </c>
      <c r="AS182" s="289">
        <v>1</v>
      </c>
      <c r="AT182" s="289">
        <v>105136</v>
      </c>
      <c r="AU182" s="289">
        <v>1</v>
      </c>
      <c r="AV182" s="289">
        <v>837</v>
      </c>
      <c r="AW182" s="289">
        <v>0.007961117029371481</v>
      </c>
      <c r="AX182" s="289">
        <v>0</v>
      </c>
      <c r="AY182" s="289">
        <v>2309.16</v>
      </c>
      <c r="AZ182" s="289">
        <v>45.529976268426616</v>
      </c>
      <c r="BA182" s="289">
        <v>90899</v>
      </c>
      <c r="BB182" s="289">
        <v>0.8645849185816467</v>
      </c>
      <c r="BC182" s="289">
        <v>0</v>
      </c>
      <c r="BD182" s="289">
        <v>0</v>
      </c>
      <c r="BE182" s="289">
        <v>102656</v>
      </c>
      <c r="BF182" s="289">
        <v>105136</v>
      </c>
      <c r="BG182" s="289">
        <v>0.024158354114713218</v>
      </c>
      <c r="BH182" s="289">
        <v>0</v>
      </c>
      <c r="BI182" s="289">
        <v>0</v>
      </c>
      <c r="BJ182" s="289">
        <v>0</v>
      </c>
      <c r="BK182" s="289">
        <v>16822226.694697857</v>
      </c>
      <c r="BL182" s="289">
        <v>5984.13</v>
      </c>
      <c r="BM182" s="301">
        <v>35530</v>
      </c>
    </row>
    <row r="183" spans="6:65" s="289" customFormat="1" ht="12.75">
      <c r="F183" s="289">
        <v>300</v>
      </c>
      <c r="G183" s="289" t="s">
        <v>227</v>
      </c>
      <c r="H183" s="289">
        <v>276</v>
      </c>
      <c r="I183" s="289">
        <v>45</v>
      </c>
      <c r="J183" s="289">
        <v>245</v>
      </c>
      <c r="K183" s="289">
        <v>112</v>
      </c>
      <c r="L183" s="289">
        <v>2530</v>
      </c>
      <c r="M183" s="289">
        <v>483</v>
      </c>
      <c r="N183" s="289">
        <v>412</v>
      </c>
      <c r="O183" s="289">
        <v>148</v>
      </c>
      <c r="P183" s="289">
        <v>3849</v>
      </c>
      <c r="Q183" s="289">
        <v>0</v>
      </c>
      <c r="R183" s="289">
        <v>6</v>
      </c>
      <c r="S183" s="289">
        <v>462.16999999999996</v>
      </c>
      <c r="T183" s="289">
        <v>8.32810437717723</v>
      </c>
      <c r="U183" s="289">
        <v>0</v>
      </c>
      <c r="V183" s="289">
        <v>0</v>
      </c>
      <c r="W183" s="289">
        <v>1520</v>
      </c>
      <c r="X183" s="289">
        <v>207</v>
      </c>
      <c r="Y183" s="289">
        <v>20</v>
      </c>
      <c r="Z183" s="289">
        <v>0.89388550736799</v>
      </c>
      <c r="AA183" s="289">
        <v>0</v>
      </c>
      <c r="AB183" s="289">
        <v>2</v>
      </c>
      <c r="AC183" s="289">
        <v>0.3126016136223688</v>
      </c>
      <c r="AD183" s="289">
        <v>270</v>
      </c>
      <c r="AE183" s="289">
        <v>30</v>
      </c>
      <c r="AF183" s="289">
        <v>3</v>
      </c>
      <c r="AG183" s="289">
        <v>2</v>
      </c>
      <c r="AH183" s="289">
        <v>305</v>
      </c>
      <c r="AI183" s="289">
        <v>1.553666534285713</v>
      </c>
      <c r="AJ183" s="289">
        <v>1678</v>
      </c>
      <c r="AK183" s="289">
        <v>120</v>
      </c>
      <c r="AL183" s="289">
        <v>0.7302621312958556</v>
      </c>
      <c r="AM183" s="289">
        <v>1.0741279878791863</v>
      </c>
      <c r="AN183" s="289">
        <v>0</v>
      </c>
      <c r="AO183" s="289">
        <v>0</v>
      </c>
      <c r="AP183" s="289">
        <f t="shared" si="1"/>
        <v>0</v>
      </c>
      <c r="AQ183" s="289">
        <v>43572.96139998175</v>
      </c>
      <c r="AR183" s="289">
        <v>2905231.624499999</v>
      </c>
      <c r="AS183" s="289">
        <v>1</v>
      </c>
      <c r="AT183" s="289">
        <v>3849</v>
      </c>
      <c r="AU183" s="289">
        <v>0</v>
      </c>
      <c r="AV183" s="289">
        <v>0</v>
      </c>
      <c r="AW183" s="289">
        <v>0</v>
      </c>
      <c r="AX183" s="289">
        <v>0</v>
      </c>
      <c r="AY183" s="289">
        <v>462.17</v>
      </c>
      <c r="AZ183" s="289">
        <v>8.32810437717723</v>
      </c>
      <c r="BA183" s="289">
        <v>1540</v>
      </c>
      <c r="BB183" s="289">
        <v>0.4001039230969083</v>
      </c>
      <c r="BC183" s="289">
        <v>0</v>
      </c>
      <c r="BD183" s="289">
        <v>0</v>
      </c>
      <c r="BE183" s="289">
        <v>3983</v>
      </c>
      <c r="BF183" s="289">
        <v>3849</v>
      </c>
      <c r="BG183" s="289">
        <v>-0.03364298267637459</v>
      </c>
      <c r="BH183" s="289">
        <v>0</v>
      </c>
      <c r="BI183" s="289">
        <v>0</v>
      </c>
      <c r="BJ183" s="289">
        <v>0</v>
      </c>
      <c r="BK183" s="289">
        <v>819739.9672620035</v>
      </c>
      <c r="BL183" s="289">
        <v>7042.76</v>
      </c>
      <c r="BM183" s="301">
        <v>1088</v>
      </c>
    </row>
    <row r="184" spans="6:65" s="289" customFormat="1" ht="12.75">
      <c r="F184" s="289">
        <v>301</v>
      </c>
      <c r="G184" s="289" t="s">
        <v>228</v>
      </c>
      <c r="H184" s="289">
        <v>985</v>
      </c>
      <c r="I184" s="289">
        <v>151</v>
      </c>
      <c r="J184" s="289">
        <v>921</v>
      </c>
      <c r="K184" s="289">
        <v>472</v>
      </c>
      <c r="L184" s="289">
        <v>10112</v>
      </c>
      <c r="M184" s="289">
        <v>1707</v>
      </c>
      <c r="N184" s="289">
        <v>1128</v>
      </c>
      <c r="O184" s="289">
        <v>463</v>
      </c>
      <c r="P184" s="289">
        <v>14395</v>
      </c>
      <c r="Q184" s="289">
        <v>5</v>
      </c>
      <c r="R184" s="289">
        <v>19</v>
      </c>
      <c r="S184" s="289">
        <v>905.62</v>
      </c>
      <c r="T184" s="289">
        <v>15.895187827123959</v>
      </c>
      <c r="U184" s="289">
        <v>0</v>
      </c>
      <c r="V184" s="289">
        <v>0</v>
      </c>
      <c r="W184" s="289">
        <v>5850</v>
      </c>
      <c r="X184" s="289">
        <v>519</v>
      </c>
      <c r="Y184" s="289">
        <v>95</v>
      </c>
      <c r="Z184" s="289">
        <v>0.9405258380364712</v>
      </c>
      <c r="AA184" s="289">
        <v>15</v>
      </c>
      <c r="AB184" s="289">
        <v>15</v>
      </c>
      <c r="AC184" s="289">
        <v>0.6268862161336388</v>
      </c>
      <c r="AD184" s="289">
        <v>916</v>
      </c>
      <c r="AE184" s="289">
        <v>97</v>
      </c>
      <c r="AF184" s="289">
        <v>40</v>
      </c>
      <c r="AG184" s="289">
        <v>5</v>
      </c>
      <c r="AH184" s="289">
        <v>1058</v>
      </c>
      <c r="AI184" s="289">
        <v>1.441052759647355</v>
      </c>
      <c r="AJ184" s="289">
        <v>6567</v>
      </c>
      <c r="AK184" s="289">
        <v>606</v>
      </c>
      <c r="AL184" s="289">
        <v>0.9423128177840645</v>
      </c>
      <c r="AM184" s="289">
        <v>1.2982240076677325</v>
      </c>
      <c r="AN184" s="289">
        <v>0</v>
      </c>
      <c r="AO184" s="289">
        <v>0</v>
      </c>
      <c r="AP184" s="289">
        <f t="shared" si="1"/>
        <v>0</v>
      </c>
      <c r="AQ184" s="289">
        <v>72008.12821538001</v>
      </c>
      <c r="AR184" s="289">
        <v>8986905.210138887</v>
      </c>
      <c r="AS184" s="289">
        <v>1</v>
      </c>
      <c r="AT184" s="289">
        <v>14395</v>
      </c>
      <c r="AU184" s="289">
        <v>0</v>
      </c>
      <c r="AV184" s="289">
        <v>0</v>
      </c>
      <c r="AW184" s="289">
        <v>0</v>
      </c>
      <c r="AX184" s="289">
        <v>0</v>
      </c>
      <c r="AY184" s="289">
        <v>905.64</v>
      </c>
      <c r="AZ184" s="289">
        <v>15.894836800494678</v>
      </c>
      <c r="BA184" s="289">
        <v>10000</v>
      </c>
      <c r="BB184" s="289">
        <v>0.6946856547412296</v>
      </c>
      <c r="BC184" s="289">
        <v>0</v>
      </c>
      <c r="BD184" s="289">
        <v>0</v>
      </c>
      <c r="BE184" s="289">
        <v>14626</v>
      </c>
      <c r="BF184" s="289">
        <v>14395</v>
      </c>
      <c r="BG184" s="289">
        <v>-0.015793791877478463</v>
      </c>
      <c r="BH184" s="289">
        <v>0</v>
      </c>
      <c r="BI184" s="289">
        <v>0</v>
      </c>
      <c r="BJ184" s="289">
        <v>0</v>
      </c>
      <c r="BK184" s="289">
        <v>2684640.4477176806</v>
      </c>
      <c r="BL184" s="289">
        <v>6592.48</v>
      </c>
      <c r="BM184" s="301">
        <v>4530</v>
      </c>
    </row>
    <row r="185" spans="6:65" s="289" customFormat="1" ht="12.75">
      <c r="F185" s="289">
        <v>304</v>
      </c>
      <c r="G185" s="289" t="s">
        <v>229</v>
      </c>
      <c r="H185" s="289">
        <v>34</v>
      </c>
      <c r="I185" s="289">
        <v>5</v>
      </c>
      <c r="J185" s="289">
        <v>33</v>
      </c>
      <c r="K185" s="289">
        <v>29</v>
      </c>
      <c r="L185" s="289">
        <v>580</v>
      </c>
      <c r="M185" s="289">
        <v>157</v>
      </c>
      <c r="N185" s="289">
        <v>71</v>
      </c>
      <c r="O185" s="289">
        <v>47</v>
      </c>
      <c r="P185" s="289">
        <v>889</v>
      </c>
      <c r="Q185" s="289">
        <v>0</v>
      </c>
      <c r="R185" s="289">
        <v>2</v>
      </c>
      <c r="S185" s="289">
        <v>165.83000000000004</v>
      </c>
      <c r="T185" s="289">
        <v>5.360911777121147</v>
      </c>
      <c r="U185" s="289">
        <v>2</v>
      </c>
      <c r="V185" s="289">
        <v>0</v>
      </c>
      <c r="W185" s="289">
        <v>358</v>
      </c>
      <c r="X185" s="289">
        <v>26</v>
      </c>
      <c r="Y185" s="289">
        <v>13</v>
      </c>
      <c r="Z185" s="289">
        <v>0.9363422399352573</v>
      </c>
      <c r="AA185" s="289">
        <v>0</v>
      </c>
      <c r="AB185" s="289">
        <v>2</v>
      </c>
      <c r="AC185" s="289">
        <v>1.3534348828262066</v>
      </c>
      <c r="AD185" s="289">
        <v>61</v>
      </c>
      <c r="AE185" s="289">
        <v>4</v>
      </c>
      <c r="AF185" s="289">
        <v>0</v>
      </c>
      <c r="AG185" s="289">
        <v>0</v>
      </c>
      <c r="AH185" s="289">
        <v>65</v>
      </c>
      <c r="AI185" s="289">
        <v>1.4335652948801236</v>
      </c>
      <c r="AJ185" s="289">
        <v>386</v>
      </c>
      <c r="AK185" s="289">
        <v>22</v>
      </c>
      <c r="AL185" s="289">
        <v>0.582002522429141</v>
      </c>
      <c r="AM185" s="289">
        <v>0.8295182735577297</v>
      </c>
      <c r="AN185" s="289">
        <v>0.05</v>
      </c>
      <c r="AO185" s="289">
        <v>0</v>
      </c>
      <c r="AP185" s="289">
        <f t="shared" si="1"/>
        <v>0.05</v>
      </c>
      <c r="AQ185" s="289">
        <v>44742.655345892534</v>
      </c>
      <c r="AR185" s="289">
        <v>265716.97000000055</v>
      </c>
      <c r="AS185" s="289">
        <v>0</v>
      </c>
      <c r="AT185" s="289">
        <v>889</v>
      </c>
      <c r="AU185" s="289">
        <v>2</v>
      </c>
      <c r="AV185" s="289">
        <v>889</v>
      </c>
      <c r="AW185" s="289">
        <v>0</v>
      </c>
      <c r="AX185" s="289">
        <v>0.5266666666666666</v>
      </c>
      <c r="AY185" s="289">
        <v>165.76</v>
      </c>
      <c r="AZ185" s="289">
        <v>5.363175675675676</v>
      </c>
      <c r="BA185" s="289">
        <v>328</v>
      </c>
      <c r="BB185" s="289">
        <v>0.3689538807649044</v>
      </c>
      <c r="BC185" s="289">
        <v>0</v>
      </c>
      <c r="BD185" s="289">
        <v>0</v>
      </c>
      <c r="BE185" s="289">
        <v>881</v>
      </c>
      <c r="BF185" s="289">
        <v>889</v>
      </c>
      <c r="BG185" s="289">
        <v>0.009080590238365494</v>
      </c>
      <c r="BH185" s="289">
        <v>0</v>
      </c>
      <c r="BI185" s="289">
        <v>0</v>
      </c>
      <c r="BJ185" s="289">
        <v>0</v>
      </c>
      <c r="BK185" s="289">
        <v>220462.99791170927</v>
      </c>
      <c r="BL185" s="289">
        <v>7728.09</v>
      </c>
      <c r="BM185" s="301">
        <v>184</v>
      </c>
    </row>
    <row r="186" spans="6:65" s="289" customFormat="1" ht="12.75">
      <c r="F186" s="289">
        <v>305</v>
      </c>
      <c r="G186" s="289" t="s">
        <v>230</v>
      </c>
      <c r="H186" s="289">
        <v>1177</v>
      </c>
      <c r="I186" s="289">
        <v>152</v>
      </c>
      <c r="J186" s="289">
        <v>1002</v>
      </c>
      <c r="K186" s="289">
        <v>623</v>
      </c>
      <c r="L186" s="289">
        <v>11611</v>
      </c>
      <c r="M186" s="289">
        <v>1840</v>
      </c>
      <c r="N186" s="289">
        <v>1177</v>
      </c>
      <c r="O186" s="289">
        <v>362</v>
      </c>
      <c r="P186" s="289">
        <v>16167</v>
      </c>
      <c r="Q186" s="289">
        <v>4</v>
      </c>
      <c r="R186" s="289">
        <v>16</v>
      </c>
      <c r="S186" s="289">
        <v>4977.86</v>
      </c>
      <c r="T186" s="289">
        <v>3.247781175043091</v>
      </c>
      <c r="U186" s="289">
        <v>0</v>
      </c>
      <c r="V186" s="289">
        <v>0</v>
      </c>
      <c r="W186" s="289">
        <v>6304</v>
      </c>
      <c r="X186" s="289">
        <v>466</v>
      </c>
      <c r="Y186" s="289">
        <v>76</v>
      </c>
      <c r="Z186" s="289">
        <v>0.9604704517455649</v>
      </c>
      <c r="AA186" s="289">
        <v>35</v>
      </c>
      <c r="AB186" s="289">
        <v>35</v>
      </c>
      <c r="AC186" s="289">
        <v>1.3024100445084867</v>
      </c>
      <c r="AD186" s="289">
        <v>1074</v>
      </c>
      <c r="AE186" s="289">
        <v>96</v>
      </c>
      <c r="AF186" s="289">
        <v>48</v>
      </c>
      <c r="AG186" s="289">
        <v>5</v>
      </c>
      <c r="AH186" s="289">
        <v>1223</v>
      </c>
      <c r="AI186" s="289">
        <v>1.4832108770120804</v>
      </c>
      <c r="AJ186" s="289">
        <v>7207</v>
      </c>
      <c r="AK186" s="289">
        <v>904</v>
      </c>
      <c r="AL186" s="289">
        <v>1.2808651196848655</v>
      </c>
      <c r="AM186" s="289">
        <v>1.5895630731276522</v>
      </c>
      <c r="AN186" s="289">
        <v>0.05</v>
      </c>
      <c r="AO186" s="289">
        <v>0</v>
      </c>
      <c r="AP186" s="289">
        <f t="shared" si="1"/>
        <v>0.05</v>
      </c>
      <c r="AQ186" s="289">
        <v>-579082.7256268188</v>
      </c>
      <c r="AR186" s="289">
        <v>8953460.51846154</v>
      </c>
      <c r="AS186" s="289">
        <v>1</v>
      </c>
      <c r="AT186" s="289">
        <v>16167</v>
      </c>
      <c r="AU186" s="289">
        <v>0</v>
      </c>
      <c r="AV186" s="289">
        <v>0</v>
      </c>
      <c r="AW186" s="289">
        <v>0</v>
      </c>
      <c r="AX186" s="289">
        <v>0.7109333333333334</v>
      </c>
      <c r="AY186" s="289">
        <v>4978.14</v>
      </c>
      <c r="AZ186" s="289">
        <v>3.247598500644819</v>
      </c>
      <c r="BA186" s="289">
        <v>10208</v>
      </c>
      <c r="BB186" s="289">
        <v>0.6314096616564607</v>
      </c>
      <c r="BC186" s="289">
        <v>0</v>
      </c>
      <c r="BD186" s="289">
        <v>0</v>
      </c>
      <c r="BE186" s="289">
        <v>16669</v>
      </c>
      <c r="BF186" s="289">
        <v>16167</v>
      </c>
      <c r="BG186" s="289">
        <v>-0.030115783790269364</v>
      </c>
      <c r="BH186" s="289">
        <v>0</v>
      </c>
      <c r="BI186" s="289">
        <v>4</v>
      </c>
      <c r="BJ186" s="289">
        <v>0.0002474175790189893</v>
      </c>
      <c r="BK186" s="289">
        <v>3292245.040443719</v>
      </c>
      <c r="BL186" s="289">
        <v>7883.44</v>
      </c>
      <c r="BM186" s="301">
        <v>5168</v>
      </c>
    </row>
    <row r="187" spans="6:65" s="289" customFormat="1" ht="12.75">
      <c r="F187" s="289">
        <v>309</v>
      </c>
      <c r="G187" s="289" t="s">
        <v>294</v>
      </c>
      <c r="H187" s="289">
        <v>510</v>
      </c>
      <c r="I187" s="289">
        <v>66</v>
      </c>
      <c r="J187" s="289">
        <v>378</v>
      </c>
      <c r="K187" s="289">
        <v>221</v>
      </c>
      <c r="L187" s="289">
        <v>5007</v>
      </c>
      <c r="M187" s="289">
        <v>981</v>
      </c>
      <c r="N187" s="289">
        <v>615</v>
      </c>
      <c r="O187" s="289">
        <v>230</v>
      </c>
      <c r="P187" s="289">
        <v>7343</v>
      </c>
      <c r="Q187" s="289">
        <v>0</v>
      </c>
      <c r="R187" s="289">
        <v>30</v>
      </c>
      <c r="S187" s="289">
        <v>445.81999999999994</v>
      </c>
      <c r="T187" s="289">
        <v>16.470772957695935</v>
      </c>
      <c r="U187" s="289">
        <v>0</v>
      </c>
      <c r="V187" s="289">
        <v>0</v>
      </c>
      <c r="W187" s="289">
        <v>2569</v>
      </c>
      <c r="X187" s="289">
        <v>140</v>
      </c>
      <c r="Y187" s="289">
        <v>51</v>
      </c>
      <c r="Z187" s="289">
        <v>0.9726905692182813</v>
      </c>
      <c r="AA187" s="289">
        <v>29</v>
      </c>
      <c r="AB187" s="289">
        <v>29</v>
      </c>
      <c r="AC187" s="289">
        <v>2.3759297776210286</v>
      </c>
      <c r="AD187" s="289">
        <v>508</v>
      </c>
      <c r="AE187" s="289">
        <v>34</v>
      </c>
      <c r="AF187" s="289">
        <v>4</v>
      </c>
      <c r="AG187" s="289">
        <v>0</v>
      </c>
      <c r="AH187" s="289">
        <v>546</v>
      </c>
      <c r="AI187" s="289">
        <v>1.4578908070334757</v>
      </c>
      <c r="AJ187" s="289">
        <v>3016</v>
      </c>
      <c r="AK187" s="289">
        <v>427</v>
      </c>
      <c r="AL187" s="289">
        <v>1.445726123580538</v>
      </c>
      <c r="AM187" s="289">
        <v>1.4955129854521663</v>
      </c>
      <c r="AN187" s="289">
        <v>0</v>
      </c>
      <c r="AO187" s="289">
        <v>0</v>
      </c>
      <c r="AP187" s="289">
        <f t="shared" si="1"/>
        <v>0</v>
      </c>
      <c r="AQ187" s="289">
        <v>145432.3681433089</v>
      </c>
      <c r="AR187" s="289">
        <v>4793649.381647062</v>
      </c>
      <c r="AS187" s="289">
        <v>0</v>
      </c>
      <c r="AT187" s="289">
        <v>7343</v>
      </c>
      <c r="AU187" s="289">
        <v>0</v>
      </c>
      <c r="AV187" s="289">
        <v>0</v>
      </c>
      <c r="AW187" s="289">
        <v>0</v>
      </c>
      <c r="AX187" s="289">
        <v>0.0194</v>
      </c>
      <c r="AY187" s="289">
        <v>445.84</v>
      </c>
      <c r="AZ187" s="289">
        <v>16.470034092948143</v>
      </c>
      <c r="BA187" s="289">
        <v>5157</v>
      </c>
      <c r="BB187" s="289">
        <v>0.7023015116437423</v>
      </c>
      <c r="BC187" s="289">
        <v>0</v>
      </c>
      <c r="BD187" s="289">
        <v>0</v>
      </c>
      <c r="BE187" s="289">
        <v>7492</v>
      </c>
      <c r="BF187" s="289">
        <v>7343</v>
      </c>
      <c r="BG187" s="289">
        <v>-0.01988788040576615</v>
      </c>
      <c r="BH187" s="289">
        <v>0</v>
      </c>
      <c r="BI187" s="289">
        <v>0</v>
      </c>
      <c r="BJ187" s="289">
        <v>0</v>
      </c>
      <c r="BK187" s="289">
        <v>1319167.192110429</v>
      </c>
      <c r="BL187" s="289">
        <v>6609.36</v>
      </c>
      <c r="BM187" s="301">
        <v>2129</v>
      </c>
    </row>
    <row r="188" spans="6:65" s="289" customFormat="1" ht="12.75">
      <c r="F188" s="289">
        <v>312</v>
      </c>
      <c r="G188" s="289" t="s">
        <v>231</v>
      </c>
      <c r="H188" s="289">
        <v>102</v>
      </c>
      <c r="I188" s="289">
        <v>15</v>
      </c>
      <c r="J188" s="289">
        <v>91</v>
      </c>
      <c r="K188" s="289">
        <v>42</v>
      </c>
      <c r="L188" s="289">
        <v>972</v>
      </c>
      <c r="M188" s="289">
        <v>205</v>
      </c>
      <c r="N188" s="289">
        <v>129</v>
      </c>
      <c r="O188" s="289">
        <v>61</v>
      </c>
      <c r="P188" s="289">
        <v>1469</v>
      </c>
      <c r="Q188" s="289">
        <v>0</v>
      </c>
      <c r="R188" s="289">
        <v>1</v>
      </c>
      <c r="S188" s="289">
        <v>448.22</v>
      </c>
      <c r="T188" s="289">
        <v>3.2774084155102403</v>
      </c>
      <c r="U188" s="289">
        <v>0</v>
      </c>
      <c r="V188" s="289">
        <v>0</v>
      </c>
      <c r="W188" s="289">
        <v>547</v>
      </c>
      <c r="X188" s="289">
        <v>87</v>
      </c>
      <c r="Y188" s="289">
        <v>6</v>
      </c>
      <c r="Z188" s="289">
        <v>0.8721586363989229</v>
      </c>
      <c r="AA188" s="289">
        <v>4</v>
      </c>
      <c r="AB188" s="289">
        <v>2</v>
      </c>
      <c r="AC188" s="289">
        <v>0.8190630434530276</v>
      </c>
      <c r="AD188" s="289">
        <v>100</v>
      </c>
      <c r="AE188" s="289">
        <v>9</v>
      </c>
      <c r="AF188" s="289">
        <v>3</v>
      </c>
      <c r="AG188" s="289">
        <v>0</v>
      </c>
      <c r="AH188" s="289">
        <v>112</v>
      </c>
      <c r="AI188" s="289">
        <v>1.4948654687188998</v>
      </c>
      <c r="AJ188" s="289">
        <v>637</v>
      </c>
      <c r="AK188" s="289">
        <v>73</v>
      </c>
      <c r="AL188" s="289">
        <v>1.1702345566582226</v>
      </c>
      <c r="AM188" s="289">
        <v>1.2890665460130488</v>
      </c>
      <c r="AN188" s="289">
        <v>0.05</v>
      </c>
      <c r="AO188" s="289">
        <v>0</v>
      </c>
      <c r="AP188" s="289">
        <f t="shared" si="1"/>
        <v>0.05</v>
      </c>
      <c r="AQ188" s="289">
        <v>-17635.270867861807</v>
      </c>
      <c r="AR188" s="289">
        <v>1176663.7812820517</v>
      </c>
      <c r="AS188" s="289">
        <v>1</v>
      </c>
      <c r="AT188" s="289">
        <v>1469</v>
      </c>
      <c r="AU188" s="289">
        <v>0</v>
      </c>
      <c r="AV188" s="289">
        <v>0</v>
      </c>
      <c r="AW188" s="289">
        <v>0</v>
      </c>
      <c r="AX188" s="289">
        <v>0.7863166666666667</v>
      </c>
      <c r="AY188" s="289">
        <v>448.22</v>
      </c>
      <c r="AZ188" s="289">
        <v>3.2774084155102403</v>
      </c>
      <c r="BA188" s="289">
        <v>837</v>
      </c>
      <c r="BB188" s="289">
        <v>0.5697753573859768</v>
      </c>
      <c r="BC188" s="289">
        <v>0</v>
      </c>
      <c r="BD188" s="289">
        <v>0</v>
      </c>
      <c r="BE188" s="289">
        <v>1536</v>
      </c>
      <c r="BF188" s="289">
        <v>1469</v>
      </c>
      <c r="BG188" s="289">
        <v>-0.043619791666666664</v>
      </c>
      <c r="BH188" s="289">
        <v>0</v>
      </c>
      <c r="BI188" s="289">
        <v>0</v>
      </c>
      <c r="BJ188" s="289">
        <v>0</v>
      </c>
      <c r="BK188" s="289">
        <v>355505.02816070535</v>
      </c>
      <c r="BL188" s="289">
        <v>7891.36</v>
      </c>
      <c r="BM188" s="301">
        <v>439</v>
      </c>
    </row>
    <row r="189" spans="6:65" s="289" customFormat="1" ht="12.75">
      <c r="F189" s="289">
        <v>316</v>
      </c>
      <c r="G189" s="289" t="s">
        <v>232</v>
      </c>
      <c r="H189" s="289">
        <v>327</v>
      </c>
      <c r="I189" s="289">
        <v>54</v>
      </c>
      <c r="J189" s="289">
        <v>319</v>
      </c>
      <c r="K189" s="289">
        <v>150</v>
      </c>
      <c r="L189" s="289">
        <v>3455</v>
      </c>
      <c r="M189" s="289">
        <v>589</v>
      </c>
      <c r="N189" s="289">
        <v>288</v>
      </c>
      <c r="O189" s="289">
        <v>113</v>
      </c>
      <c r="P189" s="289">
        <v>4772</v>
      </c>
      <c r="Q189" s="289">
        <v>2</v>
      </c>
      <c r="R189" s="289">
        <v>14</v>
      </c>
      <c r="S189" s="289">
        <v>256.47</v>
      </c>
      <c r="T189" s="289">
        <v>18.60646469372636</v>
      </c>
      <c r="U189" s="289">
        <v>0</v>
      </c>
      <c r="V189" s="289">
        <v>0</v>
      </c>
      <c r="W189" s="289">
        <v>2070</v>
      </c>
      <c r="X189" s="289">
        <v>159</v>
      </c>
      <c r="Y189" s="289">
        <v>39</v>
      </c>
      <c r="Z189" s="289">
        <v>0.9503037829431512</v>
      </c>
      <c r="AA189" s="289">
        <v>14</v>
      </c>
      <c r="AB189" s="289">
        <v>14</v>
      </c>
      <c r="AC189" s="289">
        <v>1.7649675766612496</v>
      </c>
      <c r="AD189" s="289">
        <v>192</v>
      </c>
      <c r="AE189" s="289">
        <v>36</v>
      </c>
      <c r="AF189" s="289">
        <v>4</v>
      </c>
      <c r="AG189" s="289">
        <v>0</v>
      </c>
      <c r="AH189" s="289">
        <v>232</v>
      </c>
      <c r="AI189" s="289">
        <v>0.9532206297583202</v>
      </c>
      <c r="AJ189" s="289">
        <v>2318</v>
      </c>
      <c r="AK189" s="289">
        <v>200</v>
      </c>
      <c r="AL189" s="289">
        <v>0.8810611563952012</v>
      </c>
      <c r="AM189" s="289">
        <v>0.9584876573006421</v>
      </c>
      <c r="AN189" s="289">
        <v>0</v>
      </c>
      <c r="AO189" s="289">
        <v>0</v>
      </c>
      <c r="AP189" s="289">
        <f t="shared" si="1"/>
        <v>0</v>
      </c>
      <c r="AQ189" s="289">
        <v>-35237.641212861985</v>
      </c>
      <c r="AR189" s="289">
        <v>2050059.1398795175</v>
      </c>
      <c r="AS189" s="289">
        <v>1</v>
      </c>
      <c r="AT189" s="289">
        <v>4772</v>
      </c>
      <c r="AU189" s="289">
        <v>0</v>
      </c>
      <c r="AV189" s="289">
        <v>0</v>
      </c>
      <c r="AW189" s="289">
        <v>0</v>
      </c>
      <c r="AX189" s="289">
        <v>0</v>
      </c>
      <c r="AY189" s="289">
        <v>256.47</v>
      </c>
      <c r="AZ189" s="289">
        <v>18.60646469372636</v>
      </c>
      <c r="BA189" s="289">
        <v>3150</v>
      </c>
      <c r="BB189" s="289">
        <v>0.6601005867560771</v>
      </c>
      <c r="BC189" s="289">
        <v>0</v>
      </c>
      <c r="BD189" s="289">
        <v>0</v>
      </c>
      <c r="BE189" s="289">
        <v>4875</v>
      </c>
      <c r="BF189" s="289">
        <v>4772</v>
      </c>
      <c r="BG189" s="289">
        <v>-0.021128205128205128</v>
      </c>
      <c r="BH189" s="289">
        <v>0</v>
      </c>
      <c r="BI189" s="289">
        <v>0</v>
      </c>
      <c r="BJ189" s="289">
        <v>0</v>
      </c>
      <c r="BK189" s="289">
        <v>870662.4936789654</v>
      </c>
      <c r="BL189" s="289">
        <v>6504.2</v>
      </c>
      <c r="BM189" s="301">
        <v>1408</v>
      </c>
    </row>
    <row r="190" spans="6:65" s="289" customFormat="1" ht="12.75">
      <c r="F190" s="289">
        <v>317</v>
      </c>
      <c r="G190" s="289" t="s">
        <v>233</v>
      </c>
      <c r="H190" s="289">
        <v>230</v>
      </c>
      <c r="I190" s="289">
        <v>31</v>
      </c>
      <c r="J190" s="289">
        <v>227</v>
      </c>
      <c r="K190" s="289">
        <v>93</v>
      </c>
      <c r="L190" s="289">
        <v>1903</v>
      </c>
      <c r="M190" s="289">
        <v>345</v>
      </c>
      <c r="N190" s="289">
        <v>208</v>
      </c>
      <c r="O190" s="289">
        <v>74</v>
      </c>
      <c r="P190" s="289">
        <v>2760</v>
      </c>
      <c r="Q190" s="289">
        <v>0</v>
      </c>
      <c r="R190" s="289">
        <v>2</v>
      </c>
      <c r="S190" s="289">
        <v>695.9399999999999</v>
      </c>
      <c r="T190" s="289">
        <v>3.965859125786706</v>
      </c>
      <c r="U190" s="289">
        <v>0</v>
      </c>
      <c r="V190" s="289">
        <v>0</v>
      </c>
      <c r="W190" s="289">
        <v>1004</v>
      </c>
      <c r="X190" s="289">
        <v>243</v>
      </c>
      <c r="Y190" s="289">
        <v>13</v>
      </c>
      <c r="Z190" s="289">
        <v>0.7828793614845413</v>
      </c>
      <c r="AA190" s="289">
        <v>8</v>
      </c>
      <c r="AB190" s="289">
        <v>8</v>
      </c>
      <c r="AC190" s="289">
        <v>1.743773349032605</v>
      </c>
      <c r="AD190" s="289">
        <v>187</v>
      </c>
      <c r="AE190" s="289">
        <v>17</v>
      </c>
      <c r="AF190" s="289">
        <v>2</v>
      </c>
      <c r="AG190" s="289">
        <v>0</v>
      </c>
      <c r="AH190" s="289">
        <v>206</v>
      </c>
      <c r="AI190" s="289">
        <v>1.4634032704157</v>
      </c>
      <c r="AJ190" s="289">
        <v>1153</v>
      </c>
      <c r="AK190" s="289">
        <v>133</v>
      </c>
      <c r="AL190" s="289">
        <v>1.1779092287497925</v>
      </c>
      <c r="AM190" s="289">
        <v>1.8381851119937735</v>
      </c>
      <c r="AN190" s="289">
        <v>0.05</v>
      </c>
      <c r="AO190" s="289">
        <v>0</v>
      </c>
      <c r="AP190" s="289">
        <f t="shared" si="1"/>
        <v>0.05</v>
      </c>
      <c r="AQ190" s="289">
        <v>49000.51558020711</v>
      </c>
      <c r="AR190" s="289">
        <v>3166871.6678313254</v>
      </c>
      <c r="AS190" s="289">
        <v>1</v>
      </c>
      <c r="AT190" s="289">
        <v>2760</v>
      </c>
      <c r="AU190" s="289">
        <v>0</v>
      </c>
      <c r="AV190" s="289">
        <v>0</v>
      </c>
      <c r="AW190" s="289">
        <v>0</v>
      </c>
      <c r="AX190" s="289">
        <v>0.8543666666666667</v>
      </c>
      <c r="AY190" s="289">
        <v>695.93</v>
      </c>
      <c r="AZ190" s="289">
        <v>3.9659161122526694</v>
      </c>
      <c r="BA190" s="289">
        <v>1231</v>
      </c>
      <c r="BB190" s="289">
        <v>0.4460144927536232</v>
      </c>
      <c r="BC190" s="289">
        <v>0</v>
      </c>
      <c r="BD190" s="289">
        <v>0</v>
      </c>
      <c r="BE190" s="289">
        <v>2918</v>
      </c>
      <c r="BF190" s="289">
        <v>2760</v>
      </c>
      <c r="BG190" s="289">
        <v>-0.05414667580534613</v>
      </c>
      <c r="BH190" s="289">
        <v>0</v>
      </c>
      <c r="BI190" s="289">
        <v>0</v>
      </c>
      <c r="BJ190" s="289">
        <v>0</v>
      </c>
      <c r="BK190" s="289">
        <v>739377.5258495928</v>
      </c>
      <c r="BL190" s="289">
        <v>7560.96</v>
      </c>
      <c r="BM190" s="301">
        <v>954</v>
      </c>
    </row>
    <row r="191" spans="6:65" s="289" customFormat="1" ht="12.75">
      <c r="F191" s="289">
        <v>319</v>
      </c>
      <c r="G191" s="289" t="s">
        <v>234</v>
      </c>
      <c r="H191" s="289">
        <v>159</v>
      </c>
      <c r="I191" s="289">
        <v>29</v>
      </c>
      <c r="J191" s="289">
        <v>162</v>
      </c>
      <c r="K191" s="289">
        <v>87</v>
      </c>
      <c r="L191" s="289">
        <v>1902</v>
      </c>
      <c r="M191" s="289">
        <v>370</v>
      </c>
      <c r="N191" s="289">
        <v>230</v>
      </c>
      <c r="O191" s="289">
        <v>89</v>
      </c>
      <c r="P191" s="289">
        <v>2750</v>
      </c>
      <c r="Q191" s="289">
        <v>0</v>
      </c>
      <c r="R191" s="289">
        <v>0</v>
      </c>
      <c r="S191" s="289">
        <v>246.05999999999997</v>
      </c>
      <c r="T191" s="289">
        <v>11.176135901812568</v>
      </c>
      <c r="U191" s="289">
        <v>0</v>
      </c>
      <c r="V191" s="289">
        <v>0</v>
      </c>
      <c r="W191" s="289">
        <v>1201</v>
      </c>
      <c r="X191" s="289">
        <v>170</v>
      </c>
      <c r="Y191" s="289">
        <v>13</v>
      </c>
      <c r="Z191" s="289">
        <v>0.8907005689902222</v>
      </c>
      <c r="AA191" s="289">
        <v>6</v>
      </c>
      <c r="AB191" s="289">
        <v>6</v>
      </c>
      <c r="AC191" s="289">
        <v>1.3125857572718156</v>
      </c>
      <c r="AD191" s="289">
        <v>140</v>
      </c>
      <c r="AE191" s="289">
        <v>23</v>
      </c>
      <c r="AF191" s="289">
        <v>6</v>
      </c>
      <c r="AG191" s="289">
        <v>1</v>
      </c>
      <c r="AH191" s="289">
        <v>170</v>
      </c>
      <c r="AI191" s="289">
        <v>1.2120543944908144</v>
      </c>
      <c r="AJ191" s="289">
        <v>1304</v>
      </c>
      <c r="AK191" s="289">
        <v>78</v>
      </c>
      <c r="AL191" s="289">
        <v>0.6108105111996854</v>
      </c>
      <c r="AM191" s="289">
        <v>0.814406223778936</v>
      </c>
      <c r="AN191" s="289">
        <v>0</v>
      </c>
      <c r="AO191" s="289">
        <v>0</v>
      </c>
      <c r="AP191" s="289">
        <f t="shared" si="1"/>
        <v>0</v>
      </c>
      <c r="AQ191" s="289">
        <v>-70271.1558063794</v>
      </c>
      <c r="AR191" s="289">
        <v>959775.155</v>
      </c>
      <c r="AS191" s="289">
        <v>1</v>
      </c>
      <c r="AT191" s="289">
        <v>2750</v>
      </c>
      <c r="AU191" s="289">
        <v>0</v>
      </c>
      <c r="AV191" s="289">
        <v>0</v>
      </c>
      <c r="AW191" s="289">
        <v>0</v>
      </c>
      <c r="AX191" s="289">
        <v>0</v>
      </c>
      <c r="AY191" s="289">
        <v>246.06</v>
      </c>
      <c r="AZ191" s="289">
        <v>11.176135901812566</v>
      </c>
      <c r="BA191" s="289">
        <v>1340</v>
      </c>
      <c r="BB191" s="289">
        <v>0.48727272727272725</v>
      </c>
      <c r="BC191" s="289">
        <v>0</v>
      </c>
      <c r="BD191" s="289">
        <v>0</v>
      </c>
      <c r="BE191" s="289">
        <v>2852</v>
      </c>
      <c r="BF191" s="289">
        <v>2750</v>
      </c>
      <c r="BG191" s="289">
        <v>-0.03576437587657784</v>
      </c>
      <c r="BH191" s="289">
        <v>0</v>
      </c>
      <c r="BI191" s="289">
        <v>0</v>
      </c>
      <c r="BJ191" s="289">
        <v>0</v>
      </c>
      <c r="BK191" s="289">
        <v>518610.263096916</v>
      </c>
      <c r="BL191" s="289">
        <v>6814.36</v>
      </c>
      <c r="BM191" s="301">
        <v>776</v>
      </c>
    </row>
    <row r="192" spans="6:65" s="289" customFormat="1" ht="12.75">
      <c r="F192" s="289">
        <v>320</v>
      </c>
      <c r="G192" s="289" t="s">
        <v>200</v>
      </c>
      <c r="H192" s="289">
        <v>338</v>
      </c>
      <c r="I192" s="289">
        <v>65</v>
      </c>
      <c r="J192" s="289">
        <v>363</v>
      </c>
      <c r="K192" s="289">
        <v>204</v>
      </c>
      <c r="L192" s="289">
        <v>5266</v>
      </c>
      <c r="M192" s="289">
        <v>1316</v>
      </c>
      <c r="N192" s="289">
        <v>935</v>
      </c>
      <c r="O192" s="289">
        <v>238</v>
      </c>
      <c r="P192" s="289">
        <v>8093</v>
      </c>
      <c r="Q192" s="289">
        <v>0</v>
      </c>
      <c r="R192" s="289">
        <v>11</v>
      </c>
      <c r="S192" s="289">
        <v>3504.97</v>
      </c>
      <c r="T192" s="289">
        <v>2.309006924452991</v>
      </c>
      <c r="U192" s="289">
        <v>0</v>
      </c>
      <c r="V192" s="289">
        <v>0</v>
      </c>
      <c r="W192" s="289">
        <v>2738</v>
      </c>
      <c r="X192" s="289">
        <v>184</v>
      </c>
      <c r="Y192" s="289">
        <v>34</v>
      </c>
      <c r="Z192" s="289">
        <v>0.9671504898891851</v>
      </c>
      <c r="AA192" s="289">
        <v>9</v>
      </c>
      <c r="AB192" s="289">
        <v>9</v>
      </c>
      <c r="AC192" s="289">
        <v>0.6690246198870924</v>
      </c>
      <c r="AD192" s="289">
        <v>562</v>
      </c>
      <c r="AE192" s="289">
        <v>40</v>
      </c>
      <c r="AF192" s="289">
        <v>25</v>
      </c>
      <c r="AG192" s="289">
        <v>6</v>
      </c>
      <c r="AH192" s="289">
        <v>633</v>
      </c>
      <c r="AI192" s="289">
        <v>1.533557458667901</v>
      </c>
      <c r="AJ192" s="289">
        <v>3401</v>
      </c>
      <c r="AK192" s="289">
        <v>616</v>
      </c>
      <c r="AL192" s="289">
        <v>1.8495393303187753</v>
      </c>
      <c r="AM192" s="289">
        <v>1.5299365878425821</v>
      </c>
      <c r="AN192" s="289">
        <v>0.0800000000000001</v>
      </c>
      <c r="AO192" s="289">
        <v>0</v>
      </c>
      <c r="AP192" s="289">
        <f t="shared" si="1"/>
        <v>0.0800000000000001</v>
      </c>
      <c r="AQ192" s="289">
        <v>174912.97830431908</v>
      </c>
      <c r="AR192" s="289">
        <v>3544769.458749998</v>
      </c>
      <c r="AS192" s="289">
        <v>1</v>
      </c>
      <c r="AT192" s="289">
        <v>8093</v>
      </c>
      <c r="AU192" s="289">
        <v>0</v>
      </c>
      <c r="AV192" s="289">
        <v>0</v>
      </c>
      <c r="AW192" s="289">
        <v>0</v>
      </c>
      <c r="AX192" s="289">
        <v>1.3012166666666667</v>
      </c>
      <c r="AY192" s="289">
        <v>3505.5</v>
      </c>
      <c r="AZ192" s="289">
        <v>2.3086578234203396</v>
      </c>
      <c r="BA192" s="289">
        <v>5583</v>
      </c>
      <c r="BB192" s="289">
        <v>0.6898554306190535</v>
      </c>
      <c r="BC192" s="289">
        <v>0</v>
      </c>
      <c r="BD192" s="289">
        <v>0</v>
      </c>
      <c r="BE192" s="289">
        <v>8519</v>
      </c>
      <c r="BF192" s="289">
        <v>8093</v>
      </c>
      <c r="BG192" s="289">
        <v>-0.050005869233478106</v>
      </c>
      <c r="BH192" s="289">
        <v>0</v>
      </c>
      <c r="BI192" s="289">
        <v>0</v>
      </c>
      <c r="BJ192" s="289">
        <v>0</v>
      </c>
      <c r="BK192" s="289">
        <v>1604636.3229615858</v>
      </c>
      <c r="BL192" s="289">
        <v>8250.06</v>
      </c>
      <c r="BM192" s="301">
        <v>1858</v>
      </c>
    </row>
    <row r="193" spans="6:65" s="289" customFormat="1" ht="12.75">
      <c r="F193" s="289">
        <v>322</v>
      </c>
      <c r="G193" s="289" t="s">
        <v>202</v>
      </c>
      <c r="H193" s="289">
        <v>396</v>
      </c>
      <c r="I193" s="289">
        <v>60</v>
      </c>
      <c r="J193" s="289">
        <v>417</v>
      </c>
      <c r="K193" s="289">
        <v>213</v>
      </c>
      <c r="L193" s="289">
        <v>4679</v>
      </c>
      <c r="M193" s="289">
        <v>1023</v>
      </c>
      <c r="N193" s="289">
        <v>666</v>
      </c>
      <c r="O193" s="289">
        <v>311</v>
      </c>
      <c r="P193" s="289">
        <v>7075</v>
      </c>
      <c r="Q193" s="289">
        <v>481</v>
      </c>
      <c r="R193" s="289">
        <v>19</v>
      </c>
      <c r="S193" s="289">
        <v>686.9299999999998</v>
      </c>
      <c r="T193" s="289">
        <v>10.299448269838269</v>
      </c>
      <c r="U193" s="289">
        <v>2</v>
      </c>
      <c r="V193" s="289">
        <v>3</v>
      </c>
      <c r="W193" s="289">
        <v>2941</v>
      </c>
      <c r="X193" s="289">
        <v>205</v>
      </c>
      <c r="Y193" s="289">
        <v>48</v>
      </c>
      <c r="Z193" s="289">
        <v>0.9604200081846406</v>
      </c>
      <c r="AA193" s="289">
        <v>12</v>
      </c>
      <c r="AB193" s="289">
        <v>12</v>
      </c>
      <c r="AC193" s="289">
        <v>1.0203846876318001</v>
      </c>
      <c r="AD193" s="289">
        <v>307</v>
      </c>
      <c r="AE193" s="289">
        <v>34</v>
      </c>
      <c r="AF193" s="289">
        <v>11</v>
      </c>
      <c r="AG193" s="289">
        <v>4</v>
      </c>
      <c r="AH193" s="289">
        <v>356</v>
      </c>
      <c r="AI193" s="289">
        <v>0.986573479282068</v>
      </c>
      <c r="AJ193" s="289">
        <v>3143</v>
      </c>
      <c r="AK193" s="289">
        <v>241</v>
      </c>
      <c r="AL193" s="289">
        <v>0.7830007036053171</v>
      </c>
      <c r="AM193" s="289">
        <v>1.1544067246669623</v>
      </c>
      <c r="AN193" s="289">
        <v>0</v>
      </c>
      <c r="AO193" s="289">
        <v>0</v>
      </c>
      <c r="AP193" s="289">
        <f t="shared" si="1"/>
        <v>0</v>
      </c>
      <c r="AQ193" s="289">
        <v>440505.1809879467</v>
      </c>
      <c r="AR193" s="289">
        <v>3596888.9397468367</v>
      </c>
      <c r="AS193" s="289">
        <v>1</v>
      </c>
      <c r="AT193" s="289">
        <v>7075</v>
      </c>
      <c r="AU193" s="289">
        <v>2</v>
      </c>
      <c r="AV193" s="289">
        <v>7075</v>
      </c>
      <c r="AW193" s="289">
        <v>0</v>
      </c>
      <c r="AX193" s="289">
        <v>0.3424</v>
      </c>
      <c r="AY193" s="289">
        <v>686.93</v>
      </c>
      <c r="AZ193" s="289">
        <v>10.299448269838267</v>
      </c>
      <c r="BA193" s="289">
        <v>3669</v>
      </c>
      <c r="BB193" s="289">
        <v>0.5185865724381625</v>
      </c>
      <c r="BC193" s="289">
        <v>3</v>
      </c>
      <c r="BD193" s="289">
        <v>0</v>
      </c>
      <c r="BE193" s="289">
        <v>7298</v>
      </c>
      <c r="BF193" s="289">
        <v>7075</v>
      </c>
      <c r="BG193" s="289">
        <v>-0.03055631679912305</v>
      </c>
      <c r="BH193" s="289">
        <v>0</v>
      </c>
      <c r="BI193" s="289">
        <v>0</v>
      </c>
      <c r="BJ193" s="289">
        <v>0</v>
      </c>
      <c r="BK193" s="289">
        <v>1232308.4725146573</v>
      </c>
      <c r="BL193" s="289">
        <v>8174.26</v>
      </c>
      <c r="BM193" s="301">
        <v>1890</v>
      </c>
    </row>
    <row r="194" spans="6:65" s="289" customFormat="1" ht="12.75">
      <c r="F194" s="289">
        <v>398</v>
      </c>
      <c r="G194" s="289" t="s">
        <v>235</v>
      </c>
      <c r="H194" s="289">
        <v>7164</v>
      </c>
      <c r="I194" s="289">
        <v>949</v>
      </c>
      <c r="J194" s="289">
        <v>5733</v>
      </c>
      <c r="K194" s="289">
        <v>2948</v>
      </c>
      <c r="L194" s="289">
        <v>74853</v>
      </c>
      <c r="M194" s="289">
        <v>11965</v>
      </c>
      <c r="N194" s="289">
        <v>6632</v>
      </c>
      <c r="O194" s="289">
        <v>2402</v>
      </c>
      <c r="P194" s="289">
        <v>103016</v>
      </c>
      <c r="Q194" s="289">
        <v>20</v>
      </c>
      <c r="R194" s="289">
        <v>626</v>
      </c>
      <c r="S194" s="289">
        <v>135.05</v>
      </c>
      <c r="T194" s="289">
        <v>762.7989633469085</v>
      </c>
      <c r="U194" s="289">
        <v>0</v>
      </c>
      <c r="V194" s="289">
        <v>0</v>
      </c>
      <c r="W194" s="289">
        <v>42548</v>
      </c>
      <c r="X194" s="289">
        <v>151</v>
      </c>
      <c r="Y194" s="289">
        <v>521</v>
      </c>
      <c r="Z194" s="289">
        <v>1.0342201612275572</v>
      </c>
      <c r="AA194" s="289">
        <v>168</v>
      </c>
      <c r="AB194" s="289">
        <v>168</v>
      </c>
      <c r="AC194" s="289">
        <v>0.9811010261505959</v>
      </c>
      <c r="AD194" s="289">
        <v>4104</v>
      </c>
      <c r="AE194" s="289">
        <v>580</v>
      </c>
      <c r="AF194" s="289">
        <v>128</v>
      </c>
      <c r="AG194" s="289">
        <v>5</v>
      </c>
      <c r="AH194" s="289">
        <v>4817</v>
      </c>
      <c r="AI194" s="289">
        <v>0.9168068438381471</v>
      </c>
      <c r="AJ194" s="289">
        <v>48903</v>
      </c>
      <c r="AK194" s="289">
        <v>6891</v>
      </c>
      <c r="AL194" s="289">
        <v>1.4389186399373666</v>
      </c>
      <c r="AM194" s="289">
        <v>1.0798683512725369</v>
      </c>
      <c r="AN194" s="289">
        <v>0</v>
      </c>
      <c r="AO194" s="289">
        <v>0</v>
      </c>
      <c r="AP194" s="289">
        <f t="shared" si="1"/>
        <v>0</v>
      </c>
      <c r="AQ194" s="289">
        <v>-109895.07826721668</v>
      </c>
      <c r="AR194" s="289">
        <v>-2905111.533580778</v>
      </c>
      <c r="AS194" s="289">
        <v>1</v>
      </c>
      <c r="AT194" s="289">
        <v>103016</v>
      </c>
      <c r="AU194" s="289">
        <v>0</v>
      </c>
      <c r="AV194" s="289">
        <v>0</v>
      </c>
      <c r="AW194" s="289">
        <v>0</v>
      </c>
      <c r="AX194" s="289">
        <v>0</v>
      </c>
      <c r="AY194" s="289">
        <v>135.05</v>
      </c>
      <c r="AZ194" s="289">
        <v>762.7989633469085</v>
      </c>
      <c r="BA194" s="289">
        <v>101319</v>
      </c>
      <c r="BB194" s="289">
        <v>0.9835268307835676</v>
      </c>
      <c r="BC194" s="289">
        <v>0</v>
      </c>
      <c r="BD194" s="289">
        <v>0</v>
      </c>
      <c r="BE194" s="289">
        <v>100854</v>
      </c>
      <c r="BF194" s="289">
        <v>103016</v>
      </c>
      <c r="BG194" s="289">
        <v>0.021436928629504037</v>
      </c>
      <c r="BH194" s="289">
        <v>0</v>
      </c>
      <c r="BI194" s="289">
        <v>10</v>
      </c>
      <c r="BJ194" s="289">
        <v>9.707229944862934E-05</v>
      </c>
      <c r="BK194" s="289">
        <v>19233424.61999475</v>
      </c>
      <c r="BL194" s="289">
        <v>6028.32</v>
      </c>
      <c r="BM194" s="301">
        <v>34052</v>
      </c>
    </row>
    <row r="195" spans="6:65" s="289" customFormat="1" ht="12.75">
      <c r="F195" s="289">
        <v>399</v>
      </c>
      <c r="G195" s="289" t="s">
        <v>236</v>
      </c>
      <c r="H195" s="289">
        <v>784</v>
      </c>
      <c r="I195" s="289">
        <v>104</v>
      </c>
      <c r="J195" s="289">
        <v>586</v>
      </c>
      <c r="K195" s="289">
        <v>265</v>
      </c>
      <c r="L195" s="289">
        <v>5684</v>
      </c>
      <c r="M195" s="289">
        <v>820</v>
      </c>
      <c r="N195" s="289">
        <v>472</v>
      </c>
      <c r="O195" s="289">
        <v>233</v>
      </c>
      <c r="P195" s="289">
        <v>7993</v>
      </c>
      <c r="Q195" s="289">
        <v>12</v>
      </c>
      <c r="R195" s="289">
        <v>7</v>
      </c>
      <c r="S195" s="289">
        <v>504.24</v>
      </c>
      <c r="T195" s="289">
        <v>15.851578613358718</v>
      </c>
      <c r="U195" s="289">
        <v>0</v>
      </c>
      <c r="V195" s="289">
        <v>0</v>
      </c>
      <c r="W195" s="289">
        <v>3593</v>
      </c>
      <c r="X195" s="289">
        <v>185</v>
      </c>
      <c r="Y195" s="289">
        <v>41</v>
      </c>
      <c r="Z195" s="289">
        <v>0.9847202259588699</v>
      </c>
      <c r="AA195" s="289">
        <v>4</v>
      </c>
      <c r="AB195" s="289">
        <v>2</v>
      </c>
      <c r="AC195" s="289">
        <v>0.15053216700018737</v>
      </c>
      <c r="AD195" s="289">
        <v>385</v>
      </c>
      <c r="AE195" s="289">
        <v>61</v>
      </c>
      <c r="AF195" s="289">
        <v>15</v>
      </c>
      <c r="AG195" s="289">
        <v>6</v>
      </c>
      <c r="AH195" s="289">
        <v>467</v>
      </c>
      <c r="AI195" s="289">
        <v>1.145547100863865</v>
      </c>
      <c r="AJ195" s="289">
        <v>3790</v>
      </c>
      <c r="AK195" s="289">
        <v>204</v>
      </c>
      <c r="AL195" s="289">
        <v>0.5496426796133398</v>
      </c>
      <c r="AM195" s="289">
        <v>1.0094994568131725</v>
      </c>
      <c r="AN195" s="289">
        <v>0</v>
      </c>
      <c r="AO195" s="289">
        <v>0</v>
      </c>
      <c r="AP195" s="289">
        <f t="shared" si="1"/>
        <v>0</v>
      </c>
      <c r="AQ195" s="289">
        <v>-82669.05663659237</v>
      </c>
      <c r="AR195" s="289">
        <v>949948.8830379758</v>
      </c>
      <c r="AS195" s="289">
        <v>1</v>
      </c>
      <c r="AT195" s="289">
        <v>7993</v>
      </c>
      <c r="AU195" s="289">
        <v>0</v>
      </c>
      <c r="AV195" s="289">
        <v>0</v>
      </c>
      <c r="AW195" s="289">
        <v>0</v>
      </c>
      <c r="AX195" s="289">
        <v>0</v>
      </c>
      <c r="AY195" s="289">
        <v>504.24</v>
      </c>
      <c r="AZ195" s="289">
        <v>15.851578613358718</v>
      </c>
      <c r="BA195" s="289">
        <v>6465</v>
      </c>
      <c r="BB195" s="289">
        <v>0.8088327286375578</v>
      </c>
      <c r="BC195" s="289">
        <v>0</v>
      </c>
      <c r="BD195" s="289">
        <v>0</v>
      </c>
      <c r="BE195" s="289">
        <v>7794</v>
      </c>
      <c r="BF195" s="289">
        <v>7993</v>
      </c>
      <c r="BG195" s="289">
        <v>0.025532460867333847</v>
      </c>
      <c r="BH195" s="289">
        <v>0</v>
      </c>
      <c r="BI195" s="289">
        <v>0</v>
      </c>
      <c r="BJ195" s="289">
        <v>0</v>
      </c>
      <c r="BK195" s="289">
        <v>1304753.0382441673</v>
      </c>
      <c r="BL195" s="289">
        <v>6595.63</v>
      </c>
      <c r="BM195" s="301">
        <v>2631</v>
      </c>
    </row>
    <row r="196" spans="6:65" s="289" customFormat="1" ht="12.75">
      <c r="F196" s="289">
        <v>400</v>
      </c>
      <c r="G196" s="289" t="s">
        <v>237</v>
      </c>
      <c r="H196" s="289">
        <v>680</v>
      </c>
      <c r="I196" s="289">
        <v>95</v>
      </c>
      <c r="J196" s="289">
        <v>566</v>
      </c>
      <c r="K196" s="289">
        <v>296</v>
      </c>
      <c r="L196" s="289">
        <v>5914</v>
      </c>
      <c r="M196" s="289">
        <v>973</v>
      </c>
      <c r="N196" s="289">
        <v>646</v>
      </c>
      <c r="O196" s="289">
        <v>247</v>
      </c>
      <c r="P196" s="289">
        <v>8460</v>
      </c>
      <c r="Q196" s="289">
        <v>5</v>
      </c>
      <c r="R196" s="289">
        <v>30</v>
      </c>
      <c r="S196" s="289">
        <v>531.6500000000001</v>
      </c>
      <c r="T196" s="289">
        <v>15.912724536819333</v>
      </c>
      <c r="U196" s="289">
        <v>0</v>
      </c>
      <c r="V196" s="289">
        <v>0</v>
      </c>
      <c r="W196" s="289">
        <v>3652</v>
      </c>
      <c r="X196" s="289">
        <v>357</v>
      </c>
      <c r="Y196" s="289">
        <v>53</v>
      </c>
      <c r="Z196" s="289">
        <v>0.9328443829374184</v>
      </c>
      <c r="AA196" s="289">
        <v>13</v>
      </c>
      <c r="AB196" s="289">
        <v>13</v>
      </c>
      <c r="AC196" s="289">
        <v>0.9244472187247322</v>
      </c>
      <c r="AD196" s="289">
        <v>447</v>
      </c>
      <c r="AE196" s="289">
        <v>61</v>
      </c>
      <c r="AF196" s="289">
        <v>18</v>
      </c>
      <c r="AG196" s="289">
        <v>5</v>
      </c>
      <c r="AH196" s="289">
        <v>531</v>
      </c>
      <c r="AI196" s="289">
        <v>1.2306372059207424</v>
      </c>
      <c r="AJ196" s="289">
        <v>3935</v>
      </c>
      <c r="AK196" s="289">
        <v>237</v>
      </c>
      <c r="AL196" s="289">
        <v>0.6150254679087752</v>
      </c>
      <c r="AM196" s="289">
        <v>1.2472684684521909</v>
      </c>
      <c r="AN196" s="289">
        <v>0</v>
      </c>
      <c r="AO196" s="289">
        <v>0</v>
      </c>
      <c r="AP196" s="289">
        <f t="shared" si="1"/>
        <v>0</v>
      </c>
      <c r="AQ196" s="289">
        <v>84422.16206699982</v>
      </c>
      <c r="AR196" s="289">
        <v>2576984.9751851857</v>
      </c>
      <c r="AS196" s="289">
        <v>1</v>
      </c>
      <c r="AT196" s="289">
        <v>8460</v>
      </c>
      <c r="AU196" s="289">
        <v>0</v>
      </c>
      <c r="AV196" s="289">
        <v>0</v>
      </c>
      <c r="AW196" s="289">
        <v>0</v>
      </c>
      <c r="AX196" s="289">
        <v>0</v>
      </c>
      <c r="AY196" s="289">
        <v>531.67</v>
      </c>
      <c r="AZ196" s="289">
        <v>15.912125942784058</v>
      </c>
      <c r="BA196" s="289">
        <v>5648</v>
      </c>
      <c r="BB196" s="289">
        <v>0.667612293144208</v>
      </c>
      <c r="BC196" s="289">
        <v>0</v>
      </c>
      <c r="BD196" s="289">
        <v>0</v>
      </c>
      <c r="BE196" s="289">
        <v>8442</v>
      </c>
      <c r="BF196" s="289">
        <v>8460</v>
      </c>
      <c r="BG196" s="289">
        <v>0.0021321961620469083</v>
      </c>
      <c r="BH196" s="289">
        <v>0</v>
      </c>
      <c r="BI196" s="289">
        <v>0</v>
      </c>
      <c r="BJ196" s="289">
        <v>0</v>
      </c>
      <c r="BK196" s="289">
        <v>1645287.1237646872</v>
      </c>
      <c r="BL196" s="289">
        <v>6619.36</v>
      </c>
      <c r="BM196" s="301">
        <v>2636</v>
      </c>
    </row>
    <row r="197" spans="6:65" s="289" customFormat="1" ht="12.75">
      <c r="F197" s="289">
        <v>402</v>
      </c>
      <c r="G197" s="289" t="s">
        <v>239</v>
      </c>
      <c r="H197" s="289">
        <v>783</v>
      </c>
      <c r="I197" s="289">
        <v>120</v>
      </c>
      <c r="J197" s="289">
        <v>692</v>
      </c>
      <c r="K197" s="289">
        <v>351</v>
      </c>
      <c r="L197" s="289">
        <v>7220</v>
      </c>
      <c r="M197" s="289">
        <v>1150</v>
      </c>
      <c r="N197" s="289">
        <v>787</v>
      </c>
      <c r="O197" s="289">
        <v>349</v>
      </c>
      <c r="P197" s="289">
        <v>10289</v>
      </c>
      <c r="Q197" s="289">
        <v>3</v>
      </c>
      <c r="R197" s="289">
        <v>18</v>
      </c>
      <c r="S197" s="289">
        <v>1096.5099999999998</v>
      </c>
      <c r="T197" s="289">
        <v>9.383407356066066</v>
      </c>
      <c r="U197" s="289">
        <v>0</v>
      </c>
      <c r="V197" s="289">
        <v>0</v>
      </c>
      <c r="W197" s="289">
        <v>3964</v>
      </c>
      <c r="X197" s="289">
        <v>609</v>
      </c>
      <c r="Y197" s="289">
        <v>60</v>
      </c>
      <c r="Z197" s="289">
        <v>0.8734714860468582</v>
      </c>
      <c r="AA197" s="289">
        <v>18</v>
      </c>
      <c r="AB197" s="289">
        <v>18</v>
      </c>
      <c r="AC197" s="289">
        <v>1.0524669547567769</v>
      </c>
      <c r="AD197" s="289">
        <v>735</v>
      </c>
      <c r="AE197" s="289">
        <v>67</v>
      </c>
      <c r="AF197" s="289">
        <v>17</v>
      </c>
      <c r="AG197" s="289">
        <v>4</v>
      </c>
      <c r="AH197" s="289">
        <v>823</v>
      </c>
      <c r="AI197" s="289">
        <v>1.5683123085941786</v>
      </c>
      <c r="AJ197" s="289">
        <v>4471</v>
      </c>
      <c r="AK197" s="289">
        <v>516</v>
      </c>
      <c r="AL197" s="289">
        <v>1.1785133934583127</v>
      </c>
      <c r="AM197" s="289">
        <v>1.551776330134229</v>
      </c>
      <c r="AN197" s="289">
        <v>0</v>
      </c>
      <c r="AO197" s="289">
        <v>0</v>
      </c>
      <c r="AP197" s="289">
        <f t="shared" si="1"/>
        <v>0</v>
      </c>
      <c r="AQ197" s="289">
        <v>-103708.25441498868</v>
      </c>
      <c r="AR197" s="289">
        <v>7726721.357432434</v>
      </c>
      <c r="AS197" s="289">
        <v>1</v>
      </c>
      <c r="AT197" s="289">
        <v>10289</v>
      </c>
      <c r="AU197" s="289">
        <v>0</v>
      </c>
      <c r="AV197" s="289">
        <v>0</v>
      </c>
      <c r="AW197" s="289">
        <v>0</v>
      </c>
      <c r="AX197" s="289">
        <v>0</v>
      </c>
      <c r="AY197" s="289">
        <v>1096.53</v>
      </c>
      <c r="AZ197" s="289">
        <v>9.383236208767658</v>
      </c>
      <c r="BA197" s="289">
        <v>5509</v>
      </c>
      <c r="BB197" s="289">
        <v>0.5354261833025561</v>
      </c>
      <c r="BC197" s="289">
        <v>0</v>
      </c>
      <c r="BD197" s="289">
        <v>0</v>
      </c>
      <c r="BE197" s="289">
        <v>10477</v>
      </c>
      <c r="BF197" s="289">
        <v>10289</v>
      </c>
      <c r="BG197" s="289">
        <v>-0.017944067958385036</v>
      </c>
      <c r="BH197" s="289">
        <v>0</v>
      </c>
      <c r="BI197" s="289">
        <v>0</v>
      </c>
      <c r="BJ197" s="289">
        <v>0</v>
      </c>
      <c r="BK197" s="289">
        <v>2296241.86194531</v>
      </c>
      <c r="BL197" s="289">
        <v>6959.71</v>
      </c>
      <c r="BM197" s="301">
        <v>3192</v>
      </c>
    </row>
    <row r="198" spans="6:65" s="289" customFormat="1" ht="12.75">
      <c r="F198" s="289">
        <v>403</v>
      </c>
      <c r="G198" s="289" t="s">
        <v>240</v>
      </c>
      <c r="H198" s="289">
        <v>207</v>
      </c>
      <c r="I198" s="289">
        <v>28</v>
      </c>
      <c r="J198" s="289">
        <v>166</v>
      </c>
      <c r="K198" s="289">
        <v>94</v>
      </c>
      <c r="L198" s="289">
        <v>2206</v>
      </c>
      <c r="M198" s="289">
        <v>473</v>
      </c>
      <c r="N198" s="289">
        <v>361</v>
      </c>
      <c r="O198" s="289">
        <v>136</v>
      </c>
      <c r="P198" s="289">
        <v>3383</v>
      </c>
      <c r="Q198" s="289">
        <v>0</v>
      </c>
      <c r="R198" s="289">
        <v>3</v>
      </c>
      <c r="S198" s="289">
        <v>420.89</v>
      </c>
      <c r="T198" s="289">
        <v>8.03772957304759</v>
      </c>
      <c r="U198" s="289">
        <v>0</v>
      </c>
      <c r="V198" s="289">
        <v>0</v>
      </c>
      <c r="W198" s="289">
        <v>1326</v>
      </c>
      <c r="X198" s="289">
        <v>231</v>
      </c>
      <c r="Y198" s="289">
        <v>20</v>
      </c>
      <c r="Z198" s="289">
        <v>0.8519064361174953</v>
      </c>
      <c r="AA198" s="289">
        <v>0</v>
      </c>
      <c r="AB198" s="289">
        <v>2</v>
      </c>
      <c r="AC198" s="289">
        <v>0.3556617235685775</v>
      </c>
      <c r="AD198" s="289">
        <v>298</v>
      </c>
      <c r="AE198" s="289">
        <v>17</v>
      </c>
      <c r="AF198" s="289">
        <v>6</v>
      </c>
      <c r="AG198" s="289">
        <v>1</v>
      </c>
      <c r="AH198" s="289">
        <v>322</v>
      </c>
      <c r="AI198" s="289">
        <v>1.8662067540498621</v>
      </c>
      <c r="AJ198" s="289">
        <v>1419</v>
      </c>
      <c r="AK198" s="289">
        <v>93</v>
      </c>
      <c r="AL198" s="289">
        <v>0.6692525642309342</v>
      </c>
      <c r="AM198" s="289">
        <v>1.2454880562520052</v>
      </c>
      <c r="AN198" s="289">
        <v>0</v>
      </c>
      <c r="AO198" s="289">
        <v>0</v>
      </c>
      <c r="AP198" s="289">
        <f t="shared" si="1"/>
        <v>0</v>
      </c>
      <c r="AQ198" s="289">
        <v>48930.923893926665</v>
      </c>
      <c r="AR198" s="289">
        <v>2594415.497500001</v>
      </c>
      <c r="AS198" s="289">
        <v>1</v>
      </c>
      <c r="AT198" s="289">
        <v>3383</v>
      </c>
      <c r="AU198" s="289">
        <v>0</v>
      </c>
      <c r="AV198" s="289">
        <v>0</v>
      </c>
      <c r="AW198" s="289">
        <v>0</v>
      </c>
      <c r="AX198" s="289">
        <v>0</v>
      </c>
      <c r="AY198" s="289">
        <v>420.86</v>
      </c>
      <c r="AZ198" s="289">
        <v>8.038302523404457</v>
      </c>
      <c r="BA198" s="289">
        <v>1687</v>
      </c>
      <c r="BB198" s="289">
        <v>0.4986698196866686</v>
      </c>
      <c r="BC198" s="289">
        <v>0</v>
      </c>
      <c r="BD198" s="289">
        <v>0</v>
      </c>
      <c r="BE198" s="289">
        <v>3495</v>
      </c>
      <c r="BF198" s="289">
        <v>3383</v>
      </c>
      <c r="BG198" s="289">
        <v>-0.03204577968526466</v>
      </c>
      <c r="BH198" s="289">
        <v>0</v>
      </c>
      <c r="BI198" s="289">
        <v>0</v>
      </c>
      <c r="BJ198" s="289">
        <v>0</v>
      </c>
      <c r="BK198" s="289">
        <v>755446.2437329813</v>
      </c>
      <c r="BL198" s="289">
        <v>7053.29</v>
      </c>
      <c r="BM198" s="301">
        <v>1016</v>
      </c>
    </row>
    <row r="199" spans="6:65" s="289" customFormat="1" ht="12.75">
      <c r="F199" s="289">
        <v>405</v>
      </c>
      <c r="G199" s="289" t="s">
        <v>241</v>
      </c>
      <c r="H199" s="289">
        <v>5046</v>
      </c>
      <c r="I199" s="289">
        <v>727</v>
      </c>
      <c r="J199" s="289">
        <v>4177</v>
      </c>
      <c r="K199" s="289">
        <v>2200</v>
      </c>
      <c r="L199" s="289">
        <v>52803</v>
      </c>
      <c r="M199" s="289">
        <v>7874</v>
      </c>
      <c r="N199" s="289">
        <v>4874</v>
      </c>
      <c r="O199" s="289">
        <v>1827</v>
      </c>
      <c r="P199" s="289">
        <v>72424</v>
      </c>
      <c r="Q199" s="289">
        <v>9</v>
      </c>
      <c r="R199" s="289">
        <v>393</v>
      </c>
      <c r="S199" s="289">
        <v>1433.35</v>
      </c>
      <c r="T199" s="289">
        <v>50.52778456064465</v>
      </c>
      <c r="U199" s="289">
        <v>0</v>
      </c>
      <c r="V199" s="289">
        <v>0</v>
      </c>
      <c r="W199" s="289">
        <v>30298</v>
      </c>
      <c r="X199" s="289">
        <v>707</v>
      </c>
      <c r="Y199" s="289">
        <v>355</v>
      </c>
      <c r="Z199" s="289">
        <v>1.0139836473036068</v>
      </c>
      <c r="AA199" s="289">
        <v>112</v>
      </c>
      <c r="AB199" s="289">
        <v>112</v>
      </c>
      <c r="AC199" s="289">
        <v>0.9303463245142475</v>
      </c>
      <c r="AD199" s="289">
        <v>3407</v>
      </c>
      <c r="AE199" s="289">
        <v>403</v>
      </c>
      <c r="AF199" s="289">
        <v>96</v>
      </c>
      <c r="AG199" s="289">
        <v>6</v>
      </c>
      <c r="AH199" s="289">
        <v>3912</v>
      </c>
      <c r="AI199" s="289">
        <v>1.0590640392145096</v>
      </c>
      <c r="AJ199" s="289">
        <v>34210</v>
      </c>
      <c r="AK199" s="289">
        <v>4064</v>
      </c>
      <c r="AL199" s="289">
        <v>1.2130818805568322</v>
      </c>
      <c r="AM199" s="289">
        <v>1.0483517542040754</v>
      </c>
      <c r="AN199" s="289">
        <v>0</v>
      </c>
      <c r="AO199" s="289">
        <v>0</v>
      </c>
      <c r="AP199" s="289">
        <f t="shared" si="1"/>
        <v>0</v>
      </c>
      <c r="AQ199" s="289">
        <v>997030.4585953057</v>
      </c>
      <c r="AR199" s="289">
        <v>-2284124.7296948717</v>
      </c>
      <c r="AS199" s="289">
        <v>1</v>
      </c>
      <c r="AT199" s="289">
        <v>72424</v>
      </c>
      <c r="AU199" s="289">
        <v>0</v>
      </c>
      <c r="AV199" s="289">
        <v>0</v>
      </c>
      <c r="AW199" s="289">
        <v>0</v>
      </c>
      <c r="AX199" s="289">
        <v>0</v>
      </c>
      <c r="AY199" s="289">
        <v>1433.37</v>
      </c>
      <c r="AZ199" s="289">
        <v>50.52707953982573</v>
      </c>
      <c r="BA199" s="289">
        <v>63723</v>
      </c>
      <c r="BB199" s="289">
        <v>0.8798602673147023</v>
      </c>
      <c r="BC199" s="289">
        <v>0</v>
      </c>
      <c r="BD199" s="289">
        <v>0</v>
      </c>
      <c r="BE199" s="289">
        <v>71814</v>
      </c>
      <c r="BF199" s="289">
        <v>72424</v>
      </c>
      <c r="BG199" s="289">
        <v>0.008494165483053444</v>
      </c>
      <c r="BH199" s="289">
        <v>0</v>
      </c>
      <c r="BI199" s="289">
        <v>1</v>
      </c>
      <c r="BJ199" s="289">
        <v>1.3807577598586104E-05</v>
      </c>
      <c r="BK199" s="289">
        <v>11749051.40241369</v>
      </c>
      <c r="BL199" s="289">
        <v>6014.64</v>
      </c>
      <c r="BM199" s="301">
        <v>23733</v>
      </c>
    </row>
    <row r="200" spans="6:65" s="289" customFormat="1" ht="12.75">
      <c r="F200" s="289">
        <v>407</v>
      </c>
      <c r="G200" s="289" t="s">
        <v>238</v>
      </c>
      <c r="H200" s="289">
        <v>185</v>
      </c>
      <c r="I200" s="289">
        <v>29</v>
      </c>
      <c r="J200" s="289">
        <v>172</v>
      </c>
      <c r="K200" s="289">
        <v>103</v>
      </c>
      <c r="L200" s="289">
        <v>1933</v>
      </c>
      <c r="M200" s="289">
        <v>391</v>
      </c>
      <c r="N200" s="289">
        <v>223</v>
      </c>
      <c r="O200" s="289">
        <v>97</v>
      </c>
      <c r="P200" s="289">
        <v>2829</v>
      </c>
      <c r="Q200" s="289">
        <v>106</v>
      </c>
      <c r="R200" s="289">
        <v>3</v>
      </c>
      <c r="S200" s="289">
        <v>329.87</v>
      </c>
      <c r="T200" s="289">
        <v>8.576105738624307</v>
      </c>
      <c r="U200" s="289">
        <v>0</v>
      </c>
      <c r="V200" s="289">
        <v>1</v>
      </c>
      <c r="W200" s="289">
        <v>1176</v>
      </c>
      <c r="X200" s="289">
        <v>211</v>
      </c>
      <c r="Y200" s="289">
        <v>27</v>
      </c>
      <c r="Z200" s="289">
        <v>0.8381514019662294</v>
      </c>
      <c r="AA200" s="289">
        <v>2</v>
      </c>
      <c r="AB200" s="289">
        <v>2</v>
      </c>
      <c r="AC200" s="289">
        <v>0.42531057293478175</v>
      </c>
      <c r="AD200" s="289">
        <v>111</v>
      </c>
      <c r="AE200" s="289">
        <v>16</v>
      </c>
      <c r="AF200" s="289">
        <v>3</v>
      </c>
      <c r="AG200" s="289">
        <v>1</v>
      </c>
      <c r="AH200" s="289">
        <v>131</v>
      </c>
      <c r="AI200" s="289">
        <v>0.9079129927750731</v>
      </c>
      <c r="AJ200" s="289">
        <v>1324</v>
      </c>
      <c r="AK200" s="289">
        <v>108</v>
      </c>
      <c r="AL200" s="289">
        <v>0.8329621379780976</v>
      </c>
      <c r="AM200" s="289">
        <v>1.0472787703010649</v>
      </c>
      <c r="AN200" s="289">
        <v>0</v>
      </c>
      <c r="AO200" s="289">
        <v>0</v>
      </c>
      <c r="AP200" s="289">
        <f t="shared" si="1"/>
        <v>0</v>
      </c>
      <c r="AQ200" s="289">
        <v>28807.877030804753</v>
      </c>
      <c r="AR200" s="289">
        <v>1476904.53</v>
      </c>
      <c r="AS200" s="289">
        <v>0</v>
      </c>
      <c r="AT200" s="289">
        <v>2829</v>
      </c>
      <c r="AU200" s="289">
        <v>0</v>
      </c>
      <c r="AV200" s="289">
        <v>0</v>
      </c>
      <c r="AW200" s="289">
        <v>0</v>
      </c>
      <c r="AX200" s="289">
        <v>0</v>
      </c>
      <c r="AY200" s="289">
        <v>329.9</v>
      </c>
      <c r="AZ200" s="289">
        <v>8.575325856320097</v>
      </c>
      <c r="BA200" s="289">
        <v>764</v>
      </c>
      <c r="BB200" s="289">
        <v>0.27006009190526686</v>
      </c>
      <c r="BC200" s="289">
        <v>1</v>
      </c>
      <c r="BD200" s="289">
        <v>0</v>
      </c>
      <c r="BE200" s="289">
        <v>2926</v>
      </c>
      <c r="BF200" s="289">
        <v>2829</v>
      </c>
      <c r="BG200" s="289">
        <v>-0.03315105946684894</v>
      </c>
      <c r="BH200" s="289">
        <v>0</v>
      </c>
      <c r="BI200" s="289">
        <v>0</v>
      </c>
      <c r="BJ200" s="289">
        <v>0</v>
      </c>
      <c r="BK200" s="289">
        <v>578158.277231813</v>
      </c>
      <c r="BL200" s="289">
        <v>7564.24</v>
      </c>
      <c r="BM200" s="301">
        <v>791</v>
      </c>
    </row>
    <row r="201" spans="6:65" s="289" customFormat="1" ht="12.75">
      <c r="F201" s="289">
        <v>408</v>
      </c>
      <c r="G201" s="289" t="s">
        <v>242</v>
      </c>
      <c r="H201" s="289">
        <v>1306</v>
      </c>
      <c r="I201" s="289">
        <v>168</v>
      </c>
      <c r="J201" s="289">
        <v>1132</v>
      </c>
      <c r="K201" s="289">
        <v>505</v>
      </c>
      <c r="L201" s="289">
        <v>10376</v>
      </c>
      <c r="M201" s="289">
        <v>1491</v>
      </c>
      <c r="N201" s="289">
        <v>1055</v>
      </c>
      <c r="O201" s="289">
        <v>422</v>
      </c>
      <c r="P201" s="289">
        <v>14650</v>
      </c>
      <c r="Q201" s="289">
        <v>3</v>
      </c>
      <c r="R201" s="289">
        <v>25</v>
      </c>
      <c r="S201" s="289">
        <v>737.1500000000001</v>
      </c>
      <c r="T201" s="289">
        <v>19.873838431798138</v>
      </c>
      <c r="U201" s="289">
        <v>0</v>
      </c>
      <c r="V201" s="289">
        <v>0</v>
      </c>
      <c r="W201" s="289">
        <v>6074</v>
      </c>
      <c r="X201" s="289">
        <v>477</v>
      </c>
      <c r="Y201" s="289">
        <v>79</v>
      </c>
      <c r="Z201" s="289">
        <v>0.9546273390083766</v>
      </c>
      <c r="AA201" s="289">
        <v>9</v>
      </c>
      <c r="AB201" s="289">
        <v>9</v>
      </c>
      <c r="AC201" s="289">
        <v>0.3695847268768764</v>
      </c>
      <c r="AD201" s="289">
        <v>757</v>
      </c>
      <c r="AE201" s="289">
        <v>137</v>
      </c>
      <c r="AF201" s="289">
        <v>23</v>
      </c>
      <c r="AG201" s="289">
        <v>4</v>
      </c>
      <c r="AH201" s="289">
        <v>921</v>
      </c>
      <c r="AI201" s="289">
        <v>1.2326162488040997</v>
      </c>
      <c r="AJ201" s="289">
        <v>6529</v>
      </c>
      <c r="AK201" s="289">
        <v>442</v>
      </c>
      <c r="AL201" s="289">
        <v>0.6912976674465016</v>
      </c>
      <c r="AM201" s="289">
        <v>1.192376696327715</v>
      </c>
      <c r="AN201" s="289">
        <v>0</v>
      </c>
      <c r="AO201" s="289">
        <v>0</v>
      </c>
      <c r="AP201" s="289">
        <f t="shared" si="1"/>
        <v>0</v>
      </c>
      <c r="AQ201" s="289">
        <v>357807.1910356991</v>
      </c>
      <c r="AR201" s="289">
        <v>5397792.728375007</v>
      </c>
      <c r="AS201" s="289">
        <v>1</v>
      </c>
      <c r="AT201" s="289">
        <v>14650</v>
      </c>
      <c r="AU201" s="289">
        <v>0</v>
      </c>
      <c r="AV201" s="289">
        <v>0</v>
      </c>
      <c r="AW201" s="289">
        <v>0</v>
      </c>
      <c r="AX201" s="289">
        <v>0</v>
      </c>
      <c r="AY201" s="289">
        <v>737.09</v>
      </c>
      <c r="AZ201" s="289">
        <v>19.87545618581177</v>
      </c>
      <c r="BA201" s="289">
        <v>10894</v>
      </c>
      <c r="BB201" s="289">
        <v>0.7436177474402731</v>
      </c>
      <c r="BC201" s="289">
        <v>0</v>
      </c>
      <c r="BD201" s="289">
        <v>0</v>
      </c>
      <c r="BE201" s="289">
        <v>14326</v>
      </c>
      <c r="BF201" s="289">
        <v>14650</v>
      </c>
      <c r="BG201" s="289">
        <v>0.022616222253245846</v>
      </c>
      <c r="BH201" s="289">
        <v>0</v>
      </c>
      <c r="BI201" s="289">
        <v>0</v>
      </c>
      <c r="BJ201" s="289">
        <v>0</v>
      </c>
      <c r="BK201" s="289">
        <v>2407279.618125586</v>
      </c>
      <c r="BL201" s="289">
        <v>6439.26</v>
      </c>
      <c r="BM201" s="301">
        <v>4920</v>
      </c>
    </row>
    <row r="202" spans="6:65" s="289" customFormat="1" ht="12.75">
      <c r="F202" s="289">
        <v>410</v>
      </c>
      <c r="G202" s="289" t="s">
        <v>243</v>
      </c>
      <c r="H202" s="289">
        <v>1968</v>
      </c>
      <c r="I202" s="289">
        <v>312</v>
      </c>
      <c r="J202" s="289">
        <v>1627</v>
      </c>
      <c r="K202" s="289">
        <v>758</v>
      </c>
      <c r="L202" s="289">
        <v>13575</v>
      </c>
      <c r="M202" s="289">
        <v>1666</v>
      </c>
      <c r="N202" s="289">
        <v>968</v>
      </c>
      <c r="O202" s="289">
        <v>304</v>
      </c>
      <c r="P202" s="289">
        <v>18481</v>
      </c>
      <c r="Q202" s="289">
        <v>6</v>
      </c>
      <c r="R202" s="289">
        <v>19</v>
      </c>
      <c r="S202" s="289">
        <v>648.54</v>
      </c>
      <c r="T202" s="289">
        <v>28.496314799395567</v>
      </c>
      <c r="U202" s="289">
        <v>0</v>
      </c>
      <c r="V202" s="289">
        <v>0</v>
      </c>
      <c r="W202" s="289">
        <v>7748</v>
      </c>
      <c r="X202" s="289">
        <v>301</v>
      </c>
      <c r="Y202" s="289">
        <v>111</v>
      </c>
      <c r="Z202" s="289">
        <v>0.9949394923778841</v>
      </c>
      <c r="AA202" s="289">
        <v>17</v>
      </c>
      <c r="AB202" s="289">
        <v>17</v>
      </c>
      <c r="AC202" s="289">
        <v>0.5533916288120897</v>
      </c>
      <c r="AD202" s="289">
        <v>746</v>
      </c>
      <c r="AE202" s="289">
        <v>161</v>
      </c>
      <c r="AF202" s="289">
        <v>40</v>
      </c>
      <c r="AG202" s="289">
        <v>3</v>
      </c>
      <c r="AH202" s="289">
        <v>950</v>
      </c>
      <c r="AI202" s="289">
        <v>1.0078688464169092</v>
      </c>
      <c r="AJ202" s="289">
        <v>8561</v>
      </c>
      <c r="AK202" s="289">
        <v>869</v>
      </c>
      <c r="AL202" s="289">
        <v>1.0365369068423211</v>
      </c>
      <c r="AM202" s="289">
        <v>0.8968724056631286</v>
      </c>
      <c r="AN202" s="289">
        <v>0</v>
      </c>
      <c r="AO202" s="289">
        <v>0</v>
      </c>
      <c r="AP202" s="289">
        <f t="shared" si="1"/>
        <v>0</v>
      </c>
      <c r="AQ202" s="289">
        <v>-78414.6230551675</v>
      </c>
      <c r="AR202" s="289">
        <v>6208427.049506166</v>
      </c>
      <c r="AS202" s="289">
        <v>0</v>
      </c>
      <c r="AT202" s="289">
        <v>18481</v>
      </c>
      <c r="AU202" s="289">
        <v>0</v>
      </c>
      <c r="AV202" s="289">
        <v>0</v>
      </c>
      <c r="AW202" s="289">
        <v>0</v>
      </c>
      <c r="AX202" s="289">
        <v>0</v>
      </c>
      <c r="AY202" s="289">
        <v>648.54</v>
      </c>
      <c r="AZ202" s="289">
        <v>28.496314799395567</v>
      </c>
      <c r="BA202" s="289">
        <v>12969</v>
      </c>
      <c r="BB202" s="289">
        <v>0.7017477409231102</v>
      </c>
      <c r="BC202" s="289">
        <v>0</v>
      </c>
      <c r="BD202" s="289">
        <v>0</v>
      </c>
      <c r="BE202" s="289">
        <v>17975</v>
      </c>
      <c r="BF202" s="289">
        <v>18481</v>
      </c>
      <c r="BG202" s="289">
        <v>0.028150208623087623</v>
      </c>
      <c r="BH202" s="289">
        <v>0</v>
      </c>
      <c r="BI202" s="289">
        <v>2</v>
      </c>
      <c r="BJ202" s="289">
        <v>0.00010821925220496727</v>
      </c>
      <c r="BK202" s="289">
        <v>2811187.990624216</v>
      </c>
      <c r="BL202" s="289">
        <v>6178.88</v>
      </c>
      <c r="BM202" s="301">
        <v>6488</v>
      </c>
    </row>
    <row r="203" spans="6:65" s="289" customFormat="1" ht="12.75">
      <c r="F203" s="289">
        <v>413</v>
      </c>
      <c r="G203" s="289" t="s">
        <v>244</v>
      </c>
      <c r="H203" s="289">
        <v>106</v>
      </c>
      <c r="I203" s="289">
        <v>14</v>
      </c>
      <c r="J203" s="289">
        <v>98</v>
      </c>
      <c r="K203" s="289">
        <v>45</v>
      </c>
      <c r="L203" s="289">
        <v>1270</v>
      </c>
      <c r="M203" s="289">
        <v>254</v>
      </c>
      <c r="N203" s="289">
        <v>194</v>
      </c>
      <c r="O203" s="289">
        <v>92</v>
      </c>
      <c r="P203" s="289">
        <v>1916</v>
      </c>
      <c r="Q203" s="289">
        <v>0</v>
      </c>
      <c r="R203" s="289">
        <v>0</v>
      </c>
      <c r="S203" s="289">
        <v>321.12</v>
      </c>
      <c r="T203" s="289">
        <v>5.966616841056303</v>
      </c>
      <c r="U203" s="289">
        <v>0</v>
      </c>
      <c r="V203" s="289">
        <v>0</v>
      </c>
      <c r="W203" s="289">
        <v>707</v>
      </c>
      <c r="X203" s="289">
        <v>129</v>
      </c>
      <c r="Y203" s="289">
        <v>13</v>
      </c>
      <c r="Z203" s="289">
        <v>0.8397615642575786</v>
      </c>
      <c r="AA203" s="289">
        <v>3</v>
      </c>
      <c r="AB203" s="289">
        <v>2</v>
      </c>
      <c r="AC203" s="289">
        <v>0.6279768323760425</v>
      </c>
      <c r="AD203" s="289">
        <v>143</v>
      </c>
      <c r="AE203" s="289">
        <v>7</v>
      </c>
      <c r="AF203" s="289">
        <v>5</v>
      </c>
      <c r="AG203" s="289">
        <v>14</v>
      </c>
      <c r="AH203" s="289">
        <v>169</v>
      </c>
      <c r="AI203" s="289">
        <v>1.7294064836043412</v>
      </c>
      <c r="AJ203" s="289">
        <v>847</v>
      </c>
      <c r="AK203" s="289">
        <v>93</v>
      </c>
      <c r="AL203" s="289">
        <v>1.1212153348803962</v>
      </c>
      <c r="AM203" s="289">
        <v>1.432779598800494</v>
      </c>
      <c r="AN203" s="289">
        <v>0</v>
      </c>
      <c r="AO203" s="289">
        <v>0</v>
      </c>
      <c r="AP203" s="289">
        <f aca="true" t="shared" si="2" ref="AP203:AP266">MAX(AN203,AO203)</f>
        <v>0</v>
      </c>
      <c r="AQ203" s="289">
        <v>103666.81549230032</v>
      </c>
      <c r="AR203" s="289">
        <v>1634120.065833333</v>
      </c>
      <c r="AS203" s="289">
        <v>1</v>
      </c>
      <c r="AT203" s="289">
        <v>1916</v>
      </c>
      <c r="AU203" s="289">
        <v>0</v>
      </c>
      <c r="AV203" s="289">
        <v>0</v>
      </c>
      <c r="AW203" s="289">
        <v>0</v>
      </c>
      <c r="AX203" s="289">
        <v>0</v>
      </c>
      <c r="AY203" s="289">
        <v>321.13</v>
      </c>
      <c r="AZ203" s="289">
        <v>5.966431040388628</v>
      </c>
      <c r="BA203" s="289">
        <v>874</v>
      </c>
      <c r="BB203" s="289">
        <v>0.4561586638830898</v>
      </c>
      <c r="BC203" s="289">
        <v>0</v>
      </c>
      <c r="BD203" s="289">
        <v>0</v>
      </c>
      <c r="BE203" s="289">
        <v>2058</v>
      </c>
      <c r="BF203" s="289">
        <v>1916</v>
      </c>
      <c r="BG203" s="289">
        <v>-0.06899902818270165</v>
      </c>
      <c r="BH203" s="289">
        <v>1</v>
      </c>
      <c r="BI203" s="289">
        <v>0</v>
      </c>
      <c r="BJ203" s="289">
        <v>0</v>
      </c>
      <c r="BK203" s="289">
        <v>641365.806085369</v>
      </c>
      <c r="BL203" s="289">
        <v>7253.12</v>
      </c>
      <c r="BM203" s="301">
        <v>467</v>
      </c>
    </row>
    <row r="204" spans="6:65" s="289" customFormat="1" ht="12.75">
      <c r="F204" s="289">
        <v>416</v>
      </c>
      <c r="G204" s="289" t="s">
        <v>245</v>
      </c>
      <c r="H204" s="289">
        <v>256</v>
      </c>
      <c r="I204" s="289">
        <v>28</v>
      </c>
      <c r="J204" s="289">
        <v>224</v>
      </c>
      <c r="K204" s="289">
        <v>108</v>
      </c>
      <c r="L204" s="289">
        <v>2152</v>
      </c>
      <c r="M204" s="289">
        <v>351</v>
      </c>
      <c r="N204" s="289">
        <v>231</v>
      </c>
      <c r="O204" s="289">
        <v>69</v>
      </c>
      <c r="P204" s="289">
        <v>3059</v>
      </c>
      <c r="Q204" s="289">
        <v>0</v>
      </c>
      <c r="R204" s="289">
        <v>9</v>
      </c>
      <c r="S204" s="289">
        <v>217.77</v>
      </c>
      <c r="T204" s="289">
        <v>14.04693024750884</v>
      </c>
      <c r="U204" s="289">
        <v>0</v>
      </c>
      <c r="V204" s="289">
        <v>0</v>
      </c>
      <c r="W204" s="289">
        <v>1282</v>
      </c>
      <c r="X204" s="289">
        <v>109</v>
      </c>
      <c r="Y204" s="289">
        <v>19</v>
      </c>
      <c r="Z204" s="289">
        <v>0.9458989487158406</v>
      </c>
      <c r="AA204" s="289">
        <v>0</v>
      </c>
      <c r="AB204" s="289">
        <v>2</v>
      </c>
      <c r="AC204" s="289">
        <v>0.3933323343682568</v>
      </c>
      <c r="AD204" s="289">
        <v>110</v>
      </c>
      <c r="AE204" s="289">
        <v>23</v>
      </c>
      <c r="AF204" s="289">
        <v>1</v>
      </c>
      <c r="AG204" s="289">
        <v>1</v>
      </c>
      <c r="AH204" s="289">
        <v>135</v>
      </c>
      <c r="AI204" s="289">
        <v>0.8652869910480451</v>
      </c>
      <c r="AJ204" s="289">
        <v>1428</v>
      </c>
      <c r="AK204" s="289">
        <v>124</v>
      </c>
      <c r="AL204" s="289">
        <v>0.886712781179921</v>
      </c>
      <c r="AM204" s="289">
        <v>0.7112308701368747</v>
      </c>
      <c r="AN204" s="289">
        <v>0</v>
      </c>
      <c r="AO204" s="289">
        <v>0</v>
      </c>
      <c r="AP204" s="289">
        <f t="shared" si="2"/>
        <v>0</v>
      </c>
      <c r="AQ204" s="289">
        <v>-11455.423512226902</v>
      </c>
      <c r="AR204" s="289">
        <v>1506256.7735897438</v>
      </c>
      <c r="AS204" s="289">
        <v>1</v>
      </c>
      <c r="AT204" s="289">
        <v>3059</v>
      </c>
      <c r="AU204" s="289">
        <v>0</v>
      </c>
      <c r="AV204" s="289">
        <v>0</v>
      </c>
      <c r="AW204" s="289">
        <v>0</v>
      </c>
      <c r="AX204" s="289">
        <v>0</v>
      </c>
      <c r="AY204" s="289">
        <v>217.77</v>
      </c>
      <c r="AZ204" s="289">
        <v>14.04693024750884</v>
      </c>
      <c r="BA204" s="289">
        <v>1563</v>
      </c>
      <c r="BB204" s="289">
        <v>0.5109512912716574</v>
      </c>
      <c r="BC204" s="289">
        <v>0</v>
      </c>
      <c r="BD204" s="289">
        <v>0</v>
      </c>
      <c r="BE204" s="289">
        <v>3041</v>
      </c>
      <c r="BF204" s="289">
        <v>3059</v>
      </c>
      <c r="BG204" s="289">
        <v>0.00591910555738244</v>
      </c>
      <c r="BH204" s="289">
        <v>0</v>
      </c>
      <c r="BI204" s="289">
        <v>0</v>
      </c>
      <c r="BJ204" s="289">
        <v>0</v>
      </c>
      <c r="BK204" s="289">
        <v>604889.2392642114</v>
      </c>
      <c r="BL204" s="289">
        <v>6694</v>
      </c>
      <c r="BM204" s="301">
        <v>908</v>
      </c>
    </row>
    <row r="205" spans="6:65" s="289" customFormat="1" ht="12.75">
      <c r="F205" s="289">
        <v>418</v>
      </c>
      <c r="G205" s="289" t="s">
        <v>246</v>
      </c>
      <c r="H205" s="289">
        <v>2562</v>
      </c>
      <c r="I205" s="289">
        <v>366</v>
      </c>
      <c r="J205" s="289">
        <v>1908</v>
      </c>
      <c r="K205" s="289">
        <v>879</v>
      </c>
      <c r="L205" s="289">
        <v>15936</v>
      </c>
      <c r="M205" s="289">
        <v>1719</v>
      </c>
      <c r="N205" s="289">
        <v>901</v>
      </c>
      <c r="O205" s="289">
        <v>322</v>
      </c>
      <c r="P205" s="289">
        <v>21440</v>
      </c>
      <c r="Q205" s="289">
        <v>13</v>
      </c>
      <c r="R205" s="289">
        <v>50</v>
      </c>
      <c r="S205" s="289">
        <v>269.52</v>
      </c>
      <c r="T205" s="289">
        <v>79.54882754526567</v>
      </c>
      <c r="U205" s="289">
        <v>0</v>
      </c>
      <c r="V205" s="289">
        <v>0</v>
      </c>
      <c r="W205" s="289">
        <v>9446</v>
      </c>
      <c r="X205" s="289">
        <v>131</v>
      </c>
      <c r="Y205" s="289">
        <v>128</v>
      </c>
      <c r="Z205" s="289">
        <v>1.0220043264124354</v>
      </c>
      <c r="AA205" s="289">
        <v>30</v>
      </c>
      <c r="AB205" s="289">
        <v>30</v>
      </c>
      <c r="AC205" s="289">
        <v>0.8417935710115421</v>
      </c>
      <c r="AD205" s="289">
        <v>644</v>
      </c>
      <c r="AE205" s="289">
        <v>225</v>
      </c>
      <c r="AF205" s="289">
        <v>50</v>
      </c>
      <c r="AG205" s="289">
        <v>4</v>
      </c>
      <c r="AH205" s="289">
        <v>923</v>
      </c>
      <c r="AI205" s="289">
        <v>0.8440784314136056</v>
      </c>
      <c r="AJ205" s="289">
        <v>10150</v>
      </c>
      <c r="AK205" s="289">
        <v>800</v>
      </c>
      <c r="AL205" s="289">
        <v>0.8048471962656458</v>
      </c>
      <c r="AM205" s="289">
        <v>0.6348518337211415</v>
      </c>
      <c r="AN205" s="289">
        <v>0</v>
      </c>
      <c r="AO205" s="289">
        <v>0</v>
      </c>
      <c r="AP205" s="289">
        <f t="shared" si="2"/>
        <v>0</v>
      </c>
      <c r="AQ205" s="289">
        <v>-22639.194855719805</v>
      </c>
      <c r="AR205" s="289">
        <v>-2192036.0512462473</v>
      </c>
      <c r="AS205" s="289">
        <v>1</v>
      </c>
      <c r="AT205" s="289">
        <v>21440</v>
      </c>
      <c r="AU205" s="289">
        <v>0</v>
      </c>
      <c r="AV205" s="289">
        <v>0</v>
      </c>
      <c r="AW205" s="289">
        <v>0</v>
      </c>
      <c r="AX205" s="289">
        <v>0</v>
      </c>
      <c r="AY205" s="289">
        <v>269.55</v>
      </c>
      <c r="AZ205" s="289">
        <v>79.53997403079205</v>
      </c>
      <c r="BA205" s="289">
        <v>18674</v>
      </c>
      <c r="BB205" s="289">
        <v>0.8709888059701493</v>
      </c>
      <c r="BC205" s="289">
        <v>0</v>
      </c>
      <c r="BD205" s="289">
        <v>0</v>
      </c>
      <c r="BE205" s="289">
        <v>20178</v>
      </c>
      <c r="BF205" s="289">
        <v>21440</v>
      </c>
      <c r="BG205" s="289">
        <v>0.06254336405986718</v>
      </c>
      <c r="BH205" s="289">
        <v>1</v>
      </c>
      <c r="BI205" s="289">
        <v>0</v>
      </c>
      <c r="BJ205" s="289">
        <v>0</v>
      </c>
      <c r="BK205" s="289">
        <v>2941763.481510358</v>
      </c>
      <c r="BL205" s="289">
        <v>5956.86</v>
      </c>
      <c r="BM205" s="301">
        <v>7852</v>
      </c>
    </row>
    <row r="206" spans="6:65" s="289" customFormat="1" ht="12.75">
      <c r="F206" s="289">
        <v>420</v>
      </c>
      <c r="G206" s="289" t="s">
        <v>247</v>
      </c>
      <c r="H206" s="289">
        <v>658</v>
      </c>
      <c r="I206" s="289">
        <v>97</v>
      </c>
      <c r="J206" s="289">
        <v>641</v>
      </c>
      <c r="K206" s="289">
        <v>366</v>
      </c>
      <c r="L206" s="289">
        <v>7055</v>
      </c>
      <c r="M206" s="289">
        <v>1368</v>
      </c>
      <c r="N206" s="289">
        <v>894</v>
      </c>
      <c r="O206" s="289">
        <v>299</v>
      </c>
      <c r="P206" s="289">
        <v>10274</v>
      </c>
      <c r="Q206" s="289">
        <v>0</v>
      </c>
      <c r="R206" s="289">
        <v>14</v>
      </c>
      <c r="S206" s="289">
        <v>1136.0300000000002</v>
      </c>
      <c r="T206" s="289">
        <v>9.043775252414108</v>
      </c>
      <c r="U206" s="289">
        <v>0</v>
      </c>
      <c r="V206" s="289">
        <v>0</v>
      </c>
      <c r="W206" s="289">
        <v>3956</v>
      </c>
      <c r="X206" s="289">
        <v>329</v>
      </c>
      <c r="Y206" s="289">
        <v>65</v>
      </c>
      <c r="Z206" s="289">
        <v>0.9461600164477595</v>
      </c>
      <c r="AA206" s="289">
        <v>17</v>
      </c>
      <c r="AB206" s="289">
        <v>17</v>
      </c>
      <c r="AC206" s="289">
        <v>0.9954477995012877</v>
      </c>
      <c r="AD206" s="289">
        <v>652</v>
      </c>
      <c r="AE206" s="289">
        <v>72</v>
      </c>
      <c r="AF206" s="289">
        <v>17</v>
      </c>
      <c r="AG206" s="289">
        <v>9</v>
      </c>
      <c r="AH206" s="289">
        <v>750</v>
      </c>
      <c r="AI206" s="289">
        <v>1.43128982848613</v>
      </c>
      <c r="AJ206" s="289">
        <v>4532</v>
      </c>
      <c r="AK206" s="289">
        <v>526</v>
      </c>
      <c r="AL206" s="289">
        <v>1.1851827824753576</v>
      </c>
      <c r="AM206" s="289">
        <v>1.4660886833025832</v>
      </c>
      <c r="AN206" s="289">
        <v>0</v>
      </c>
      <c r="AO206" s="289">
        <v>0</v>
      </c>
      <c r="AP206" s="289">
        <f t="shared" si="2"/>
        <v>0</v>
      </c>
      <c r="AQ206" s="289">
        <v>-162756.96273579448</v>
      </c>
      <c r="AR206" s="289">
        <v>4011235.003026314</v>
      </c>
      <c r="AS206" s="289">
        <v>1</v>
      </c>
      <c r="AT206" s="289">
        <v>10274</v>
      </c>
      <c r="AU206" s="289">
        <v>0</v>
      </c>
      <c r="AV206" s="289">
        <v>0</v>
      </c>
      <c r="AW206" s="289">
        <v>0</v>
      </c>
      <c r="AX206" s="289">
        <v>0</v>
      </c>
      <c r="AY206" s="289">
        <v>1136.05</v>
      </c>
      <c r="AZ206" s="289">
        <v>9.043616038026496</v>
      </c>
      <c r="BA206" s="289">
        <v>5849</v>
      </c>
      <c r="BB206" s="289">
        <v>0.5693011485302706</v>
      </c>
      <c r="BC206" s="289">
        <v>0</v>
      </c>
      <c r="BD206" s="289">
        <v>0</v>
      </c>
      <c r="BE206" s="289">
        <v>10633</v>
      </c>
      <c r="BF206" s="289">
        <v>10274</v>
      </c>
      <c r="BG206" s="289">
        <v>-0.03376281388131289</v>
      </c>
      <c r="BH206" s="289">
        <v>0</v>
      </c>
      <c r="BI206" s="289">
        <v>0</v>
      </c>
      <c r="BJ206" s="289">
        <v>0</v>
      </c>
      <c r="BK206" s="289">
        <v>1974707.7623432532</v>
      </c>
      <c r="BL206" s="289">
        <v>6975.49</v>
      </c>
      <c r="BM206" s="301">
        <v>2800</v>
      </c>
    </row>
    <row r="207" spans="6:65" s="289" customFormat="1" ht="12.75">
      <c r="F207" s="289">
        <v>421</v>
      </c>
      <c r="G207" s="289" t="s">
        <v>248</v>
      </c>
      <c r="H207" s="289">
        <v>46</v>
      </c>
      <c r="I207" s="289">
        <v>8</v>
      </c>
      <c r="J207" s="289">
        <v>55</v>
      </c>
      <c r="K207" s="289">
        <v>29</v>
      </c>
      <c r="L207" s="289">
        <v>579</v>
      </c>
      <c r="M207" s="289">
        <v>101</v>
      </c>
      <c r="N207" s="289">
        <v>75</v>
      </c>
      <c r="O207" s="289">
        <v>34</v>
      </c>
      <c r="P207" s="289">
        <v>835</v>
      </c>
      <c r="Q207" s="289">
        <v>0</v>
      </c>
      <c r="R207" s="289">
        <v>1</v>
      </c>
      <c r="S207" s="289">
        <v>480.68999999999994</v>
      </c>
      <c r="T207" s="289">
        <v>1.7370862718175957</v>
      </c>
      <c r="U207" s="289">
        <v>0</v>
      </c>
      <c r="V207" s="289">
        <v>0</v>
      </c>
      <c r="W207" s="289">
        <v>321</v>
      </c>
      <c r="X207" s="289">
        <v>119</v>
      </c>
      <c r="Y207" s="289">
        <v>5</v>
      </c>
      <c r="Z207" s="289">
        <v>0.6448937276113434</v>
      </c>
      <c r="AA207" s="289">
        <v>1</v>
      </c>
      <c r="AB207" s="289">
        <v>2</v>
      </c>
      <c r="AC207" s="289">
        <v>1.4409624081826318</v>
      </c>
      <c r="AD207" s="289">
        <v>71</v>
      </c>
      <c r="AE207" s="289">
        <v>6</v>
      </c>
      <c r="AF207" s="289">
        <v>0</v>
      </c>
      <c r="AG207" s="289">
        <v>0</v>
      </c>
      <c r="AH207" s="289">
        <v>77</v>
      </c>
      <c r="AI207" s="289">
        <v>1.808048735705741</v>
      </c>
      <c r="AJ207" s="289">
        <v>338</v>
      </c>
      <c r="AK207" s="289">
        <v>26</v>
      </c>
      <c r="AL207" s="289">
        <v>0.7854999078938756</v>
      </c>
      <c r="AM207" s="289">
        <v>1.6547089785315208</v>
      </c>
      <c r="AN207" s="289">
        <v>0.05</v>
      </c>
      <c r="AO207" s="289">
        <v>0</v>
      </c>
      <c r="AP207" s="289">
        <f t="shared" si="2"/>
        <v>0.05</v>
      </c>
      <c r="AQ207" s="289">
        <v>39125.340264778584</v>
      </c>
      <c r="AR207" s="289">
        <v>709765.1375000001</v>
      </c>
      <c r="AS207" s="289">
        <v>1</v>
      </c>
      <c r="AT207" s="289">
        <v>835</v>
      </c>
      <c r="AU207" s="289">
        <v>0</v>
      </c>
      <c r="AV207" s="289">
        <v>0</v>
      </c>
      <c r="AW207" s="289">
        <v>0</v>
      </c>
      <c r="AX207" s="289">
        <v>0.8113999999999999</v>
      </c>
      <c r="AY207" s="289">
        <v>480.69</v>
      </c>
      <c r="AZ207" s="289">
        <v>1.7370862718175955</v>
      </c>
      <c r="BA207" s="289">
        <v>302</v>
      </c>
      <c r="BB207" s="289">
        <v>0.36167664670658684</v>
      </c>
      <c r="BC207" s="289">
        <v>0</v>
      </c>
      <c r="BD207" s="289">
        <v>0</v>
      </c>
      <c r="BE207" s="289">
        <v>860</v>
      </c>
      <c r="BF207" s="289">
        <v>835</v>
      </c>
      <c r="BG207" s="289">
        <v>-0.029069767441860465</v>
      </c>
      <c r="BH207" s="289">
        <v>0</v>
      </c>
      <c r="BI207" s="289">
        <v>0</v>
      </c>
      <c r="BJ207" s="289">
        <v>0</v>
      </c>
      <c r="BK207" s="289">
        <v>228088.12919977642</v>
      </c>
      <c r="BL207" s="289">
        <v>8475.28</v>
      </c>
      <c r="BM207" s="301">
        <v>254</v>
      </c>
    </row>
    <row r="208" spans="6:65" s="289" customFormat="1" ht="12.75">
      <c r="F208" s="289">
        <v>422</v>
      </c>
      <c r="G208" s="289" t="s">
        <v>249</v>
      </c>
      <c r="H208" s="289">
        <v>596</v>
      </c>
      <c r="I208" s="289">
        <v>86</v>
      </c>
      <c r="J208" s="289">
        <v>552</v>
      </c>
      <c r="K208" s="289">
        <v>346</v>
      </c>
      <c r="L208" s="289">
        <v>8231</v>
      </c>
      <c r="M208" s="289">
        <v>1889</v>
      </c>
      <c r="N208" s="289">
        <v>1256</v>
      </c>
      <c r="O208" s="289">
        <v>427</v>
      </c>
      <c r="P208" s="289">
        <v>12399</v>
      </c>
      <c r="Q208" s="289">
        <v>1</v>
      </c>
      <c r="R208" s="289">
        <v>59</v>
      </c>
      <c r="S208" s="289">
        <v>3418.35</v>
      </c>
      <c r="T208" s="289">
        <v>3.627188555882224</v>
      </c>
      <c r="U208" s="289">
        <v>1</v>
      </c>
      <c r="V208" s="289">
        <v>0</v>
      </c>
      <c r="W208" s="289">
        <v>4089</v>
      </c>
      <c r="X208" s="289">
        <v>415</v>
      </c>
      <c r="Y208" s="289">
        <v>86</v>
      </c>
      <c r="Z208" s="289">
        <v>0.9220665832298733</v>
      </c>
      <c r="AA208" s="289">
        <v>27</v>
      </c>
      <c r="AB208" s="289">
        <v>27</v>
      </c>
      <c r="AC208" s="289">
        <v>1.3100450638147203</v>
      </c>
      <c r="AD208" s="289">
        <v>979</v>
      </c>
      <c r="AE208" s="289">
        <v>44</v>
      </c>
      <c r="AF208" s="289">
        <v>17</v>
      </c>
      <c r="AG208" s="289">
        <v>15</v>
      </c>
      <c r="AH208" s="289">
        <v>1055</v>
      </c>
      <c r="AI208" s="289">
        <v>1.668290522488282</v>
      </c>
      <c r="AJ208" s="289">
        <v>5108</v>
      </c>
      <c r="AK208" s="289">
        <v>926</v>
      </c>
      <c r="AL208" s="289">
        <v>1.8511840037639924</v>
      </c>
      <c r="AM208" s="289">
        <v>1.530075078226955</v>
      </c>
      <c r="AN208" s="289">
        <v>0.05</v>
      </c>
      <c r="AO208" s="289">
        <v>0</v>
      </c>
      <c r="AP208" s="289">
        <f t="shared" si="2"/>
        <v>0.05</v>
      </c>
      <c r="AQ208" s="289">
        <v>-315981.70902796835</v>
      </c>
      <c r="AR208" s="289">
        <v>6550440.998250006</v>
      </c>
      <c r="AS208" s="289">
        <v>1</v>
      </c>
      <c r="AT208" s="289">
        <v>12399</v>
      </c>
      <c r="AU208" s="289">
        <v>1</v>
      </c>
      <c r="AV208" s="289">
        <v>265</v>
      </c>
      <c r="AW208" s="289">
        <v>0.021372691346076295</v>
      </c>
      <c r="AX208" s="289">
        <v>0.8024833333333333</v>
      </c>
      <c r="AY208" s="289">
        <v>3418.42</v>
      </c>
      <c r="AZ208" s="289">
        <v>3.627114280866599</v>
      </c>
      <c r="BA208" s="289">
        <v>8576</v>
      </c>
      <c r="BB208" s="289">
        <v>0.6916686829583031</v>
      </c>
      <c r="BC208" s="289">
        <v>0</v>
      </c>
      <c r="BD208" s="289">
        <v>0</v>
      </c>
      <c r="BE208" s="289">
        <v>12788</v>
      </c>
      <c r="BF208" s="289">
        <v>12399</v>
      </c>
      <c r="BG208" s="289">
        <v>-0.030419142946512354</v>
      </c>
      <c r="BH208" s="289">
        <v>0</v>
      </c>
      <c r="BI208" s="289">
        <v>0</v>
      </c>
      <c r="BJ208" s="289">
        <v>0</v>
      </c>
      <c r="BK208" s="289">
        <v>3054158.667279091</v>
      </c>
      <c r="BL208" s="289">
        <v>7761.28</v>
      </c>
      <c r="BM208" s="301">
        <v>2905</v>
      </c>
    </row>
    <row r="209" spans="6:65" s="289" customFormat="1" ht="12.75">
      <c r="F209" s="289">
        <v>423</v>
      </c>
      <c r="G209" s="289" t="s">
        <v>250</v>
      </c>
      <c r="H209" s="289">
        <v>1721</v>
      </c>
      <c r="I209" s="289">
        <v>253</v>
      </c>
      <c r="J209" s="289">
        <v>1440</v>
      </c>
      <c r="K209" s="289">
        <v>713</v>
      </c>
      <c r="L209" s="289">
        <v>12672</v>
      </c>
      <c r="M209" s="289">
        <v>1546</v>
      </c>
      <c r="N209" s="289">
        <v>818</v>
      </c>
      <c r="O209" s="289">
        <v>266</v>
      </c>
      <c r="P209" s="289">
        <v>17023</v>
      </c>
      <c r="Q209" s="289">
        <v>40</v>
      </c>
      <c r="R209" s="289">
        <v>51</v>
      </c>
      <c r="S209" s="289">
        <v>198.5</v>
      </c>
      <c r="T209" s="289">
        <v>85.75818639798489</v>
      </c>
      <c r="U209" s="289">
        <v>0</v>
      </c>
      <c r="V209" s="289">
        <v>0</v>
      </c>
      <c r="W209" s="289">
        <v>7793</v>
      </c>
      <c r="X209" s="289">
        <v>190</v>
      </c>
      <c r="Y209" s="289">
        <v>100</v>
      </c>
      <c r="Z209" s="289">
        <v>1.0117127644059059</v>
      </c>
      <c r="AA209" s="289">
        <v>15</v>
      </c>
      <c r="AB209" s="289">
        <v>15</v>
      </c>
      <c r="AC209" s="289">
        <v>0.5301079175964126</v>
      </c>
      <c r="AD209" s="289">
        <v>506</v>
      </c>
      <c r="AE209" s="289">
        <v>184</v>
      </c>
      <c r="AF209" s="289">
        <v>40</v>
      </c>
      <c r="AG209" s="289">
        <v>6</v>
      </c>
      <c r="AH209" s="289">
        <v>736</v>
      </c>
      <c r="AI209" s="289">
        <v>0.8477105695924919</v>
      </c>
      <c r="AJ209" s="289">
        <v>7975</v>
      </c>
      <c r="AK209" s="289">
        <v>439</v>
      </c>
      <c r="AL209" s="289">
        <v>0.5621125986646204</v>
      </c>
      <c r="AM209" s="289">
        <v>0.6679865559972045</v>
      </c>
      <c r="AN209" s="289">
        <v>0</v>
      </c>
      <c r="AO209" s="289">
        <v>0</v>
      </c>
      <c r="AP209" s="289">
        <f t="shared" si="2"/>
        <v>0</v>
      </c>
      <c r="AQ209" s="289">
        <v>-65023.11419514567</v>
      </c>
      <c r="AR209" s="289">
        <v>-2298962.6545</v>
      </c>
      <c r="AS209" s="289">
        <v>1</v>
      </c>
      <c r="AT209" s="289">
        <v>17023</v>
      </c>
      <c r="AU209" s="289">
        <v>0</v>
      </c>
      <c r="AV209" s="289">
        <v>0</v>
      </c>
      <c r="AW209" s="289">
        <v>0</v>
      </c>
      <c r="AX209" s="289">
        <v>0</v>
      </c>
      <c r="AY209" s="289">
        <v>198.5</v>
      </c>
      <c r="AZ209" s="289">
        <v>85.75818639798489</v>
      </c>
      <c r="BA209" s="289">
        <v>14427</v>
      </c>
      <c r="BB209" s="289">
        <v>0.8475004405803912</v>
      </c>
      <c r="BC209" s="289">
        <v>0</v>
      </c>
      <c r="BD209" s="289">
        <v>0</v>
      </c>
      <c r="BE209" s="289">
        <v>16011</v>
      </c>
      <c r="BF209" s="289">
        <v>17023</v>
      </c>
      <c r="BG209" s="289">
        <v>0.06320654549996878</v>
      </c>
      <c r="BH209" s="289">
        <v>1</v>
      </c>
      <c r="BI209" s="289">
        <v>0</v>
      </c>
      <c r="BJ209" s="289">
        <v>0</v>
      </c>
      <c r="BK209" s="289">
        <v>1972983.5216476906</v>
      </c>
      <c r="BL209" s="289">
        <v>5978.07</v>
      </c>
      <c r="BM209" s="301">
        <v>5767</v>
      </c>
    </row>
    <row r="210" spans="6:65" s="289" customFormat="1" ht="12.75">
      <c r="F210" s="289">
        <v>425</v>
      </c>
      <c r="G210" s="289" t="s">
        <v>251</v>
      </c>
      <c r="H210" s="289">
        <v>1645</v>
      </c>
      <c r="I210" s="289">
        <v>241</v>
      </c>
      <c r="J210" s="289">
        <v>1313</v>
      </c>
      <c r="K210" s="289">
        <v>494</v>
      </c>
      <c r="L210" s="289">
        <v>7023</v>
      </c>
      <c r="M210" s="289">
        <v>424</v>
      </c>
      <c r="N210" s="289">
        <v>245</v>
      </c>
      <c r="O210" s="289">
        <v>95</v>
      </c>
      <c r="P210" s="289">
        <v>9432</v>
      </c>
      <c r="Q210" s="289">
        <v>4</v>
      </c>
      <c r="R210" s="289">
        <v>5</v>
      </c>
      <c r="S210" s="289">
        <v>637.16</v>
      </c>
      <c r="T210" s="289">
        <v>14.803189151861385</v>
      </c>
      <c r="U210" s="289">
        <v>0</v>
      </c>
      <c r="V210" s="289">
        <v>0</v>
      </c>
      <c r="W210" s="289">
        <v>3606</v>
      </c>
      <c r="X210" s="289">
        <v>185</v>
      </c>
      <c r="Y210" s="289">
        <v>53</v>
      </c>
      <c r="Z210" s="289">
        <v>0.9814616163486638</v>
      </c>
      <c r="AA210" s="289">
        <v>8</v>
      </c>
      <c r="AB210" s="289">
        <v>8</v>
      </c>
      <c r="AC210" s="289">
        <v>0.5102644660019073</v>
      </c>
      <c r="AD210" s="289">
        <v>258</v>
      </c>
      <c r="AE210" s="289">
        <v>119</v>
      </c>
      <c r="AF210" s="289">
        <v>23</v>
      </c>
      <c r="AG210" s="289">
        <v>2</v>
      </c>
      <c r="AH210" s="289">
        <v>402</v>
      </c>
      <c r="AI210" s="289">
        <v>0.8356571702774007</v>
      </c>
      <c r="AJ210" s="289">
        <v>3801</v>
      </c>
      <c r="AK210" s="289">
        <v>308</v>
      </c>
      <c r="AL210" s="289">
        <v>0.8274511000281709</v>
      </c>
      <c r="AM210" s="289">
        <v>0.9446815110379518</v>
      </c>
      <c r="AN210" s="289">
        <v>0</v>
      </c>
      <c r="AO210" s="289">
        <v>0</v>
      </c>
      <c r="AP210" s="289">
        <f t="shared" si="2"/>
        <v>0</v>
      </c>
      <c r="AQ210" s="289">
        <v>-237163.8779362552</v>
      </c>
      <c r="AR210" s="289">
        <v>4719353.637692308</v>
      </c>
      <c r="AS210" s="289">
        <v>1</v>
      </c>
      <c r="AT210" s="289">
        <v>9432</v>
      </c>
      <c r="AU210" s="289">
        <v>0</v>
      </c>
      <c r="AV210" s="289">
        <v>0</v>
      </c>
      <c r="AW210" s="289">
        <v>0</v>
      </c>
      <c r="AX210" s="289">
        <v>0</v>
      </c>
      <c r="AY210" s="289">
        <v>637.15</v>
      </c>
      <c r="AZ210" s="289">
        <v>14.803421486306208</v>
      </c>
      <c r="BA210" s="289">
        <v>7589</v>
      </c>
      <c r="BB210" s="289">
        <v>0.8046013570822731</v>
      </c>
      <c r="BC210" s="289">
        <v>0</v>
      </c>
      <c r="BD210" s="289">
        <v>0</v>
      </c>
      <c r="BE210" s="289">
        <v>8861</v>
      </c>
      <c r="BF210" s="289">
        <v>9432</v>
      </c>
      <c r="BG210" s="289">
        <v>0.06443967949441372</v>
      </c>
      <c r="BH210" s="289">
        <v>1</v>
      </c>
      <c r="BI210" s="289">
        <v>3</v>
      </c>
      <c r="BJ210" s="289">
        <v>0.0003180661577608143</v>
      </c>
      <c r="BK210" s="289">
        <v>1120503.7190537197</v>
      </c>
      <c r="BL210" s="289">
        <v>6628.89</v>
      </c>
      <c r="BM210" s="301">
        <v>4473</v>
      </c>
    </row>
    <row r="211" spans="6:65" s="289" customFormat="1" ht="12.75">
      <c r="F211" s="289">
        <v>426</v>
      </c>
      <c r="G211" s="289" t="s">
        <v>252</v>
      </c>
      <c r="H211" s="289">
        <v>1144</v>
      </c>
      <c r="I211" s="289">
        <v>164</v>
      </c>
      <c r="J211" s="289">
        <v>926</v>
      </c>
      <c r="K211" s="289">
        <v>481</v>
      </c>
      <c r="L211" s="289">
        <v>9073</v>
      </c>
      <c r="M211" s="289">
        <v>1234</v>
      </c>
      <c r="N211" s="289">
        <v>708</v>
      </c>
      <c r="O211" s="289">
        <v>238</v>
      </c>
      <c r="P211" s="289">
        <v>12397</v>
      </c>
      <c r="Q211" s="289">
        <v>2</v>
      </c>
      <c r="R211" s="289">
        <v>14</v>
      </c>
      <c r="S211" s="289">
        <v>726.9000000000001</v>
      </c>
      <c r="T211" s="289">
        <v>17.05461549043885</v>
      </c>
      <c r="U211" s="289">
        <v>1</v>
      </c>
      <c r="V211" s="289">
        <v>0</v>
      </c>
      <c r="W211" s="289">
        <v>5094</v>
      </c>
      <c r="X211" s="289">
        <v>485</v>
      </c>
      <c r="Y211" s="289">
        <v>89</v>
      </c>
      <c r="Z211" s="289">
        <v>0.93240899243048</v>
      </c>
      <c r="AA211" s="289">
        <v>29</v>
      </c>
      <c r="AB211" s="289">
        <v>29</v>
      </c>
      <c r="AC211" s="289">
        <v>1.407312443096815</v>
      </c>
      <c r="AD211" s="289">
        <v>525</v>
      </c>
      <c r="AE211" s="289">
        <v>82</v>
      </c>
      <c r="AF211" s="289">
        <v>17</v>
      </c>
      <c r="AG211" s="289">
        <v>5</v>
      </c>
      <c r="AH211" s="289">
        <v>629</v>
      </c>
      <c r="AI211" s="289">
        <v>0.9948095074569683</v>
      </c>
      <c r="AJ211" s="289">
        <v>5666</v>
      </c>
      <c r="AK211" s="289">
        <v>642</v>
      </c>
      <c r="AL211" s="289">
        <v>1.1570388689167463</v>
      </c>
      <c r="AM211" s="289">
        <v>1.0592888476526785</v>
      </c>
      <c r="AN211" s="289">
        <v>0</v>
      </c>
      <c r="AO211" s="289">
        <v>0</v>
      </c>
      <c r="AP211" s="289">
        <f t="shared" si="2"/>
        <v>0</v>
      </c>
      <c r="AQ211" s="289">
        <v>172946.06286363304</v>
      </c>
      <c r="AR211" s="289">
        <v>7384068.882875001</v>
      </c>
      <c r="AS211" s="289">
        <v>1</v>
      </c>
      <c r="AT211" s="289">
        <v>12397</v>
      </c>
      <c r="AU211" s="289">
        <v>1</v>
      </c>
      <c r="AV211" s="289">
        <v>496</v>
      </c>
      <c r="AW211" s="289">
        <v>0.040009679761232556</v>
      </c>
      <c r="AX211" s="289">
        <v>0</v>
      </c>
      <c r="AY211" s="289">
        <v>726.9</v>
      </c>
      <c r="AZ211" s="289">
        <v>17.05461549043885</v>
      </c>
      <c r="BA211" s="289">
        <v>6839</v>
      </c>
      <c r="BB211" s="289">
        <v>0.551665725578769</v>
      </c>
      <c r="BC211" s="289">
        <v>0</v>
      </c>
      <c r="BD211" s="289">
        <v>0</v>
      </c>
      <c r="BE211" s="289">
        <v>12133</v>
      </c>
      <c r="BF211" s="289">
        <v>12397</v>
      </c>
      <c r="BG211" s="289">
        <v>0.021758839528558477</v>
      </c>
      <c r="BH211" s="289">
        <v>0</v>
      </c>
      <c r="BI211" s="289">
        <v>4</v>
      </c>
      <c r="BJ211" s="289">
        <v>0.00032265870775187547</v>
      </c>
      <c r="BK211" s="289">
        <v>2514353.863915933</v>
      </c>
      <c r="BL211" s="289">
        <v>6537.28</v>
      </c>
      <c r="BM211" s="301">
        <v>4087</v>
      </c>
    </row>
    <row r="212" spans="6:65" s="289" customFormat="1" ht="12.75">
      <c r="F212" s="289">
        <v>430</v>
      </c>
      <c r="G212" s="289" t="s">
        <v>254</v>
      </c>
      <c r="H212" s="289">
        <v>1104</v>
      </c>
      <c r="I212" s="289">
        <v>171</v>
      </c>
      <c r="J212" s="289">
        <v>1006</v>
      </c>
      <c r="K212" s="289">
        <v>546</v>
      </c>
      <c r="L212" s="289">
        <v>11435</v>
      </c>
      <c r="M212" s="289">
        <v>2125</v>
      </c>
      <c r="N212" s="289">
        <v>1427</v>
      </c>
      <c r="O212" s="289">
        <v>646</v>
      </c>
      <c r="P212" s="289">
        <v>16737</v>
      </c>
      <c r="Q212" s="289">
        <v>3</v>
      </c>
      <c r="R212" s="289">
        <v>36</v>
      </c>
      <c r="S212" s="289">
        <v>848.0999999999999</v>
      </c>
      <c r="T212" s="289">
        <v>19.734701096568802</v>
      </c>
      <c r="U212" s="289">
        <v>0</v>
      </c>
      <c r="V212" s="289">
        <v>0</v>
      </c>
      <c r="W212" s="289">
        <v>6917</v>
      </c>
      <c r="X212" s="289">
        <v>734</v>
      </c>
      <c r="Y212" s="289">
        <v>110</v>
      </c>
      <c r="Z212" s="289">
        <v>0.9225979060627969</v>
      </c>
      <c r="AA212" s="289">
        <v>34</v>
      </c>
      <c r="AB212" s="289">
        <v>34</v>
      </c>
      <c r="AC212" s="289">
        <v>1.2221103772571225</v>
      </c>
      <c r="AD212" s="289">
        <v>1029</v>
      </c>
      <c r="AE212" s="289">
        <v>114</v>
      </c>
      <c r="AF212" s="289">
        <v>37</v>
      </c>
      <c r="AG212" s="289">
        <v>10</v>
      </c>
      <c r="AH212" s="289">
        <v>1190</v>
      </c>
      <c r="AI212" s="289">
        <v>1.3940399769342282</v>
      </c>
      <c r="AJ212" s="289">
        <v>7620</v>
      </c>
      <c r="AK212" s="289">
        <v>581</v>
      </c>
      <c r="AL212" s="289">
        <v>0.7785932814071446</v>
      </c>
      <c r="AM212" s="289">
        <v>1.2757461845027318</v>
      </c>
      <c r="AN212" s="289">
        <v>0</v>
      </c>
      <c r="AO212" s="289">
        <v>0</v>
      </c>
      <c r="AP212" s="289">
        <f t="shared" si="2"/>
        <v>0</v>
      </c>
      <c r="AQ212" s="289">
        <v>60458.416094228625</v>
      </c>
      <c r="AR212" s="289">
        <v>7475809.670975611</v>
      </c>
      <c r="AS212" s="289">
        <v>1</v>
      </c>
      <c r="AT212" s="289">
        <v>16737</v>
      </c>
      <c r="AU212" s="289">
        <v>0</v>
      </c>
      <c r="AV212" s="289">
        <v>0</v>
      </c>
      <c r="AW212" s="289">
        <v>0</v>
      </c>
      <c r="AX212" s="289">
        <v>0</v>
      </c>
      <c r="AY212" s="289">
        <v>848.09</v>
      </c>
      <c r="AZ212" s="289">
        <v>19.734933792404107</v>
      </c>
      <c r="BA212" s="289">
        <v>10936</v>
      </c>
      <c r="BB212" s="289">
        <v>0.6534026408555894</v>
      </c>
      <c r="BC212" s="289">
        <v>0</v>
      </c>
      <c r="BD212" s="289">
        <v>0</v>
      </c>
      <c r="BE212" s="289">
        <v>17005</v>
      </c>
      <c r="BF212" s="289">
        <v>16737</v>
      </c>
      <c r="BG212" s="289">
        <v>-0.015760070567480154</v>
      </c>
      <c r="BH212" s="289">
        <v>0</v>
      </c>
      <c r="BI212" s="289">
        <v>0</v>
      </c>
      <c r="BJ212" s="289">
        <v>0</v>
      </c>
      <c r="BK212" s="289">
        <v>3142846.877101875</v>
      </c>
      <c r="BL212" s="289">
        <v>6454.03</v>
      </c>
      <c r="BM212" s="301">
        <v>4948</v>
      </c>
    </row>
    <row r="213" spans="6:65" s="289" customFormat="1" ht="12.75">
      <c r="F213" s="289">
        <v>433</v>
      </c>
      <c r="G213" s="289" t="s">
        <v>255</v>
      </c>
      <c r="H213" s="289">
        <v>706</v>
      </c>
      <c r="I213" s="289">
        <v>111</v>
      </c>
      <c r="J213" s="289">
        <v>698</v>
      </c>
      <c r="K213" s="289">
        <v>328</v>
      </c>
      <c r="L213" s="289">
        <v>5977</v>
      </c>
      <c r="M213" s="289">
        <v>947</v>
      </c>
      <c r="N213" s="289">
        <v>519</v>
      </c>
      <c r="O213" s="289">
        <v>187</v>
      </c>
      <c r="P213" s="289">
        <v>8336</v>
      </c>
      <c r="Q213" s="289">
        <v>6</v>
      </c>
      <c r="R213" s="289">
        <v>9</v>
      </c>
      <c r="S213" s="289">
        <v>597.6</v>
      </c>
      <c r="T213" s="289">
        <v>13.94912985274431</v>
      </c>
      <c r="U213" s="289">
        <v>0</v>
      </c>
      <c r="V213" s="289">
        <v>0</v>
      </c>
      <c r="W213" s="289">
        <v>3650</v>
      </c>
      <c r="X213" s="289">
        <v>246</v>
      </c>
      <c r="Y213" s="289">
        <v>56</v>
      </c>
      <c r="Z213" s="289">
        <v>0.9638723986005587</v>
      </c>
      <c r="AA213" s="289">
        <v>13</v>
      </c>
      <c r="AB213" s="289">
        <v>13</v>
      </c>
      <c r="AC213" s="289">
        <v>0.9381985928996202</v>
      </c>
      <c r="AD213" s="289">
        <v>329</v>
      </c>
      <c r="AE213" s="289">
        <v>45</v>
      </c>
      <c r="AF213" s="289">
        <v>15</v>
      </c>
      <c r="AG213" s="289">
        <v>1</v>
      </c>
      <c r="AH213" s="289">
        <v>390</v>
      </c>
      <c r="AI213" s="289">
        <v>0.9173029370070273</v>
      </c>
      <c r="AJ213" s="289">
        <v>3853</v>
      </c>
      <c r="AK213" s="289">
        <v>231</v>
      </c>
      <c r="AL213" s="289">
        <v>0.6122128791604744</v>
      </c>
      <c r="AM213" s="289">
        <v>0.7563828153626085</v>
      </c>
      <c r="AN213" s="289">
        <v>0</v>
      </c>
      <c r="AO213" s="289">
        <v>0</v>
      </c>
      <c r="AP213" s="289">
        <f t="shared" si="2"/>
        <v>0</v>
      </c>
      <c r="AQ213" s="289">
        <v>177263.44181268103</v>
      </c>
      <c r="AR213" s="289">
        <v>3324746.118375001</v>
      </c>
      <c r="AS213" s="289">
        <v>0</v>
      </c>
      <c r="AT213" s="289">
        <v>8336</v>
      </c>
      <c r="AU213" s="289">
        <v>0</v>
      </c>
      <c r="AV213" s="289">
        <v>0</v>
      </c>
      <c r="AW213" s="289">
        <v>0</v>
      </c>
      <c r="AX213" s="289">
        <v>0</v>
      </c>
      <c r="AY213" s="289">
        <v>597.59</v>
      </c>
      <c r="AZ213" s="289">
        <v>13.949363275824561</v>
      </c>
      <c r="BA213" s="289">
        <v>4466</v>
      </c>
      <c r="BB213" s="289">
        <v>0.5357485604606526</v>
      </c>
      <c r="BC213" s="289">
        <v>0</v>
      </c>
      <c r="BD213" s="289">
        <v>0</v>
      </c>
      <c r="BE213" s="289">
        <v>8244</v>
      </c>
      <c r="BF213" s="289">
        <v>8336</v>
      </c>
      <c r="BG213" s="289">
        <v>0.011159631246967491</v>
      </c>
      <c r="BH213" s="289">
        <v>0</v>
      </c>
      <c r="BI213" s="289">
        <v>0</v>
      </c>
      <c r="BJ213" s="289">
        <v>0</v>
      </c>
      <c r="BK213" s="289">
        <v>1475974.6348603999</v>
      </c>
      <c r="BL213" s="289">
        <v>6679.17</v>
      </c>
      <c r="BM213" s="301">
        <v>2666</v>
      </c>
    </row>
    <row r="214" spans="6:65" s="289" customFormat="1" ht="12.75">
      <c r="F214" s="289">
        <v>434</v>
      </c>
      <c r="G214" s="289" t="s">
        <v>256</v>
      </c>
      <c r="H214" s="289">
        <v>1076</v>
      </c>
      <c r="I214" s="289">
        <v>171</v>
      </c>
      <c r="J214" s="289">
        <v>948</v>
      </c>
      <c r="K214" s="289">
        <v>502</v>
      </c>
      <c r="L214" s="289">
        <v>10799</v>
      </c>
      <c r="M214" s="289">
        <v>1997</v>
      </c>
      <c r="N214" s="289">
        <v>1172</v>
      </c>
      <c r="O214" s="289">
        <v>475</v>
      </c>
      <c r="P214" s="289">
        <v>15519</v>
      </c>
      <c r="Q214" s="289">
        <v>671</v>
      </c>
      <c r="R214" s="289">
        <v>51</v>
      </c>
      <c r="S214" s="289">
        <v>819.78</v>
      </c>
      <c r="T214" s="289">
        <v>18.93068872136427</v>
      </c>
      <c r="U214" s="289">
        <v>1</v>
      </c>
      <c r="V214" s="289">
        <v>1</v>
      </c>
      <c r="W214" s="289">
        <v>6598</v>
      </c>
      <c r="X214" s="289">
        <v>330</v>
      </c>
      <c r="Y214" s="289">
        <v>93</v>
      </c>
      <c r="Z214" s="289">
        <v>0.9834484719473635</v>
      </c>
      <c r="AA214" s="289">
        <v>20</v>
      </c>
      <c r="AB214" s="289">
        <v>20</v>
      </c>
      <c r="AC214" s="289">
        <v>0.7753100140682374</v>
      </c>
      <c r="AD214" s="289">
        <v>693</v>
      </c>
      <c r="AE214" s="289">
        <v>80</v>
      </c>
      <c r="AF214" s="289">
        <v>27</v>
      </c>
      <c r="AG214" s="289">
        <v>4</v>
      </c>
      <c r="AH214" s="289">
        <v>804</v>
      </c>
      <c r="AI214" s="289">
        <v>1.0157765874162565</v>
      </c>
      <c r="AJ214" s="289">
        <v>7323</v>
      </c>
      <c r="AK214" s="289">
        <v>651</v>
      </c>
      <c r="AL214" s="289">
        <v>0.9077817452554784</v>
      </c>
      <c r="AM214" s="289">
        <v>1.036511173815746</v>
      </c>
      <c r="AN214" s="289">
        <v>0</v>
      </c>
      <c r="AO214" s="289">
        <v>0</v>
      </c>
      <c r="AP214" s="289">
        <f t="shared" si="2"/>
        <v>0</v>
      </c>
      <c r="AQ214" s="289">
        <v>298338.15703547</v>
      </c>
      <c r="AR214" s="289">
        <v>-3193062.5806822805</v>
      </c>
      <c r="AS214" s="289">
        <v>1</v>
      </c>
      <c r="AT214" s="289">
        <v>15519</v>
      </c>
      <c r="AU214" s="289">
        <v>1</v>
      </c>
      <c r="AV214" s="289">
        <v>733</v>
      </c>
      <c r="AW214" s="289">
        <v>0.04723242476963722</v>
      </c>
      <c r="AX214" s="289">
        <v>0</v>
      </c>
      <c r="AY214" s="289">
        <v>819.74</v>
      </c>
      <c r="AZ214" s="289">
        <v>18.931612462488104</v>
      </c>
      <c r="BA214" s="289">
        <v>11277</v>
      </c>
      <c r="BB214" s="289">
        <v>0.7266576454668471</v>
      </c>
      <c r="BC214" s="289">
        <v>1</v>
      </c>
      <c r="BD214" s="289">
        <v>0</v>
      </c>
      <c r="BE214" s="289">
        <v>15549</v>
      </c>
      <c r="BF214" s="289">
        <v>15519</v>
      </c>
      <c r="BG214" s="289">
        <v>-0.0019293845263360988</v>
      </c>
      <c r="BH214" s="289">
        <v>0</v>
      </c>
      <c r="BI214" s="289">
        <v>0</v>
      </c>
      <c r="BJ214" s="289">
        <v>0</v>
      </c>
      <c r="BK214" s="289">
        <v>2900997.0595276174</v>
      </c>
      <c r="BL214" s="289">
        <v>7112.33</v>
      </c>
      <c r="BM214" s="301">
        <v>4353</v>
      </c>
    </row>
    <row r="215" spans="6:65" s="289" customFormat="1" ht="12.75">
      <c r="F215" s="289">
        <v>435</v>
      </c>
      <c r="G215" s="289" t="s">
        <v>257</v>
      </c>
      <c r="H215" s="289">
        <v>33</v>
      </c>
      <c r="I215" s="289">
        <v>4</v>
      </c>
      <c r="J215" s="289">
        <v>36</v>
      </c>
      <c r="K215" s="289">
        <v>16</v>
      </c>
      <c r="L215" s="289">
        <v>432</v>
      </c>
      <c r="M215" s="289">
        <v>150</v>
      </c>
      <c r="N215" s="289">
        <v>116</v>
      </c>
      <c r="O215" s="289">
        <v>42</v>
      </c>
      <c r="P215" s="289">
        <v>773</v>
      </c>
      <c r="Q215" s="289">
        <v>0</v>
      </c>
      <c r="R215" s="289">
        <v>0</v>
      </c>
      <c r="S215" s="289">
        <v>214.53</v>
      </c>
      <c r="T215" s="289">
        <v>3.603225656085396</v>
      </c>
      <c r="U215" s="289">
        <v>1</v>
      </c>
      <c r="V215" s="289">
        <v>0</v>
      </c>
      <c r="W215" s="289">
        <v>251</v>
      </c>
      <c r="X215" s="289">
        <v>55</v>
      </c>
      <c r="Y215" s="289">
        <v>5</v>
      </c>
      <c r="Z215" s="289">
        <v>0.7996254440831411</v>
      </c>
      <c r="AA215" s="289">
        <v>3</v>
      </c>
      <c r="AB215" s="289">
        <v>2</v>
      </c>
      <c r="AC215" s="289">
        <v>1.5565376595504496</v>
      </c>
      <c r="AD215" s="289">
        <v>65</v>
      </c>
      <c r="AE215" s="289">
        <v>2</v>
      </c>
      <c r="AF215" s="289">
        <v>1</v>
      </c>
      <c r="AG215" s="289">
        <v>0</v>
      </c>
      <c r="AH215" s="289">
        <v>68</v>
      </c>
      <c r="AI215" s="289">
        <v>1.7247863310994773</v>
      </c>
      <c r="AJ215" s="289">
        <v>284</v>
      </c>
      <c r="AK215" s="289">
        <v>26</v>
      </c>
      <c r="AL215" s="289">
        <v>0.9348555241835561</v>
      </c>
      <c r="AM215" s="289">
        <v>1.6950075136995635</v>
      </c>
      <c r="AN215" s="289">
        <v>0</v>
      </c>
      <c r="AO215" s="289">
        <v>0</v>
      </c>
      <c r="AP215" s="289">
        <f t="shared" si="2"/>
        <v>0</v>
      </c>
      <c r="AQ215" s="289">
        <v>215879.84020721586</v>
      </c>
      <c r="AR215" s="289">
        <v>706399.0678947369</v>
      </c>
      <c r="AS215" s="289">
        <v>0</v>
      </c>
      <c r="AT215" s="289">
        <v>773</v>
      </c>
      <c r="AU215" s="289">
        <v>1</v>
      </c>
      <c r="AV215" s="289">
        <v>345</v>
      </c>
      <c r="AW215" s="289">
        <v>0.4463130659767141</v>
      </c>
      <c r="AX215" s="289">
        <v>0.4242</v>
      </c>
      <c r="AY215" s="289">
        <v>214.53</v>
      </c>
      <c r="AZ215" s="289">
        <v>3.603225656085396</v>
      </c>
      <c r="BA215" s="289">
        <v>0</v>
      </c>
      <c r="BB215" s="289">
        <v>0</v>
      </c>
      <c r="BC215" s="289">
        <v>0</v>
      </c>
      <c r="BD215" s="289">
        <v>0</v>
      </c>
      <c r="BE215" s="289">
        <v>834</v>
      </c>
      <c r="BF215" s="289">
        <v>773</v>
      </c>
      <c r="BG215" s="289">
        <v>-0.07314148681055156</v>
      </c>
      <c r="BH215" s="289">
        <v>1</v>
      </c>
      <c r="BI215" s="289">
        <v>0</v>
      </c>
      <c r="BJ215" s="289">
        <v>0</v>
      </c>
      <c r="BK215" s="289">
        <v>210906.2784816329</v>
      </c>
      <c r="BL215" s="289">
        <v>7716.8</v>
      </c>
      <c r="BM215" s="301">
        <v>156</v>
      </c>
    </row>
    <row r="216" spans="6:65" s="289" customFormat="1" ht="12.75">
      <c r="F216" s="289">
        <v>436</v>
      </c>
      <c r="G216" s="289" t="s">
        <v>258</v>
      </c>
      <c r="H216" s="289">
        <v>293</v>
      </c>
      <c r="I216" s="289">
        <v>44</v>
      </c>
      <c r="J216" s="289">
        <v>238</v>
      </c>
      <c r="K216" s="289">
        <v>96</v>
      </c>
      <c r="L216" s="289">
        <v>1459</v>
      </c>
      <c r="M216" s="289">
        <v>152</v>
      </c>
      <c r="N216" s="289">
        <v>112</v>
      </c>
      <c r="O216" s="289">
        <v>43</v>
      </c>
      <c r="P216" s="289">
        <v>2059</v>
      </c>
      <c r="Q216" s="289">
        <v>0</v>
      </c>
      <c r="R216" s="289">
        <v>0</v>
      </c>
      <c r="S216" s="289">
        <v>213.19000000000003</v>
      </c>
      <c r="T216" s="289">
        <v>9.658051503353814</v>
      </c>
      <c r="U216" s="289">
        <v>0</v>
      </c>
      <c r="V216" s="289">
        <v>0</v>
      </c>
      <c r="W216" s="289">
        <v>748</v>
      </c>
      <c r="X216" s="289">
        <v>105</v>
      </c>
      <c r="Y216" s="289">
        <v>10</v>
      </c>
      <c r="Z216" s="289">
        <v>0.8892606422170235</v>
      </c>
      <c r="AA216" s="289">
        <v>0</v>
      </c>
      <c r="AB216" s="289">
        <v>2</v>
      </c>
      <c r="AC216" s="289">
        <v>0.584363094139144</v>
      </c>
      <c r="AD216" s="289">
        <v>85</v>
      </c>
      <c r="AE216" s="289">
        <v>20</v>
      </c>
      <c r="AF216" s="289">
        <v>3</v>
      </c>
      <c r="AG216" s="289">
        <v>0</v>
      </c>
      <c r="AH216" s="289">
        <v>108</v>
      </c>
      <c r="AI216" s="289">
        <v>1.0284265781897892</v>
      </c>
      <c r="AJ216" s="289">
        <v>816</v>
      </c>
      <c r="AK216" s="289">
        <v>87</v>
      </c>
      <c r="AL216" s="289">
        <v>1.088725975279379</v>
      </c>
      <c r="AM216" s="289">
        <v>1.0621652833175714</v>
      </c>
      <c r="AN216" s="289">
        <v>0</v>
      </c>
      <c r="AO216" s="289">
        <v>0</v>
      </c>
      <c r="AP216" s="289">
        <f t="shared" si="2"/>
        <v>0</v>
      </c>
      <c r="AQ216" s="289">
        <v>-8187.144025707617</v>
      </c>
      <c r="AR216" s="289">
        <v>1873187.9309756102</v>
      </c>
      <c r="AS216" s="289">
        <v>1</v>
      </c>
      <c r="AT216" s="289">
        <v>2059</v>
      </c>
      <c r="AU216" s="289">
        <v>0</v>
      </c>
      <c r="AV216" s="289">
        <v>0</v>
      </c>
      <c r="AW216" s="289">
        <v>0</v>
      </c>
      <c r="AX216" s="289">
        <v>0</v>
      </c>
      <c r="AY216" s="289">
        <v>213.19</v>
      </c>
      <c r="AZ216" s="289">
        <v>9.658051503353816</v>
      </c>
      <c r="BA216" s="289">
        <v>1227</v>
      </c>
      <c r="BB216" s="289">
        <v>0.5959203496843127</v>
      </c>
      <c r="BC216" s="289">
        <v>0</v>
      </c>
      <c r="BD216" s="289">
        <v>0</v>
      </c>
      <c r="BE216" s="289">
        <v>1994</v>
      </c>
      <c r="BF216" s="289">
        <v>2059</v>
      </c>
      <c r="BG216" s="289">
        <v>0.03259779338014042</v>
      </c>
      <c r="BH216" s="289">
        <v>0</v>
      </c>
      <c r="BI216" s="289">
        <v>0</v>
      </c>
      <c r="BJ216" s="289">
        <v>0</v>
      </c>
      <c r="BK216" s="289">
        <v>355424.4870293107</v>
      </c>
      <c r="BL216" s="289">
        <v>6922.37</v>
      </c>
      <c r="BM216" s="301">
        <v>888</v>
      </c>
    </row>
    <row r="217" spans="6:65" s="289" customFormat="1" ht="12.75">
      <c r="F217" s="289">
        <v>440</v>
      </c>
      <c r="G217" s="289" t="s">
        <v>259</v>
      </c>
      <c r="H217" s="289">
        <v>738</v>
      </c>
      <c r="I217" s="289">
        <v>97</v>
      </c>
      <c r="J217" s="289">
        <v>543</v>
      </c>
      <c r="K217" s="289">
        <v>272</v>
      </c>
      <c r="L217" s="289">
        <v>3584</v>
      </c>
      <c r="M217" s="289">
        <v>370</v>
      </c>
      <c r="N217" s="289">
        <v>212</v>
      </c>
      <c r="O217" s="289">
        <v>62</v>
      </c>
      <c r="P217" s="289">
        <v>4966</v>
      </c>
      <c r="Q217" s="289">
        <v>867</v>
      </c>
      <c r="R217" s="289">
        <v>17</v>
      </c>
      <c r="S217" s="289">
        <v>142.33999999999992</v>
      </c>
      <c r="T217" s="289">
        <v>34.888295630181275</v>
      </c>
      <c r="U217" s="289">
        <v>1</v>
      </c>
      <c r="V217" s="289">
        <v>2</v>
      </c>
      <c r="W217" s="289">
        <v>2067</v>
      </c>
      <c r="X217" s="289">
        <v>51</v>
      </c>
      <c r="Y217" s="289">
        <v>18</v>
      </c>
      <c r="Z217" s="289">
        <v>1.0157386225245053</v>
      </c>
      <c r="AA217" s="289">
        <v>3</v>
      </c>
      <c r="AB217" s="289">
        <v>2</v>
      </c>
      <c r="AC217" s="289">
        <v>0.24228828248741394</v>
      </c>
      <c r="AD217" s="289">
        <v>120</v>
      </c>
      <c r="AE217" s="289">
        <v>44</v>
      </c>
      <c r="AF217" s="289">
        <v>8</v>
      </c>
      <c r="AG217" s="289">
        <v>1</v>
      </c>
      <c r="AH217" s="289">
        <v>173</v>
      </c>
      <c r="AI217" s="289">
        <v>0.6830386370602508</v>
      </c>
      <c r="AJ217" s="289">
        <v>2078</v>
      </c>
      <c r="AK217" s="289">
        <v>73</v>
      </c>
      <c r="AL217" s="289">
        <v>0.3587292649621212</v>
      </c>
      <c r="AM217" s="289">
        <v>0.7283891009323107</v>
      </c>
      <c r="AN217" s="289">
        <v>0</v>
      </c>
      <c r="AO217" s="289">
        <v>0</v>
      </c>
      <c r="AP217" s="289">
        <f t="shared" si="2"/>
        <v>0</v>
      </c>
      <c r="AQ217" s="289">
        <v>14361.762467931956</v>
      </c>
      <c r="AR217" s="289">
        <v>3363113.577564104</v>
      </c>
      <c r="AS217" s="289">
        <v>1</v>
      </c>
      <c r="AT217" s="289">
        <v>4966</v>
      </c>
      <c r="AU217" s="289">
        <v>1</v>
      </c>
      <c r="AV217" s="289">
        <v>1957</v>
      </c>
      <c r="AW217" s="289">
        <v>0.39407974224728154</v>
      </c>
      <c r="AX217" s="289">
        <v>0</v>
      </c>
      <c r="AY217" s="289">
        <v>142.44</v>
      </c>
      <c r="AZ217" s="289">
        <v>34.863802302723954</v>
      </c>
      <c r="BA217" s="289">
        <v>3899</v>
      </c>
      <c r="BB217" s="289">
        <v>0.7851389448248087</v>
      </c>
      <c r="BC217" s="289">
        <v>2</v>
      </c>
      <c r="BD217" s="289">
        <v>0</v>
      </c>
      <c r="BE217" s="289">
        <v>4719</v>
      </c>
      <c r="BF217" s="289">
        <v>4966</v>
      </c>
      <c r="BG217" s="289">
        <v>0.05234159779614325</v>
      </c>
      <c r="BH217" s="289">
        <v>0</v>
      </c>
      <c r="BI217" s="289">
        <v>0</v>
      </c>
      <c r="BJ217" s="289">
        <v>0</v>
      </c>
      <c r="BK217" s="289">
        <v>710920.3311731355</v>
      </c>
      <c r="BL217" s="289">
        <v>6843.22</v>
      </c>
      <c r="BM217" s="301">
        <v>2477</v>
      </c>
    </row>
    <row r="218" spans="6:65" s="289" customFormat="1" ht="12.75">
      <c r="F218" s="289">
        <v>441</v>
      </c>
      <c r="G218" s="289" t="s">
        <v>260</v>
      </c>
      <c r="H218" s="289">
        <v>311</v>
      </c>
      <c r="I218" s="289">
        <v>35</v>
      </c>
      <c r="J218" s="289">
        <v>290</v>
      </c>
      <c r="K218" s="289">
        <v>163</v>
      </c>
      <c r="L218" s="289">
        <v>3324</v>
      </c>
      <c r="M218" s="289">
        <v>697</v>
      </c>
      <c r="N218" s="289">
        <v>489</v>
      </c>
      <c r="O218" s="289">
        <v>201</v>
      </c>
      <c r="P218" s="289">
        <v>5022</v>
      </c>
      <c r="Q218" s="289">
        <v>3</v>
      </c>
      <c r="R218" s="289">
        <v>8</v>
      </c>
      <c r="S218" s="289">
        <v>750.08</v>
      </c>
      <c r="T218" s="289">
        <v>6.695285836177474</v>
      </c>
      <c r="U218" s="289">
        <v>0</v>
      </c>
      <c r="V218" s="289">
        <v>0</v>
      </c>
      <c r="W218" s="289">
        <v>1978</v>
      </c>
      <c r="X218" s="289">
        <v>288</v>
      </c>
      <c r="Y218" s="289">
        <v>24</v>
      </c>
      <c r="Z218" s="289">
        <v>0.8850660232464724</v>
      </c>
      <c r="AA218" s="289">
        <v>0</v>
      </c>
      <c r="AB218" s="289">
        <v>2</v>
      </c>
      <c r="AC218" s="289">
        <v>0.2395865413844081</v>
      </c>
      <c r="AD218" s="289">
        <v>259</v>
      </c>
      <c r="AE218" s="289">
        <v>22</v>
      </c>
      <c r="AF218" s="289">
        <v>6</v>
      </c>
      <c r="AG218" s="289">
        <v>0</v>
      </c>
      <c r="AH218" s="289">
        <v>287</v>
      </c>
      <c r="AI218" s="289">
        <v>1.1204979629065936</v>
      </c>
      <c r="AJ218" s="289">
        <v>2252</v>
      </c>
      <c r="AK218" s="289">
        <v>249</v>
      </c>
      <c r="AL218" s="289">
        <v>1.1290689173412412</v>
      </c>
      <c r="AM218" s="289">
        <v>0.9030915681065668</v>
      </c>
      <c r="AN218" s="289">
        <v>0</v>
      </c>
      <c r="AO218" s="289">
        <v>0</v>
      </c>
      <c r="AP218" s="289">
        <f t="shared" si="2"/>
        <v>0</v>
      </c>
      <c r="AQ218" s="289">
        <v>-3537.7496837247163</v>
      </c>
      <c r="AR218" s="289">
        <v>2087949.4602777797</v>
      </c>
      <c r="AS218" s="289">
        <v>1</v>
      </c>
      <c r="AT218" s="289">
        <v>5022</v>
      </c>
      <c r="AU218" s="289">
        <v>0</v>
      </c>
      <c r="AV218" s="289">
        <v>0</v>
      </c>
      <c r="AW218" s="289">
        <v>0</v>
      </c>
      <c r="AX218" s="289">
        <v>0.2542</v>
      </c>
      <c r="AY218" s="289">
        <v>750.07</v>
      </c>
      <c r="AZ218" s="289">
        <v>6.695375098324156</v>
      </c>
      <c r="BA218" s="289">
        <v>2989</v>
      </c>
      <c r="BB218" s="289">
        <v>0.5951812027080844</v>
      </c>
      <c r="BC218" s="289">
        <v>0</v>
      </c>
      <c r="BD218" s="289">
        <v>0</v>
      </c>
      <c r="BE218" s="289">
        <v>5179</v>
      </c>
      <c r="BF218" s="289">
        <v>5022</v>
      </c>
      <c r="BG218" s="289">
        <v>-0.030314732573855956</v>
      </c>
      <c r="BH218" s="289">
        <v>0</v>
      </c>
      <c r="BI218" s="289">
        <v>0</v>
      </c>
      <c r="BJ218" s="289">
        <v>0</v>
      </c>
      <c r="BK218" s="289">
        <v>1102866.924195254</v>
      </c>
      <c r="BL218" s="289">
        <v>7191.65</v>
      </c>
      <c r="BM218" s="301">
        <v>1279</v>
      </c>
    </row>
    <row r="219" spans="6:65" s="289" customFormat="1" ht="12.75">
      <c r="F219" s="289">
        <v>442</v>
      </c>
      <c r="G219" s="289" t="s">
        <v>261</v>
      </c>
      <c r="H219" s="289">
        <v>294</v>
      </c>
      <c r="I219" s="289">
        <v>54</v>
      </c>
      <c r="J219" s="289">
        <v>248</v>
      </c>
      <c r="K219" s="289">
        <v>118</v>
      </c>
      <c r="L219" s="289">
        <v>2334</v>
      </c>
      <c r="M219" s="289">
        <v>445</v>
      </c>
      <c r="N219" s="289">
        <v>199</v>
      </c>
      <c r="O219" s="289">
        <v>88</v>
      </c>
      <c r="P219" s="289">
        <v>3360</v>
      </c>
      <c r="Q219" s="289">
        <v>2</v>
      </c>
      <c r="R219" s="289">
        <v>3</v>
      </c>
      <c r="S219" s="289">
        <v>169.07000000000005</v>
      </c>
      <c r="T219" s="289">
        <v>19.87342520849352</v>
      </c>
      <c r="U219" s="289">
        <v>0</v>
      </c>
      <c r="V219" s="289">
        <v>0</v>
      </c>
      <c r="W219" s="289">
        <v>1401</v>
      </c>
      <c r="X219" s="289">
        <v>83</v>
      </c>
      <c r="Y219" s="289">
        <v>21</v>
      </c>
      <c r="Z219" s="289">
        <v>0.972811732998996</v>
      </c>
      <c r="AA219" s="289">
        <v>0</v>
      </c>
      <c r="AB219" s="289">
        <v>2</v>
      </c>
      <c r="AC219" s="289">
        <v>0.35809631274776715</v>
      </c>
      <c r="AD219" s="289">
        <v>128</v>
      </c>
      <c r="AE219" s="289">
        <v>24</v>
      </c>
      <c r="AF219" s="289">
        <v>5</v>
      </c>
      <c r="AG219" s="289">
        <v>7</v>
      </c>
      <c r="AH219" s="289">
        <v>164</v>
      </c>
      <c r="AI219" s="289">
        <v>0.9569967295436927</v>
      </c>
      <c r="AJ219" s="289">
        <v>1535</v>
      </c>
      <c r="AK219" s="289">
        <v>130</v>
      </c>
      <c r="AL219" s="289">
        <v>0.8648174881698043</v>
      </c>
      <c r="AM219" s="289">
        <v>0.7018606040489553</v>
      </c>
      <c r="AN219" s="289">
        <v>0</v>
      </c>
      <c r="AO219" s="289">
        <v>0</v>
      </c>
      <c r="AP219" s="289">
        <f t="shared" si="2"/>
        <v>0</v>
      </c>
      <c r="AQ219" s="289">
        <v>13104.828108857386</v>
      </c>
      <c r="AR219" s="289">
        <v>366388.2858227832</v>
      </c>
      <c r="AS219" s="289">
        <v>1</v>
      </c>
      <c r="AT219" s="289">
        <v>3360</v>
      </c>
      <c r="AU219" s="289">
        <v>0</v>
      </c>
      <c r="AV219" s="289">
        <v>0</v>
      </c>
      <c r="AW219" s="289">
        <v>0</v>
      </c>
      <c r="AX219" s="289">
        <v>0</v>
      </c>
      <c r="AY219" s="289">
        <v>169.07</v>
      </c>
      <c r="AZ219" s="289">
        <v>19.873425208493526</v>
      </c>
      <c r="BA219" s="289">
        <v>1905</v>
      </c>
      <c r="BB219" s="289">
        <v>0.5669642857142857</v>
      </c>
      <c r="BC219" s="289">
        <v>0</v>
      </c>
      <c r="BD219" s="289">
        <v>0</v>
      </c>
      <c r="BE219" s="289">
        <v>3315</v>
      </c>
      <c r="BF219" s="289">
        <v>3360</v>
      </c>
      <c r="BG219" s="289">
        <v>0.013574660633484163</v>
      </c>
      <c r="BH219" s="289">
        <v>0</v>
      </c>
      <c r="BI219" s="289">
        <v>0</v>
      </c>
      <c r="BJ219" s="289">
        <v>0</v>
      </c>
      <c r="BK219" s="289">
        <v>573515.1899181617</v>
      </c>
      <c r="BL219" s="289">
        <v>6430.68</v>
      </c>
      <c r="BM219" s="301">
        <v>994</v>
      </c>
    </row>
    <row r="220" spans="6:65" s="289" customFormat="1" ht="12.75">
      <c r="F220" s="289">
        <v>444</v>
      </c>
      <c r="G220" s="289" t="s">
        <v>253</v>
      </c>
      <c r="H220" s="289">
        <v>3921</v>
      </c>
      <c r="I220" s="289">
        <v>617</v>
      </c>
      <c r="J220" s="289">
        <v>3512</v>
      </c>
      <c r="K220" s="289">
        <v>1829</v>
      </c>
      <c r="L220" s="289">
        <v>34801</v>
      </c>
      <c r="M220" s="289">
        <v>5214</v>
      </c>
      <c r="N220" s="289">
        <v>2700</v>
      </c>
      <c r="O220" s="289">
        <v>880</v>
      </c>
      <c r="P220" s="289">
        <v>47516</v>
      </c>
      <c r="Q220" s="289">
        <v>190</v>
      </c>
      <c r="R220" s="289">
        <v>133</v>
      </c>
      <c r="S220" s="289">
        <v>939.14</v>
      </c>
      <c r="T220" s="289">
        <v>50.595225419000364</v>
      </c>
      <c r="U220" s="289">
        <v>0</v>
      </c>
      <c r="V220" s="289">
        <v>1</v>
      </c>
      <c r="W220" s="289">
        <v>21325</v>
      </c>
      <c r="X220" s="289">
        <v>443</v>
      </c>
      <c r="Y220" s="289">
        <v>265</v>
      </c>
      <c r="Z220" s="289">
        <v>1.0159290764216695</v>
      </c>
      <c r="AA220" s="289">
        <v>92</v>
      </c>
      <c r="AB220" s="289">
        <v>92</v>
      </c>
      <c r="AC220" s="289">
        <v>1.1648153484782997</v>
      </c>
      <c r="AD220" s="289">
        <v>1564</v>
      </c>
      <c r="AE220" s="289">
        <v>338</v>
      </c>
      <c r="AF220" s="289">
        <v>65</v>
      </c>
      <c r="AG220" s="289">
        <v>15</v>
      </c>
      <c r="AH220" s="289">
        <v>1982</v>
      </c>
      <c r="AI220" s="289">
        <v>0.8178424700499874</v>
      </c>
      <c r="AJ220" s="289">
        <v>23331</v>
      </c>
      <c r="AK220" s="289">
        <v>1800</v>
      </c>
      <c r="AL220" s="289">
        <v>0.7878229756425651</v>
      </c>
      <c r="AM220" s="289">
        <v>0.9411294789025302</v>
      </c>
      <c r="AN220" s="289">
        <v>0</v>
      </c>
      <c r="AO220" s="289">
        <v>0</v>
      </c>
      <c r="AP220" s="289">
        <f t="shared" si="2"/>
        <v>0</v>
      </c>
      <c r="AQ220" s="289">
        <v>624884.9542209012</v>
      </c>
      <c r="AR220" s="289">
        <v>-4006825.996251829</v>
      </c>
      <c r="AS220" s="289">
        <v>1</v>
      </c>
      <c r="AT220" s="289">
        <v>47516</v>
      </c>
      <c r="AU220" s="289">
        <v>0</v>
      </c>
      <c r="AV220" s="289">
        <v>0</v>
      </c>
      <c r="AW220" s="289">
        <v>0</v>
      </c>
      <c r="AX220" s="289">
        <v>0</v>
      </c>
      <c r="AY220" s="289">
        <v>939.02</v>
      </c>
      <c r="AZ220" s="289">
        <v>50.601691124789674</v>
      </c>
      <c r="BA220" s="289">
        <v>38103</v>
      </c>
      <c r="BB220" s="289">
        <v>0.8018983079383787</v>
      </c>
      <c r="BC220" s="289">
        <v>1</v>
      </c>
      <c r="BD220" s="289">
        <v>0</v>
      </c>
      <c r="BE220" s="289">
        <v>46963</v>
      </c>
      <c r="BF220" s="289">
        <v>47516</v>
      </c>
      <c r="BG220" s="289">
        <v>0.01177522730660307</v>
      </c>
      <c r="BH220" s="289">
        <v>0</v>
      </c>
      <c r="BI220" s="289">
        <v>4</v>
      </c>
      <c r="BJ220" s="289">
        <v>8.418217021634818E-05</v>
      </c>
      <c r="BK220" s="289">
        <v>6896688.248462696</v>
      </c>
      <c r="BL220" s="289">
        <v>6269.49</v>
      </c>
      <c r="BM220" s="301">
        <v>13293</v>
      </c>
    </row>
    <row r="221" spans="6:65" s="289" customFormat="1" ht="12.75">
      <c r="F221" s="289">
        <v>445</v>
      </c>
      <c r="G221" s="289" t="s">
        <v>548</v>
      </c>
      <c r="H221" s="289">
        <v>1165</v>
      </c>
      <c r="I221" s="289">
        <v>172</v>
      </c>
      <c r="J221" s="289">
        <v>1093</v>
      </c>
      <c r="K221" s="289">
        <v>587</v>
      </c>
      <c r="L221" s="289">
        <v>10945</v>
      </c>
      <c r="M221" s="289">
        <v>1899</v>
      </c>
      <c r="N221" s="289">
        <v>1092</v>
      </c>
      <c r="O221" s="289">
        <v>460</v>
      </c>
      <c r="P221" s="289">
        <v>15561</v>
      </c>
      <c r="Q221" s="289">
        <v>1039</v>
      </c>
      <c r="R221" s="289">
        <v>37</v>
      </c>
      <c r="S221" s="289">
        <v>882.1300000000001</v>
      </c>
      <c r="T221" s="289">
        <v>17.64025710496185</v>
      </c>
      <c r="U221" s="289">
        <v>2</v>
      </c>
      <c r="V221" s="289">
        <v>3</v>
      </c>
      <c r="W221" s="289">
        <v>6794</v>
      </c>
      <c r="X221" s="289">
        <v>247</v>
      </c>
      <c r="Y221" s="289">
        <v>88</v>
      </c>
      <c r="Z221" s="289">
        <v>0.9990027900939581</v>
      </c>
      <c r="AA221" s="289">
        <v>15</v>
      </c>
      <c r="AB221" s="289">
        <v>15</v>
      </c>
      <c r="AC221" s="289">
        <v>0.5799130570814043</v>
      </c>
      <c r="AD221" s="289">
        <v>550</v>
      </c>
      <c r="AE221" s="289">
        <v>138</v>
      </c>
      <c r="AF221" s="289">
        <v>18</v>
      </c>
      <c r="AG221" s="289">
        <v>14</v>
      </c>
      <c r="AH221" s="289">
        <v>720</v>
      </c>
      <c r="AI221" s="289">
        <v>0.9071954777939617</v>
      </c>
      <c r="AJ221" s="289">
        <v>7250</v>
      </c>
      <c r="AK221" s="289">
        <v>378</v>
      </c>
      <c r="AL221" s="289">
        <v>0.5324064203297247</v>
      </c>
      <c r="AM221" s="289">
        <v>0.8467791165264411</v>
      </c>
      <c r="AN221" s="289">
        <v>0</v>
      </c>
      <c r="AO221" s="289">
        <v>0</v>
      </c>
      <c r="AP221" s="289">
        <f t="shared" si="2"/>
        <v>0</v>
      </c>
      <c r="AQ221" s="289">
        <v>391772.4688114561</v>
      </c>
      <c r="AR221" s="289">
        <v>-1321173.7074999996</v>
      </c>
      <c r="AS221" s="289">
        <v>1</v>
      </c>
      <c r="AT221" s="289">
        <v>15561</v>
      </c>
      <c r="AU221" s="289">
        <v>2</v>
      </c>
      <c r="AV221" s="289">
        <v>15561</v>
      </c>
      <c r="AW221" s="289">
        <v>0</v>
      </c>
      <c r="AX221" s="289">
        <v>0</v>
      </c>
      <c r="AY221" s="289">
        <v>881.8</v>
      </c>
      <c r="AZ221" s="289">
        <v>17.646858698117487</v>
      </c>
      <c r="BA221" s="289">
        <v>10370</v>
      </c>
      <c r="BB221" s="289">
        <v>0.6664096137780349</v>
      </c>
      <c r="BC221" s="289">
        <v>3</v>
      </c>
      <c r="BD221" s="289">
        <v>0</v>
      </c>
      <c r="BE221" s="289">
        <v>15490</v>
      </c>
      <c r="BF221" s="289">
        <v>15561</v>
      </c>
      <c r="BG221" s="289">
        <v>0.004583602324080052</v>
      </c>
      <c r="BH221" s="289">
        <v>0</v>
      </c>
      <c r="BI221" s="289">
        <v>0</v>
      </c>
      <c r="BJ221" s="289">
        <v>0</v>
      </c>
      <c r="BK221" s="289">
        <v>2471422.0486100707</v>
      </c>
      <c r="BL221" s="289">
        <v>7677.49</v>
      </c>
      <c r="BM221" s="301">
        <v>4646</v>
      </c>
    </row>
    <row r="222" spans="6:65" s="289" customFormat="1" ht="12.75">
      <c r="F222" s="289">
        <v>475</v>
      </c>
      <c r="G222" s="289" t="s">
        <v>262</v>
      </c>
      <c r="H222" s="289">
        <v>419</v>
      </c>
      <c r="I222" s="289">
        <v>48</v>
      </c>
      <c r="J222" s="289">
        <v>311</v>
      </c>
      <c r="K222" s="289">
        <v>178</v>
      </c>
      <c r="L222" s="289">
        <v>3778</v>
      </c>
      <c r="M222" s="289">
        <v>695</v>
      </c>
      <c r="N222" s="289">
        <v>435</v>
      </c>
      <c r="O222" s="289">
        <v>259</v>
      </c>
      <c r="P222" s="289">
        <v>5586</v>
      </c>
      <c r="Q222" s="289">
        <v>462</v>
      </c>
      <c r="R222" s="289">
        <v>34</v>
      </c>
      <c r="S222" s="289">
        <v>521.3100000000002</v>
      </c>
      <c r="T222" s="289">
        <v>10.715313345226445</v>
      </c>
      <c r="U222" s="289">
        <v>2</v>
      </c>
      <c r="V222" s="289">
        <v>3</v>
      </c>
      <c r="W222" s="289">
        <v>2527</v>
      </c>
      <c r="X222" s="289">
        <v>250</v>
      </c>
      <c r="Y222" s="289">
        <v>31</v>
      </c>
      <c r="Z222" s="289">
        <v>0.9339668659111843</v>
      </c>
      <c r="AA222" s="289">
        <v>5</v>
      </c>
      <c r="AB222" s="289">
        <v>5</v>
      </c>
      <c r="AC222" s="289">
        <v>0.5384906958613039</v>
      </c>
      <c r="AD222" s="289">
        <v>262</v>
      </c>
      <c r="AE222" s="289">
        <v>27</v>
      </c>
      <c r="AF222" s="289">
        <v>5</v>
      </c>
      <c r="AG222" s="289">
        <v>1</v>
      </c>
      <c r="AH222" s="289">
        <v>295</v>
      </c>
      <c r="AI222" s="289">
        <v>1.035444838494001</v>
      </c>
      <c r="AJ222" s="289">
        <v>2666</v>
      </c>
      <c r="AK222" s="289">
        <v>130</v>
      </c>
      <c r="AL222" s="289">
        <v>0.4979350503903412</v>
      </c>
      <c r="AM222" s="289">
        <v>0.7929151407205983</v>
      </c>
      <c r="AN222" s="289">
        <v>0</v>
      </c>
      <c r="AO222" s="289">
        <v>0</v>
      </c>
      <c r="AP222" s="289">
        <f t="shared" si="2"/>
        <v>0</v>
      </c>
      <c r="AQ222" s="289">
        <v>102448.75923616439</v>
      </c>
      <c r="AR222" s="289">
        <v>2413587.6906172843</v>
      </c>
      <c r="AS222" s="289">
        <v>1</v>
      </c>
      <c r="AT222" s="289">
        <v>5586</v>
      </c>
      <c r="AU222" s="289">
        <v>2</v>
      </c>
      <c r="AV222" s="289">
        <v>5586</v>
      </c>
      <c r="AW222" s="289">
        <v>0</v>
      </c>
      <c r="AX222" s="289">
        <v>0</v>
      </c>
      <c r="AY222" s="289">
        <v>521.31</v>
      </c>
      <c r="AZ222" s="289">
        <v>10.71531334522645</v>
      </c>
      <c r="BA222" s="289">
        <v>3910</v>
      </c>
      <c r="BB222" s="289">
        <v>0.6999641962047977</v>
      </c>
      <c r="BC222" s="289">
        <v>3</v>
      </c>
      <c r="BD222" s="289">
        <v>0</v>
      </c>
      <c r="BE222" s="289">
        <v>5614</v>
      </c>
      <c r="BF222" s="289">
        <v>5586</v>
      </c>
      <c r="BG222" s="289">
        <v>-0.004987531172069825</v>
      </c>
      <c r="BH222" s="289">
        <v>0</v>
      </c>
      <c r="BI222" s="289">
        <v>0</v>
      </c>
      <c r="BJ222" s="289">
        <v>0</v>
      </c>
      <c r="BK222" s="289">
        <v>1100331.913746836</v>
      </c>
      <c r="BL222" s="289">
        <v>8317.69</v>
      </c>
      <c r="BM222" s="301">
        <v>1672</v>
      </c>
    </row>
    <row r="223" spans="6:65" s="289" customFormat="1" ht="12.75">
      <c r="F223" s="289">
        <v>476</v>
      </c>
      <c r="G223" s="289" t="s">
        <v>263</v>
      </c>
      <c r="H223" s="289">
        <v>299</v>
      </c>
      <c r="I223" s="289">
        <v>69</v>
      </c>
      <c r="J223" s="289">
        <v>290</v>
      </c>
      <c r="K223" s="289">
        <v>143</v>
      </c>
      <c r="L223" s="289">
        <v>2683</v>
      </c>
      <c r="M223" s="289">
        <v>453</v>
      </c>
      <c r="N223" s="289">
        <v>284</v>
      </c>
      <c r="O223" s="289">
        <v>107</v>
      </c>
      <c r="P223" s="289">
        <v>3826</v>
      </c>
      <c r="Q223" s="289">
        <v>0</v>
      </c>
      <c r="R223" s="289">
        <v>6</v>
      </c>
      <c r="S223" s="289">
        <v>466.51</v>
      </c>
      <c r="T223" s="289">
        <v>8.20132473044522</v>
      </c>
      <c r="U223" s="289">
        <v>0</v>
      </c>
      <c r="V223" s="289">
        <v>0</v>
      </c>
      <c r="W223" s="289">
        <v>1529</v>
      </c>
      <c r="X223" s="289">
        <v>267</v>
      </c>
      <c r="Y223" s="289">
        <v>29</v>
      </c>
      <c r="Z223" s="289">
        <v>0.847388469728984</v>
      </c>
      <c r="AA223" s="289">
        <v>2</v>
      </c>
      <c r="AB223" s="289">
        <v>2</v>
      </c>
      <c r="AC223" s="289">
        <v>0.3144808183043642</v>
      </c>
      <c r="AD223" s="289">
        <v>233</v>
      </c>
      <c r="AE223" s="289">
        <v>26</v>
      </c>
      <c r="AF223" s="289">
        <v>7</v>
      </c>
      <c r="AG223" s="289">
        <v>4</v>
      </c>
      <c r="AH223" s="289">
        <v>270</v>
      </c>
      <c r="AI223" s="289">
        <v>1.3836450107767746</v>
      </c>
      <c r="AJ223" s="289">
        <v>1675</v>
      </c>
      <c r="AK223" s="289">
        <v>143</v>
      </c>
      <c r="AL223" s="289">
        <v>0.8717876589699788</v>
      </c>
      <c r="AM223" s="289">
        <v>1.3633954558102124</v>
      </c>
      <c r="AN223" s="289">
        <v>0</v>
      </c>
      <c r="AO223" s="289">
        <v>0</v>
      </c>
      <c r="AP223" s="289">
        <f t="shared" si="2"/>
        <v>0</v>
      </c>
      <c r="AQ223" s="289">
        <v>52946.32148560323</v>
      </c>
      <c r="AR223" s="289">
        <v>2444207.667317072</v>
      </c>
      <c r="AS223" s="289">
        <v>1</v>
      </c>
      <c r="AT223" s="289">
        <v>3826</v>
      </c>
      <c r="AU223" s="289">
        <v>0</v>
      </c>
      <c r="AV223" s="289">
        <v>0</v>
      </c>
      <c r="AW223" s="289">
        <v>0</v>
      </c>
      <c r="AX223" s="289">
        <v>0</v>
      </c>
      <c r="AY223" s="289">
        <v>466.51</v>
      </c>
      <c r="AZ223" s="289">
        <v>8.20132473044522</v>
      </c>
      <c r="BA223" s="289">
        <v>1594</v>
      </c>
      <c r="BB223" s="289">
        <v>0.41662310507056977</v>
      </c>
      <c r="BC223" s="289">
        <v>0</v>
      </c>
      <c r="BD223" s="289">
        <v>0</v>
      </c>
      <c r="BE223" s="289">
        <v>3870</v>
      </c>
      <c r="BF223" s="289">
        <v>3826</v>
      </c>
      <c r="BG223" s="289">
        <v>-0.011369509043927648</v>
      </c>
      <c r="BH223" s="289">
        <v>0</v>
      </c>
      <c r="BI223" s="289">
        <v>0</v>
      </c>
      <c r="BJ223" s="289">
        <v>0</v>
      </c>
      <c r="BK223" s="289">
        <v>785101.1766240011</v>
      </c>
      <c r="BL223" s="289">
        <v>7046.64</v>
      </c>
      <c r="BM223" s="301">
        <v>1135</v>
      </c>
    </row>
    <row r="224" spans="6:65" s="289" customFormat="1" ht="12.75">
      <c r="F224" s="289">
        <v>480</v>
      </c>
      <c r="G224" s="289" t="s">
        <v>264</v>
      </c>
      <c r="H224" s="289">
        <v>153</v>
      </c>
      <c r="I224" s="289">
        <v>15</v>
      </c>
      <c r="J224" s="289">
        <v>115</v>
      </c>
      <c r="K224" s="289">
        <v>78</v>
      </c>
      <c r="L224" s="289">
        <v>1374</v>
      </c>
      <c r="M224" s="289">
        <v>259</v>
      </c>
      <c r="N224" s="289">
        <v>156</v>
      </c>
      <c r="O224" s="289">
        <v>75</v>
      </c>
      <c r="P224" s="289">
        <v>2017</v>
      </c>
      <c r="Q224" s="289">
        <v>2</v>
      </c>
      <c r="R224" s="289">
        <v>2</v>
      </c>
      <c r="S224" s="289">
        <v>195.28</v>
      </c>
      <c r="T224" s="289">
        <v>10.328758705448587</v>
      </c>
      <c r="U224" s="289">
        <v>0</v>
      </c>
      <c r="V224" s="289">
        <v>0</v>
      </c>
      <c r="W224" s="289">
        <v>875</v>
      </c>
      <c r="X224" s="289">
        <v>135</v>
      </c>
      <c r="Y224" s="289">
        <v>19</v>
      </c>
      <c r="Z224" s="289">
        <v>0.8658729468432019</v>
      </c>
      <c r="AA224" s="289">
        <v>3</v>
      </c>
      <c r="AB224" s="289">
        <v>2</v>
      </c>
      <c r="AC224" s="289">
        <v>0.5965312894558737</v>
      </c>
      <c r="AD224" s="289">
        <v>132</v>
      </c>
      <c r="AE224" s="289">
        <v>19</v>
      </c>
      <c r="AF224" s="289">
        <v>1</v>
      </c>
      <c r="AG224" s="289">
        <v>3</v>
      </c>
      <c r="AH224" s="289">
        <v>155</v>
      </c>
      <c r="AI224" s="289">
        <v>1.506716981106797</v>
      </c>
      <c r="AJ224" s="289">
        <v>928</v>
      </c>
      <c r="AK224" s="289">
        <v>60</v>
      </c>
      <c r="AL224" s="289">
        <v>0.6602262156866626</v>
      </c>
      <c r="AM224" s="289">
        <v>1.109763187797252</v>
      </c>
      <c r="AN224" s="289">
        <v>0</v>
      </c>
      <c r="AO224" s="289">
        <v>0</v>
      </c>
      <c r="AP224" s="289">
        <f t="shared" si="2"/>
        <v>0</v>
      </c>
      <c r="AQ224" s="289">
        <v>-2801.1581095047295</v>
      </c>
      <c r="AR224" s="289">
        <v>951600.5600000006</v>
      </c>
      <c r="AS224" s="289">
        <v>0</v>
      </c>
      <c r="AT224" s="289">
        <v>2017</v>
      </c>
      <c r="AU224" s="289">
        <v>0</v>
      </c>
      <c r="AV224" s="289">
        <v>0</v>
      </c>
      <c r="AW224" s="289">
        <v>0</v>
      </c>
      <c r="AX224" s="289">
        <v>0</v>
      </c>
      <c r="AY224" s="289">
        <v>195.28</v>
      </c>
      <c r="AZ224" s="289">
        <v>10.328758705448587</v>
      </c>
      <c r="BA224" s="289">
        <v>856</v>
      </c>
      <c r="BB224" s="289">
        <v>0.42439266236985623</v>
      </c>
      <c r="BC224" s="289">
        <v>0</v>
      </c>
      <c r="BD224" s="289">
        <v>0</v>
      </c>
      <c r="BE224" s="289">
        <v>2019</v>
      </c>
      <c r="BF224" s="289">
        <v>2017</v>
      </c>
      <c r="BG224" s="289">
        <v>-0.0009905894006934125</v>
      </c>
      <c r="BH224" s="289">
        <v>0</v>
      </c>
      <c r="BI224" s="289">
        <v>0</v>
      </c>
      <c r="BJ224" s="289">
        <v>0</v>
      </c>
      <c r="BK224" s="289">
        <v>417766.9811627912</v>
      </c>
      <c r="BL224" s="289">
        <v>6884.16</v>
      </c>
      <c r="BM224" s="301">
        <v>556</v>
      </c>
    </row>
    <row r="225" spans="6:65" s="289" customFormat="1" ht="12.75">
      <c r="F225" s="289">
        <v>481</v>
      </c>
      <c r="G225" s="289" t="s">
        <v>265</v>
      </c>
      <c r="H225" s="289">
        <v>980</v>
      </c>
      <c r="I225" s="289">
        <v>154</v>
      </c>
      <c r="J225" s="289">
        <v>880</v>
      </c>
      <c r="K225" s="289">
        <v>449</v>
      </c>
      <c r="L225" s="289">
        <v>7299</v>
      </c>
      <c r="M225" s="289">
        <v>859</v>
      </c>
      <c r="N225" s="289">
        <v>408</v>
      </c>
      <c r="O225" s="289">
        <v>125</v>
      </c>
      <c r="P225" s="289">
        <v>9671</v>
      </c>
      <c r="Q225" s="289">
        <v>10</v>
      </c>
      <c r="R225" s="289">
        <v>8</v>
      </c>
      <c r="S225" s="289">
        <v>174.9</v>
      </c>
      <c r="T225" s="289">
        <v>55.294453973699255</v>
      </c>
      <c r="U225" s="289">
        <v>0</v>
      </c>
      <c r="V225" s="289">
        <v>0</v>
      </c>
      <c r="W225" s="289">
        <v>4601</v>
      </c>
      <c r="X225" s="289">
        <v>138</v>
      </c>
      <c r="Y225" s="289">
        <v>61</v>
      </c>
      <c r="Z225" s="289">
        <v>1.0053673198955733</v>
      </c>
      <c r="AA225" s="289">
        <v>11</v>
      </c>
      <c r="AB225" s="289">
        <v>11</v>
      </c>
      <c r="AC225" s="289">
        <v>0.6842746209883918</v>
      </c>
      <c r="AD225" s="289">
        <v>294</v>
      </c>
      <c r="AE225" s="289">
        <v>125</v>
      </c>
      <c r="AF225" s="289">
        <v>18</v>
      </c>
      <c r="AG225" s="289">
        <v>3</v>
      </c>
      <c r="AH225" s="289">
        <v>440</v>
      </c>
      <c r="AI225" s="289">
        <v>0.8920458480076185</v>
      </c>
      <c r="AJ225" s="289">
        <v>4805</v>
      </c>
      <c r="AK225" s="289">
        <v>242</v>
      </c>
      <c r="AL225" s="289">
        <v>0.5142940083733886</v>
      </c>
      <c r="AM225" s="289">
        <v>0.6060262857794987</v>
      </c>
      <c r="AN225" s="289">
        <v>0</v>
      </c>
      <c r="AO225" s="289">
        <v>0</v>
      </c>
      <c r="AP225" s="289">
        <f t="shared" si="2"/>
        <v>0</v>
      </c>
      <c r="AQ225" s="289">
        <v>32000.689960744232</v>
      </c>
      <c r="AR225" s="289">
        <v>-913269.9048499992</v>
      </c>
      <c r="AS225" s="289">
        <v>1</v>
      </c>
      <c r="AT225" s="289">
        <v>9671</v>
      </c>
      <c r="AU225" s="289">
        <v>0</v>
      </c>
      <c r="AV225" s="289">
        <v>0</v>
      </c>
      <c r="AW225" s="289">
        <v>0</v>
      </c>
      <c r="AX225" s="289">
        <v>0</v>
      </c>
      <c r="AY225" s="289">
        <v>174.9</v>
      </c>
      <c r="AZ225" s="289">
        <v>55.294453973699255</v>
      </c>
      <c r="BA225" s="289">
        <v>7527</v>
      </c>
      <c r="BB225" s="289">
        <v>0.7783062764967429</v>
      </c>
      <c r="BC225" s="289">
        <v>0</v>
      </c>
      <c r="BD225" s="289">
        <v>0</v>
      </c>
      <c r="BE225" s="289">
        <v>9516</v>
      </c>
      <c r="BF225" s="289">
        <v>9671</v>
      </c>
      <c r="BG225" s="289">
        <v>0.01628835645229088</v>
      </c>
      <c r="BH225" s="289">
        <v>0</v>
      </c>
      <c r="BI225" s="289">
        <v>0</v>
      </c>
      <c r="BJ225" s="289">
        <v>0</v>
      </c>
      <c r="BK225" s="289">
        <v>1139812.5474074085</v>
      </c>
      <c r="BL225" s="289">
        <v>5949.2</v>
      </c>
      <c r="BM225" s="301">
        <v>3442</v>
      </c>
    </row>
    <row r="226" spans="6:65" s="289" customFormat="1" ht="12.75">
      <c r="F226" s="289">
        <v>483</v>
      </c>
      <c r="G226" s="289" t="s">
        <v>266</v>
      </c>
      <c r="H226" s="289">
        <v>117</v>
      </c>
      <c r="I226" s="289">
        <v>19</v>
      </c>
      <c r="J226" s="289">
        <v>112</v>
      </c>
      <c r="K226" s="289">
        <v>65</v>
      </c>
      <c r="L226" s="289">
        <v>836</v>
      </c>
      <c r="M226" s="289">
        <v>109</v>
      </c>
      <c r="N226" s="289">
        <v>81</v>
      </c>
      <c r="O226" s="289">
        <v>33</v>
      </c>
      <c r="P226" s="289">
        <v>1176</v>
      </c>
      <c r="Q226" s="289">
        <v>0</v>
      </c>
      <c r="R226" s="289">
        <v>0</v>
      </c>
      <c r="S226" s="289">
        <v>229.82999999999998</v>
      </c>
      <c r="T226" s="289">
        <v>5.116825479702389</v>
      </c>
      <c r="U226" s="289">
        <v>0</v>
      </c>
      <c r="V226" s="289">
        <v>0</v>
      </c>
      <c r="W226" s="289">
        <v>418</v>
      </c>
      <c r="X226" s="289">
        <v>85</v>
      </c>
      <c r="Y226" s="289">
        <v>7</v>
      </c>
      <c r="Z226" s="289">
        <v>0.8195364561680791</v>
      </c>
      <c r="AA226" s="289">
        <v>0</v>
      </c>
      <c r="AB226" s="289">
        <v>2</v>
      </c>
      <c r="AC226" s="289">
        <v>1.0231323221364774</v>
      </c>
      <c r="AD226" s="289">
        <v>82</v>
      </c>
      <c r="AE226" s="289">
        <v>14</v>
      </c>
      <c r="AF226" s="289">
        <v>2</v>
      </c>
      <c r="AG226" s="289">
        <v>0</v>
      </c>
      <c r="AH226" s="289">
        <v>98</v>
      </c>
      <c r="AI226" s="289">
        <v>1.6338968553184998</v>
      </c>
      <c r="AJ226" s="289">
        <v>484</v>
      </c>
      <c r="AK226" s="289">
        <v>55</v>
      </c>
      <c r="AL226" s="289">
        <v>1.1603975912068616</v>
      </c>
      <c r="AM226" s="289">
        <v>1.3674258330742755</v>
      </c>
      <c r="AN226" s="289">
        <v>0</v>
      </c>
      <c r="AO226" s="289">
        <v>0</v>
      </c>
      <c r="AP226" s="289">
        <f t="shared" si="2"/>
        <v>0</v>
      </c>
      <c r="AQ226" s="289">
        <v>-2330.2481867615134</v>
      </c>
      <c r="AR226" s="289">
        <v>1506411.0114634149</v>
      </c>
      <c r="AS226" s="289">
        <v>1</v>
      </c>
      <c r="AT226" s="289">
        <v>1176</v>
      </c>
      <c r="AU226" s="289">
        <v>0</v>
      </c>
      <c r="AV226" s="289">
        <v>0</v>
      </c>
      <c r="AW226" s="289">
        <v>0</v>
      </c>
      <c r="AX226" s="289">
        <v>0</v>
      </c>
      <c r="AY226" s="289">
        <v>229.83</v>
      </c>
      <c r="AZ226" s="289">
        <v>5.116825479702388</v>
      </c>
      <c r="BA226" s="289">
        <v>475</v>
      </c>
      <c r="BB226" s="289">
        <v>0.4039115646258503</v>
      </c>
      <c r="BC226" s="289">
        <v>0</v>
      </c>
      <c r="BD226" s="289">
        <v>0</v>
      </c>
      <c r="BE226" s="289">
        <v>1209</v>
      </c>
      <c r="BF226" s="289">
        <v>1176</v>
      </c>
      <c r="BG226" s="289">
        <v>-0.02729528535980149</v>
      </c>
      <c r="BH226" s="289">
        <v>0</v>
      </c>
      <c r="BI226" s="289">
        <v>0</v>
      </c>
      <c r="BJ226" s="289">
        <v>0</v>
      </c>
      <c r="BK226" s="289">
        <v>258245.89600445662</v>
      </c>
      <c r="BL226" s="289">
        <v>7346.73</v>
      </c>
      <c r="BM226" s="301">
        <v>491</v>
      </c>
    </row>
    <row r="227" spans="6:65" s="289" customFormat="1" ht="12.75">
      <c r="F227" s="289">
        <v>484</v>
      </c>
      <c r="G227" s="289" t="s">
        <v>267</v>
      </c>
      <c r="H227" s="289">
        <v>183</v>
      </c>
      <c r="I227" s="289">
        <v>30</v>
      </c>
      <c r="J227" s="289">
        <v>191</v>
      </c>
      <c r="K227" s="289">
        <v>95</v>
      </c>
      <c r="L227" s="289">
        <v>2109</v>
      </c>
      <c r="M227" s="289">
        <v>467</v>
      </c>
      <c r="N227" s="289">
        <v>359</v>
      </c>
      <c r="O227" s="289">
        <v>151</v>
      </c>
      <c r="P227" s="289">
        <v>3269</v>
      </c>
      <c r="Q227" s="289">
        <v>0</v>
      </c>
      <c r="R227" s="289">
        <v>2</v>
      </c>
      <c r="S227" s="289">
        <v>446.03</v>
      </c>
      <c r="T227" s="289">
        <v>7.329103423536534</v>
      </c>
      <c r="U227" s="289">
        <v>0</v>
      </c>
      <c r="V227" s="289">
        <v>0</v>
      </c>
      <c r="W227" s="289">
        <v>1168</v>
      </c>
      <c r="X227" s="289">
        <v>147</v>
      </c>
      <c r="Y227" s="289">
        <v>20</v>
      </c>
      <c r="Z227" s="289">
        <v>0.900571489507877</v>
      </c>
      <c r="AA227" s="289">
        <v>9</v>
      </c>
      <c r="AB227" s="289">
        <v>9</v>
      </c>
      <c r="AC227" s="289">
        <v>1.6562912966492014</v>
      </c>
      <c r="AD227" s="289">
        <v>216</v>
      </c>
      <c r="AE227" s="289">
        <v>15</v>
      </c>
      <c r="AF227" s="289">
        <v>7</v>
      </c>
      <c r="AG227" s="289">
        <v>12</v>
      </c>
      <c r="AH227" s="289">
        <v>250</v>
      </c>
      <c r="AI227" s="289">
        <v>1.4994464869854696</v>
      </c>
      <c r="AJ227" s="289">
        <v>1381</v>
      </c>
      <c r="AK227" s="289">
        <v>167</v>
      </c>
      <c r="AL227" s="289">
        <v>1.2348445329743691</v>
      </c>
      <c r="AM227" s="289">
        <v>1.4872031656796727</v>
      </c>
      <c r="AN227" s="289">
        <v>0.05</v>
      </c>
      <c r="AO227" s="289">
        <v>0</v>
      </c>
      <c r="AP227" s="289">
        <f t="shared" si="2"/>
        <v>0.05</v>
      </c>
      <c r="AQ227" s="289">
        <v>74367.37922729924</v>
      </c>
      <c r="AR227" s="289">
        <v>2418961.153846154</v>
      </c>
      <c r="AS227" s="289">
        <v>1</v>
      </c>
      <c r="AT227" s="289">
        <v>3269</v>
      </c>
      <c r="AU227" s="289">
        <v>0</v>
      </c>
      <c r="AV227" s="289">
        <v>0</v>
      </c>
      <c r="AW227" s="289">
        <v>0</v>
      </c>
      <c r="AX227" s="289">
        <v>0.5797333333333333</v>
      </c>
      <c r="AY227" s="289">
        <v>446.04</v>
      </c>
      <c r="AZ227" s="289">
        <v>7.328939108600125</v>
      </c>
      <c r="BA227" s="289">
        <v>1836</v>
      </c>
      <c r="BB227" s="289">
        <v>0.5616396451514225</v>
      </c>
      <c r="BC227" s="289">
        <v>0</v>
      </c>
      <c r="BD227" s="289">
        <v>0</v>
      </c>
      <c r="BE227" s="289">
        <v>3411</v>
      </c>
      <c r="BF227" s="289">
        <v>3269</v>
      </c>
      <c r="BG227" s="289">
        <v>-0.0416300205218411</v>
      </c>
      <c r="BH227" s="289">
        <v>0</v>
      </c>
      <c r="BI227" s="289">
        <v>0</v>
      </c>
      <c r="BJ227" s="289">
        <v>0</v>
      </c>
      <c r="BK227" s="289">
        <v>798174.7758981187</v>
      </c>
      <c r="BL227" s="289">
        <v>7116.14</v>
      </c>
      <c r="BM227" s="301">
        <v>800</v>
      </c>
    </row>
    <row r="228" spans="6:65" s="289" customFormat="1" ht="12.75">
      <c r="F228" s="289">
        <v>489</v>
      </c>
      <c r="G228" s="289" t="s">
        <v>268</v>
      </c>
      <c r="H228" s="289">
        <v>108</v>
      </c>
      <c r="I228" s="289">
        <v>16</v>
      </c>
      <c r="J228" s="289">
        <v>120</v>
      </c>
      <c r="K228" s="289">
        <v>64</v>
      </c>
      <c r="L228" s="289">
        <v>1410</v>
      </c>
      <c r="M228" s="289">
        <v>313</v>
      </c>
      <c r="N228" s="289">
        <v>241</v>
      </c>
      <c r="O228" s="289">
        <v>105</v>
      </c>
      <c r="P228" s="289">
        <v>2177</v>
      </c>
      <c r="Q228" s="289">
        <v>0</v>
      </c>
      <c r="R228" s="289">
        <v>8</v>
      </c>
      <c r="S228" s="289">
        <v>422.23</v>
      </c>
      <c r="T228" s="289">
        <v>5.155957653411647</v>
      </c>
      <c r="U228" s="289">
        <v>0</v>
      </c>
      <c r="V228" s="289">
        <v>0</v>
      </c>
      <c r="W228" s="289">
        <v>777</v>
      </c>
      <c r="X228" s="289">
        <v>167</v>
      </c>
      <c r="Y228" s="289">
        <v>7</v>
      </c>
      <c r="Z228" s="289">
        <v>0.8154986613725476</v>
      </c>
      <c r="AA228" s="289">
        <v>1</v>
      </c>
      <c r="AB228" s="289">
        <v>2</v>
      </c>
      <c r="AC228" s="289">
        <v>0.5526888428261357</v>
      </c>
      <c r="AD228" s="289">
        <v>160</v>
      </c>
      <c r="AE228" s="289">
        <v>4</v>
      </c>
      <c r="AF228" s="289">
        <v>2</v>
      </c>
      <c r="AG228" s="289">
        <v>0</v>
      </c>
      <c r="AH228" s="289">
        <v>166</v>
      </c>
      <c r="AI228" s="289">
        <v>1.4950493963226696</v>
      </c>
      <c r="AJ228" s="289">
        <v>867</v>
      </c>
      <c r="AK228" s="289">
        <v>72</v>
      </c>
      <c r="AL228" s="289">
        <v>0.84801374139408</v>
      </c>
      <c r="AM228" s="289">
        <v>1.7719319900210035</v>
      </c>
      <c r="AN228" s="289">
        <v>0</v>
      </c>
      <c r="AO228" s="289">
        <v>0</v>
      </c>
      <c r="AP228" s="289">
        <f t="shared" si="2"/>
        <v>0</v>
      </c>
      <c r="AQ228" s="289">
        <v>129195.3782286048</v>
      </c>
      <c r="AR228" s="289">
        <v>1880209.885641026</v>
      </c>
      <c r="AS228" s="289">
        <v>1</v>
      </c>
      <c r="AT228" s="289">
        <v>2177</v>
      </c>
      <c r="AU228" s="289">
        <v>0</v>
      </c>
      <c r="AV228" s="289">
        <v>0</v>
      </c>
      <c r="AW228" s="289">
        <v>0</v>
      </c>
      <c r="AX228" s="289">
        <v>0.4368666666666667</v>
      </c>
      <c r="AY228" s="289">
        <v>422.22</v>
      </c>
      <c r="AZ228" s="289">
        <v>5.156079768840888</v>
      </c>
      <c r="BA228" s="289">
        <v>616</v>
      </c>
      <c r="BB228" s="289">
        <v>0.2829581993569132</v>
      </c>
      <c r="BC228" s="289">
        <v>0</v>
      </c>
      <c r="BD228" s="289">
        <v>0</v>
      </c>
      <c r="BE228" s="289">
        <v>2278</v>
      </c>
      <c r="BF228" s="289">
        <v>2177</v>
      </c>
      <c r="BG228" s="289">
        <v>-0.04433713784021071</v>
      </c>
      <c r="BH228" s="289">
        <v>0</v>
      </c>
      <c r="BI228" s="289">
        <v>0</v>
      </c>
      <c r="BJ228" s="289">
        <v>0</v>
      </c>
      <c r="BK228" s="289">
        <v>498118.70324445795</v>
      </c>
      <c r="BL228" s="289">
        <v>7400.71</v>
      </c>
      <c r="BM228" s="301">
        <v>492</v>
      </c>
    </row>
    <row r="229" spans="6:65" s="289" customFormat="1" ht="12.75">
      <c r="F229" s="289">
        <v>491</v>
      </c>
      <c r="G229" s="289" t="s">
        <v>269</v>
      </c>
      <c r="H229" s="289">
        <v>3647</v>
      </c>
      <c r="I229" s="289">
        <v>573</v>
      </c>
      <c r="J229" s="289">
        <v>3282</v>
      </c>
      <c r="K229" s="289">
        <v>1723</v>
      </c>
      <c r="L229" s="289">
        <v>39090</v>
      </c>
      <c r="M229" s="289">
        <v>6500</v>
      </c>
      <c r="N229" s="289">
        <v>3921</v>
      </c>
      <c r="O229" s="289">
        <v>1361</v>
      </c>
      <c r="P229" s="289">
        <v>54519</v>
      </c>
      <c r="Q229" s="289">
        <v>8</v>
      </c>
      <c r="R229" s="289">
        <v>205</v>
      </c>
      <c r="S229" s="289">
        <v>2549.0699999999997</v>
      </c>
      <c r="T229" s="289">
        <v>21.387800256564162</v>
      </c>
      <c r="U229" s="289">
        <v>1</v>
      </c>
      <c r="V229" s="289">
        <v>0</v>
      </c>
      <c r="W229" s="289">
        <v>22642</v>
      </c>
      <c r="X229" s="289">
        <v>943</v>
      </c>
      <c r="Y229" s="289">
        <v>275</v>
      </c>
      <c r="Z229" s="289">
        <v>0.9942892243584158</v>
      </c>
      <c r="AA229" s="289">
        <v>58</v>
      </c>
      <c r="AB229" s="289">
        <v>58</v>
      </c>
      <c r="AC229" s="289">
        <v>0.6400136597175742</v>
      </c>
      <c r="AD229" s="289">
        <v>2887</v>
      </c>
      <c r="AE229" s="289">
        <v>347</v>
      </c>
      <c r="AF229" s="289">
        <v>96</v>
      </c>
      <c r="AG229" s="289">
        <v>38</v>
      </c>
      <c r="AH229" s="289">
        <v>3368</v>
      </c>
      <c r="AI229" s="289">
        <v>1.2112396651543955</v>
      </c>
      <c r="AJ229" s="289">
        <v>25469</v>
      </c>
      <c r="AK229" s="289">
        <v>2831</v>
      </c>
      <c r="AL229" s="289">
        <v>1.1350564651230242</v>
      </c>
      <c r="AM229" s="289">
        <v>1.2505339661465258</v>
      </c>
      <c r="AN229" s="289">
        <v>0</v>
      </c>
      <c r="AO229" s="289">
        <v>0</v>
      </c>
      <c r="AP229" s="289">
        <f t="shared" si="2"/>
        <v>0</v>
      </c>
      <c r="AQ229" s="289">
        <v>23894.41926728841</v>
      </c>
      <c r="AR229" s="289">
        <v>8410814.92686219</v>
      </c>
      <c r="AS229" s="289">
        <v>1</v>
      </c>
      <c r="AT229" s="289">
        <v>54519</v>
      </c>
      <c r="AU229" s="289">
        <v>1</v>
      </c>
      <c r="AV229" s="289">
        <v>346</v>
      </c>
      <c r="AW229" s="289">
        <v>0.0063464113428346085</v>
      </c>
      <c r="AX229" s="289">
        <v>0</v>
      </c>
      <c r="AY229" s="289">
        <v>2549.55</v>
      </c>
      <c r="AZ229" s="289">
        <v>21.383773607107134</v>
      </c>
      <c r="BA229" s="289">
        <v>42893</v>
      </c>
      <c r="BB229" s="289">
        <v>0.7867532419890313</v>
      </c>
      <c r="BC229" s="289">
        <v>0</v>
      </c>
      <c r="BD229" s="289">
        <v>0</v>
      </c>
      <c r="BE229" s="289">
        <v>54435</v>
      </c>
      <c r="BF229" s="289">
        <v>54519</v>
      </c>
      <c r="BG229" s="289">
        <v>0.001543124827776247</v>
      </c>
      <c r="BH229" s="289">
        <v>0</v>
      </c>
      <c r="BI229" s="289">
        <v>2</v>
      </c>
      <c r="BJ229" s="289">
        <v>3.668445862910178E-05</v>
      </c>
      <c r="BK229" s="289">
        <v>9906414.105618445</v>
      </c>
      <c r="BL229" s="289">
        <v>6419.96</v>
      </c>
      <c r="BM229" s="301">
        <v>15907</v>
      </c>
    </row>
    <row r="230" spans="6:65" s="289" customFormat="1" ht="12.75">
      <c r="F230" s="289">
        <v>494</v>
      </c>
      <c r="G230" s="289" t="s">
        <v>270</v>
      </c>
      <c r="H230" s="289">
        <v>1084</v>
      </c>
      <c r="I230" s="289">
        <v>156</v>
      </c>
      <c r="J230" s="289">
        <v>950</v>
      </c>
      <c r="K230" s="289">
        <v>391</v>
      </c>
      <c r="L230" s="289">
        <v>6548</v>
      </c>
      <c r="M230" s="289">
        <v>663</v>
      </c>
      <c r="N230" s="289">
        <v>498</v>
      </c>
      <c r="O230" s="289">
        <v>155</v>
      </c>
      <c r="P230" s="289">
        <v>8948</v>
      </c>
      <c r="Q230" s="289">
        <v>2</v>
      </c>
      <c r="R230" s="289">
        <v>8</v>
      </c>
      <c r="S230" s="289">
        <v>783.75</v>
      </c>
      <c r="T230" s="289">
        <v>11.416905901116428</v>
      </c>
      <c r="U230" s="289">
        <v>0</v>
      </c>
      <c r="V230" s="289">
        <v>0</v>
      </c>
      <c r="W230" s="289">
        <v>3414</v>
      </c>
      <c r="X230" s="289">
        <v>232</v>
      </c>
      <c r="Y230" s="289">
        <v>51</v>
      </c>
      <c r="Z230" s="289">
        <v>0.9637103206407601</v>
      </c>
      <c r="AA230" s="289">
        <v>5</v>
      </c>
      <c r="AB230" s="289">
        <v>5</v>
      </c>
      <c r="AC230" s="289">
        <v>0.3361655148727362</v>
      </c>
      <c r="AD230" s="289">
        <v>483</v>
      </c>
      <c r="AE230" s="289">
        <v>68</v>
      </c>
      <c r="AF230" s="289">
        <v>24</v>
      </c>
      <c r="AG230" s="289">
        <v>4</v>
      </c>
      <c r="AH230" s="289">
        <v>579</v>
      </c>
      <c r="AI230" s="289">
        <v>1.2686986310631356</v>
      </c>
      <c r="AJ230" s="289">
        <v>3760</v>
      </c>
      <c r="AK230" s="289">
        <v>388</v>
      </c>
      <c r="AL230" s="289">
        <v>1.053739770057635</v>
      </c>
      <c r="AM230" s="289">
        <v>1.4425569343696019</v>
      </c>
      <c r="AN230" s="289">
        <v>0</v>
      </c>
      <c r="AO230" s="289">
        <v>0</v>
      </c>
      <c r="AP230" s="289">
        <f t="shared" si="2"/>
        <v>0</v>
      </c>
      <c r="AQ230" s="289">
        <v>-106345.7427293472</v>
      </c>
      <c r="AR230" s="289">
        <v>4131608.4440000025</v>
      </c>
      <c r="AS230" s="289">
        <v>1</v>
      </c>
      <c r="AT230" s="289">
        <v>8948</v>
      </c>
      <c r="AU230" s="289">
        <v>0</v>
      </c>
      <c r="AV230" s="289">
        <v>0</v>
      </c>
      <c r="AW230" s="289">
        <v>0</v>
      </c>
      <c r="AX230" s="289">
        <v>0</v>
      </c>
      <c r="AY230" s="289">
        <v>783.72</v>
      </c>
      <c r="AZ230" s="289">
        <v>11.417342928596948</v>
      </c>
      <c r="BA230" s="289">
        <v>6942</v>
      </c>
      <c r="BB230" s="289">
        <v>0.7758158247653106</v>
      </c>
      <c r="BC230" s="289">
        <v>0</v>
      </c>
      <c r="BD230" s="289">
        <v>0</v>
      </c>
      <c r="BE230" s="289">
        <v>8856</v>
      </c>
      <c r="BF230" s="289">
        <v>8948</v>
      </c>
      <c r="BG230" s="289">
        <v>0.01038843721770551</v>
      </c>
      <c r="BH230" s="289">
        <v>0</v>
      </c>
      <c r="BI230" s="289">
        <v>0</v>
      </c>
      <c r="BJ230" s="289">
        <v>0</v>
      </c>
      <c r="BK230" s="289">
        <v>1186741.2124635805</v>
      </c>
      <c r="BL230" s="289">
        <v>6813.64</v>
      </c>
      <c r="BM230" s="301">
        <v>3624</v>
      </c>
    </row>
    <row r="231" spans="6:65" s="289" customFormat="1" ht="12.75">
      <c r="F231" s="289">
        <v>495</v>
      </c>
      <c r="G231" s="289" t="s">
        <v>271</v>
      </c>
      <c r="H231" s="289">
        <v>117</v>
      </c>
      <c r="I231" s="289">
        <v>17</v>
      </c>
      <c r="J231" s="289">
        <v>108</v>
      </c>
      <c r="K231" s="289">
        <v>66</v>
      </c>
      <c r="L231" s="289">
        <v>1149</v>
      </c>
      <c r="M231" s="289">
        <v>214</v>
      </c>
      <c r="N231" s="289">
        <v>234</v>
      </c>
      <c r="O231" s="289">
        <v>102</v>
      </c>
      <c r="P231" s="289">
        <v>1816</v>
      </c>
      <c r="Q231" s="289">
        <v>0</v>
      </c>
      <c r="R231" s="289">
        <v>0</v>
      </c>
      <c r="S231" s="289">
        <v>733.24</v>
      </c>
      <c r="T231" s="289">
        <v>2.476678850035459</v>
      </c>
      <c r="U231" s="289">
        <v>0</v>
      </c>
      <c r="V231" s="289">
        <v>0</v>
      </c>
      <c r="W231" s="289">
        <v>617</v>
      </c>
      <c r="X231" s="289">
        <v>109</v>
      </c>
      <c r="Y231" s="289">
        <v>8</v>
      </c>
      <c r="Z231" s="289">
        <v>0.851553227765104</v>
      </c>
      <c r="AA231" s="289">
        <v>4</v>
      </c>
      <c r="AB231" s="289">
        <v>2</v>
      </c>
      <c r="AC231" s="289">
        <v>0.6625570544231816</v>
      </c>
      <c r="AD231" s="289">
        <v>166</v>
      </c>
      <c r="AE231" s="289">
        <v>10</v>
      </c>
      <c r="AF231" s="289">
        <v>1</v>
      </c>
      <c r="AG231" s="289">
        <v>0</v>
      </c>
      <c r="AH231" s="289">
        <v>177</v>
      </c>
      <c r="AI231" s="289">
        <v>1.9110115202073201</v>
      </c>
      <c r="AJ231" s="289">
        <v>737</v>
      </c>
      <c r="AK231" s="289">
        <v>77</v>
      </c>
      <c r="AL231" s="289">
        <v>1.066873009228995</v>
      </c>
      <c r="AM231" s="289">
        <v>1.2782668568568711</v>
      </c>
      <c r="AN231" s="289">
        <v>0</v>
      </c>
      <c r="AO231" s="289">
        <v>0</v>
      </c>
      <c r="AP231" s="289">
        <f t="shared" si="2"/>
        <v>0</v>
      </c>
      <c r="AQ231" s="289">
        <v>30935.09080532845</v>
      </c>
      <c r="AR231" s="289">
        <v>1512786.4841666666</v>
      </c>
      <c r="AS231" s="289">
        <v>0</v>
      </c>
      <c r="AT231" s="289">
        <v>1816</v>
      </c>
      <c r="AU231" s="289">
        <v>0</v>
      </c>
      <c r="AV231" s="289">
        <v>0</v>
      </c>
      <c r="AW231" s="289">
        <v>0</v>
      </c>
      <c r="AX231" s="289">
        <v>0.143</v>
      </c>
      <c r="AY231" s="289">
        <v>733.25</v>
      </c>
      <c r="AZ231" s="289">
        <v>2.4766450733037844</v>
      </c>
      <c r="BA231" s="289">
        <v>840</v>
      </c>
      <c r="BB231" s="289">
        <v>0.46255506607929514</v>
      </c>
      <c r="BC231" s="289">
        <v>0</v>
      </c>
      <c r="BD231" s="289">
        <v>0</v>
      </c>
      <c r="BE231" s="289">
        <v>1919</v>
      </c>
      <c r="BF231" s="289">
        <v>1816</v>
      </c>
      <c r="BG231" s="289">
        <v>-0.053673788431474724</v>
      </c>
      <c r="BH231" s="289">
        <v>0</v>
      </c>
      <c r="BI231" s="289">
        <v>0</v>
      </c>
      <c r="BJ231" s="289">
        <v>0</v>
      </c>
      <c r="BK231" s="289">
        <v>459081.4802606322</v>
      </c>
      <c r="BL231" s="289">
        <v>8159.03</v>
      </c>
      <c r="BM231" s="301">
        <v>482</v>
      </c>
    </row>
    <row r="232" spans="6:65" s="289" customFormat="1" ht="12.75">
      <c r="F232" s="289">
        <v>498</v>
      </c>
      <c r="G232" s="289" t="s">
        <v>272</v>
      </c>
      <c r="H232" s="289">
        <v>195</v>
      </c>
      <c r="I232" s="289">
        <v>24</v>
      </c>
      <c r="J232" s="289">
        <v>141</v>
      </c>
      <c r="K232" s="289">
        <v>86</v>
      </c>
      <c r="L232" s="289">
        <v>1686</v>
      </c>
      <c r="M232" s="289">
        <v>309</v>
      </c>
      <c r="N232" s="289">
        <v>150</v>
      </c>
      <c r="O232" s="289">
        <v>54</v>
      </c>
      <c r="P232" s="289">
        <v>2394</v>
      </c>
      <c r="Q232" s="289">
        <v>3</v>
      </c>
      <c r="R232" s="289">
        <v>7</v>
      </c>
      <c r="S232" s="289">
        <v>1903.87</v>
      </c>
      <c r="T232" s="289">
        <v>1.2574387957160942</v>
      </c>
      <c r="U232" s="289">
        <v>0</v>
      </c>
      <c r="V232" s="289">
        <v>0</v>
      </c>
      <c r="W232" s="289">
        <v>963</v>
      </c>
      <c r="X232" s="289">
        <v>45</v>
      </c>
      <c r="Y232" s="289">
        <v>28</v>
      </c>
      <c r="Z232" s="289">
        <v>0.9711597590086222</v>
      </c>
      <c r="AA232" s="289">
        <v>2</v>
      </c>
      <c r="AB232" s="289">
        <v>2</v>
      </c>
      <c r="AC232" s="289">
        <v>0.502591316137217</v>
      </c>
      <c r="AD232" s="289">
        <v>109</v>
      </c>
      <c r="AE232" s="289">
        <v>18</v>
      </c>
      <c r="AF232" s="289">
        <v>7</v>
      </c>
      <c r="AG232" s="289">
        <v>2</v>
      </c>
      <c r="AH232" s="289">
        <v>136</v>
      </c>
      <c r="AI232" s="289">
        <v>1.1138344477359197</v>
      </c>
      <c r="AJ232" s="289">
        <v>1114</v>
      </c>
      <c r="AK232" s="289">
        <v>152</v>
      </c>
      <c r="AL232" s="289">
        <v>1.3933104290828529</v>
      </c>
      <c r="AM232" s="289">
        <v>0.7491372347901514</v>
      </c>
      <c r="AN232" s="289">
        <v>0.17</v>
      </c>
      <c r="AO232" s="289">
        <v>0</v>
      </c>
      <c r="AP232" s="289">
        <f t="shared" si="2"/>
        <v>0.17</v>
      </c>
      <c r="AQ232" s="289">
        <v>250073.0429299483</v>
      </c>
      <c r="AR232" s="289">
        <v>937898.4250000002</v>
      </c>
      <c r="AS232" s="289">
        <v>1</v>
      </c>
      <c r="AT232" s="289">
        <v>2394</v>
      </c>
      <c r="AU232" s="289">
        <v>0</v>
      </c>
      <c r="AV232" s="289">
        <v>0</v>
      </c>
      <c r="AW232" s="289">
        <v>0</v>
      </c>
      <c r="AX232" s="289">
        <v>1.7632833333333333</v>
      </c>
      <c r="AY232" s="289">
        <v>1904.3</v>
      </c>
      <c r="AZ232" s="289">
        <v>1.257154860053563</v>
      </c>
      <c r="BA232" s="289">
        <v>1226</v>
      </c>
      <c r="BB232" s="289">
        <v>0.5121136173767753</v>
      </c>
      <c r="BC232" s="289">
        <v>0</v>
      </c>
      <c r="BD232" s="289">
        <v>0</v>
      </c>
      <c r="BE232" s="289">
        <v>2377</v>
      </c>
      <c r="BF232" s="289">
        <v>2394</v>
      </c>
      <c r="BG232" s="289">
        <v>0.00715187210769878</v>
      </c>
      <c r="BH232" s="289">
        <v>0</v>
      </c>
      <c r="BI232" s="289">
        <v>5</v>
      </c>
      <c r="BJ232" s="289">
        <v>0.0020885547201336674</v>
      </c>
      <c r="BK232" s="289">
        <v>493737.829383995</v>
      </c>
      <c r="BL232" s="289">
        <v>8747.85</v>
      </c>
      <c r="BM232" s="301">
        <v>730</v>
      </c>
    </row>
    <row r="233" spans="6:65" s="289" customFormat="1" ht="12.75">
      <c r="F233" s="289">
        <v>499</v>
      </c>
      <c r="G233" s="289" t="s">
        <v>273</v>
      </c>
      <c r="H233" s="289">
        <v>1833</v>
      </c>
      <c r="I233" s="289">
        <v>264</v>
      </c>
      <c r="J233" s="289">
        <v>1443</v>
      </c>
      <c r="K233" s="289">
        <v>674</v>
      </c>
      <c r="L233" s="289">
        <v>13641</v>
      </c>
      <c r="M233" s="289">
        <v>1917</v>
      </c>
      <c r="N233" s="289">
        <v>1092</v>
      </c>
      <c r="O233" s="289">
        <v>529</v>
      </c>
      <c r="P233" s="289">
        <v>19012</v>
      </c>
      <c r="Q233" s="289">
        <v>1639</v>
      </c>
      <c r="R233" s="289">
        <v>36</v>
      </c>
      <c r="S233" s="289">
        <v>848.7200000000003</v>
      </c>
      <c r="T233" s="289">
        <v>22.400791780563665</v>
      </c>
      <c r="U233" s="289">
        <v>1</v>
      </c>
      <c r="V233" s="289">
        <v>3</v>
      </c>
      <c r="W233" s="289">
        <v>9177</v>
      </c>
      <c r="X233" s="289">
        <v>361</v>
      </c>
      <c r="Y233" s="289">
        <v>84</v>
      </c>
      <c r="Z233" s="289">
        <v>0.9998617496457004</v>
      </c>
      <c r="AA233" s="289">
        <v>4</v>
      </c>
      <c r="AB233" s="289">
        <v>2</v>
      </c>
      <c r="AC233" s="289">
        <v>0.0632865353898852</v>
      </c>
      <c r="AD233" s="289">
        <v>646</v>
      </c>
      <c r="AE233" s="289">
        <v>102</v>
      </c>
      <c r="AF233" s="289">
        <v>41</v>
      </c>
      <c r="AG233" s="289">
        <v>2</v>
      </c>
      <c r="AH233" s="289">
        <v>791</v>
      </c>
      <c r="AI233" s="289">
        <v>0.8157452635537135</v>
      </c>
      <c r="AJ233" s="289">
        <v>9405</v>
      </c>
      <c r="AK233" s="289">
        <v>358</v>
      </c>
      <c r="AL233" s="289">
        <v>0.3886992633001698</v>
      </c>
      <c r="AM233" s="289">
        <v>0.5899077998027902</v>
      </c>
      <c r="AN233" s="289">
        <v>0</v>
      </c>
      <c r="AO233" s="289">
        <v>0</v>
      </c>
      <c r="AP233" s="289">
        <f t="shared" si="2"/>
        <v>0</v>
      </c>
      <c r="AQ233" s="289">
        <v>184900.8623964414</v>
      </c>
      <c r="AR233" s="289">
        <v>-1260530.5934088603</v>
      </c>
      <c r="AS233" s="289">
        <v>1</v>
      </c>
      <c r="AT233" s="289">
        <v>19012</v>
      </c>
      <c r="AU233" s="289">
        <v>1</v>
      </c>
      <c r="AV233" s="289">
        <v>2202</v>
      </c>
      <c r="AW233" s="289">
        <v>0.11582158636650537</v>
      </c>
      <c r="AX233" s="289">
        <v>0</v>
      </c>
      <c r="AY233" s="289">
        <v>848.14</v>
      </c>
      <c r="AZ233" s="289">
        <v>22.41611054778692</v>
      </c>
      <c r="BA233" s="289">
        <v>14802</v>
      </c>
      <c r="BB233" s="289">
        <v>0.7785609088996424</v>
      </c>
      <c r="BC233" s="289">
        <v>3</v>
      </c>
      <c r="BD233" s="289">
        <v>0</v>
      </c>
      <c r="BE233" s="289">
        <v>18338</v>
      </c>
      <c r="BF233" s="289">
        <v>19012</v>
      </c>
      <c r="BG233" s="289">
        <v>0.036754280728541824</v>
      </c>
      <c r="BH233" s="289">
        <v>0</v>
      </c>
      <c r="BI233" s="289">
        <v>1</v>
      </c>
      <c r="BJ233" s="289">
        <v>5.2598358931201344E-05</v>
      </c>
      <c r="BK233" s="289">
        <v>2631871.341885259</v>
      </c>
      <c r="BL233" s="289">
        <v>7206.45</v>
      </c>
      <c r="BM233" s="301">
        <v>6361</v>
      </c>
    </row>
    <row r="234" spans="6:65" s="289" customFormat="1" ht="12.75">
      <c r="F234" s="289">
        <v>500</v>
      </c>
      <c r="G234" s="289" t="s">
        <v>274</v>
      </c>
      <c r="H234" s="289">
        <v>997</v>
      </c>
      <c r="I234" s="289">
        <v>162</v>
      </c>
      <c r="J234" s="289">
        <v>887</v>
      </c>
      <c r="K234" s="289">
        <v>432</v>
      </c>
      <c r="L234" s="289">
        <v>7261</v>
      </c>
      <c r="M234" s="289">
        <v>834</v>
      </c>
      <c r="N234" s="289">
        <v>364</v>
      </c>
      <c r="O234" s="289">
        <v>113</v>
      </c>
      <c r="P234" s="289">
        <v>9569</v>
      </c>
      <c r="Q234" s="289">
        <v>0</v>
      </c>
      <c r="R234" s="289">
        <v>10</v>
      </c>
      <c r="S234" s="289">
        <v>144.06</v>
      </c>
      <c r="T234" s="289">
        <v>66.42371234207968</v>
      </c>
      <c r="U234" s="289">
        <v>0</v>
      </c>
      <c r="V234" s="289">
        <v>0</v>
      </c>
      <c r="W234" s="289">
        <v>4236</v>
      </c>
      <c r="X234" s="289">
        <v>59</v>
      </c>
      <c r="Y234" s="289">
        <v>66</v>
      </c>
      <c r="Z234" s="289">
        <v>1.0198081643221084</v>
      </c>
      <c r="AA234" s="289">
        <v>6</v>
      </c>
      <c r="AB234" s="289">
        <v>6</v>
      </c>
      <c r="AC234" s="289">
        <v>0.3772192321556581</v>
      </c>
      <c r="AD234" s="289">
        <v>256</v>
      </c>
      <c r="AE234" s="289">
        <v>82</v>
      </c>
      <c r="AF234" s="289">
        <v>28</v>
      </c>
      <c r="AG234" s="289">
        <v>0</v>
      </c>
      <c r="AH234" s="289">
        <v>366</v>
      </c>
      <c r="AI234" s="289">
        <v>0.7499294585180114</v>
      </c>
      <c r="AJ234" s="289">
        <v>4584</v>
      </c>
      <c r="AK234" s="289">
        <v>410</v>
      </c>
      <c r="AL234" s="289">
        <v>0.9133321354874251</v>
      </c>
      <c r="AM234" s="289">
        <v>0.6841108368343627</v>
      </c>
      <c r="AN234" s="289">
        <v>0</v>
      </c>
      <c r="AO234" s="289">
        <v>0</v>
      </c>
      <c r="AP234" s="289">
        <f t="shared" si="2"/>
        <v>0</v>
      </c>
      <c r="AQ234" s="289">
        <v>-63532.664028301835</v>
      </c>
      <c r="AR234" s="289">
        <v>-880574.1805935896</v>
      </c>
      <c r="AS234" s="289">
        <v>1</v>
      </c>
      <c r="AT234" s="289">
        <v>9569</v>
      </c>
      <c r="AU234" s="289">
        <v>0</v>
      </c>
      <c r="AV234" s="289">
        <v>0</v>
      </c>
      <c r="AW234" s="289">
        <v>0</v>
      </c>
      <c r="AX234" s="289">
        <v>0</v>
      </c>
      <c r="AY234" s="289">
        <v>144.06</v>
      </c>
      <c r="AZ234" s="289">
        <v>66.42371234207968</v>
      </c>
      <c r="BA234" s="289">
        <v>8194</v>
      </c>
      <c r="BB234" s="289">
        <v>0.8563068241195527</v>
      </c>
      <c r="BC234" s="289">
        <v>0</v>
      </c>
      <c r="BD234" s="289">
        <v>0</v>
      </c>
      <c r="BE234" s="289">
        <v>9231</v>
      </c>
      <c r="BF234" s="289">
        <v>9569</v>
      </c>
      <c r="BG234" s="289">
        <v>0.03661575127288484</v>
      </c>
      <c r="BH234" s="289">
        <v>0</v>
      </c>
      <c r="BI234" s="289">
        <v>1</v>
      </c>
      <c r="BJ234" s="289">
        <v>0.00010450412791305256</v>
      </c>
      <c r="BK234" s="289">
        <v>812707.6163237949</v>
      </c>
      <c r="BL234" s="289">
        <v>5943.31</v>
      </c>
      <c r="BM234" s="301">
        <v>3494</v>
      </c>
    </row>
    <row r="235" spans="6:65" s="289" customFormat="1" ht="12.75">
      <c r="F235" s="289">
        <v>503</v>
      </c>
      <c r="G235" s="289" t="s">
        <v>275</v>
      </c>
      <c r="H235" s="289">
        <v>543</v>
      </c>
      <c r="I235" s="289">
        <v>73</v>
      </c>
      <c r="J235" s="289">
        <v>545</v>
      </c>
      <c r="K235" s="289">
        <v>325</v>
      </c>
      <c r="L235" s="289">
        <v>5715</v>
      </c>
      <c r="M235" s="289">
        <v>898</v>
      </c>
      <c r="N235" s="289">
        <v>570</v>
      </c>
      <c r="O235" s="289">
        <v>252</v>
      </c>
      <c r="P235" s="289">
        <v>7978</v>
      </c>
      <c r="Q235" s="289">
        <v>10</v>
      </c>
      <c r="R235" s="289">
        <v>15</v>
      </c>
      <c r="S235" s="289">
        <v>519.77</v>
      </c>
      <c r="T235" s="289">
        <v>15.34909671585509</v>
      </c>
      <c r="U235" s="289">
        <v>0</v>
      </c>
      <c r="V235" s="289">
        <v>0</v>
      </c>
      <c r="W235" s="289">
        <v>3574</v>
      </c>
      <c r="X235" s="289">
        <v>341</v>
      </c>
      <c r="Y235" s="289">
        <v>59</v>
      </c>
      <c r="Z235" s="289">
        <v>0.9332098914491402</v>
      </c>
      <c r="AA235" s="289">
        <v>6</v>
      </c>
      <c r="AB235" s="289">
        <v>6</v>
      </c>
      <c r="AC235" s="289">
        <v>0.45244557940555186</v>
      </c>
      <c r="AD235" s="289">
        <v>406</v>
      </c>
      <c r="AE235" s="289">
        <v>63</v>
      </c>
      <c r="AF235" s="289">
        <v>18</v>
      </c>
      <c r="AG235" s="289">
        <v>4</v>
      </c>
      <c r="AH235" s="289">
        <v>491</v>
      </c>
      <c r="AI235" s="289">
        <v>1.2066834133287292</v>
      </c>
      <c r="AJ235" s="289">
        <v>3786</v>
      </c>
      <c r="AK235" s="289">
        <v>246</v>
      </c>
      <c r="AL235" s="289">
        <v>0.6635046765569503</v>
      </c>
      <c r="AM235" s="289">
        <v>0.942137131205495</v>
      </c>
      <c r="AN235" s="289">
        <v>0</v>
      </c>
      <c r="AO235" s="289">
        <v>0</v>
      </c>
      <c r="AP235" s="289">
        <f t="shared" si="2"/>
        <v>0</v>
      </c>
      <c r="AQ235" s="289">
        <v>16050.776211857796</v>
      </c>
      <c r="AR235" s="289">
        <v>2957541.0023684194</v>
      </c>
      <c r="AS235" s="289">
        <v>1</v>
      </c>
      <c r="AT235" s="289">
        <v>7978</v>
      </c>
      <c r="AU235" s="289">
        <v>0</v>
      </c>
      <c r="AV235" s="289">
        <v>0</v>
      </c>
      <c r="AW235" s="289">
        <v>0</v>
      </c>
      <c r="AX235" s="289">
        <v>0</v>
      </c>
      <c r="AY235" s="289">
        <v>519.72</v>
      </c>
      <c r="AZ235" s="289">
        <v>15.350573385669206</v>
      </c>
      <c r="BA235" s="289">
        <v>5130</v>
      </c>
      <c r="BB235" s="289">
        <v>0.6430183003258962</v>
      </c>
      <c r="BC235" s="289">
        <v>0</v>
      </c>
      <c r="BD235" s="289">
        <v>0</v>
      </c>
      <c r="BE235" s="289">
        <v>8039</v>
      </c>
      <c r="BF235" s="289">
        <v>7978</v>
      </c>
      <c r="BG235" s="289">
        <v>-0.007588008458763527</v>
      </c>
      <c r="BH235" s="289">
        <v>0</v>
      </c>
      <c r="BI235" s="289">
        <v>0</v>
      </c>
      <c r="BJ235" s="289">
        <v>0</v>
      </c>
      <c r="BK235" s="289">
        <v>1321057.7991415071</v>
      </c>
      <c r="BL235" s="289">
        <v>6627.2</v>
      </c>
      <c r="BM235" s="301">
        <v>2512</v>
      </c>
    </row>
    <row r="236" spans="6:65" s="289" customFormat="1" ht="12.75">
      <c r="F236" s="289">
        <v>504</v>
      </c>
      <c r="G236" s="289" t="s">
        <v>276</v>
      </c>
      <c r="H236" s="289">
        <v>147</v>
      </c>
      <c r="I236" s="289">
        <v>25</v>
      </c>
      <c r="J236" s="289">
        <v>125</v>
      </c>
      <c r="K236" s="289">
        <v>63</v>
      </c>
      <c r="L236" s="289">
        <v>1376</v>
      </c>
      <c r="M236" s="289">
        <v>260</v>
      </c>
      <c r="N236" s="289">
        <v>145</v>
      </c>
      <c r="O236" s="289">
        <v>64</v>
      </c>
      <c r="P236" s="289">
        <v>1992</v>
      </c>
      <c r="Q236" s="289">
        <v>25</v>
      </c>
      <c r="R236" s="289">
        <v>1</v>
      </c>
      <c r="S236" s="289">
        <v>200.37</v>
      </c>
      <c r="T236" s="289">
        <v>9.941608025153466</v>
      </c>
      <c r="U236" s="289">
        <v>0</v>
      </c>
      <c r="V236" s="289">
        <v>1</v>
      </c>
      <c r="W236" s="289">
        <v>822</v>
      </c>
      <c r="X236" s="289">
        <v>116</v>
      </c>
      <c r="Y236" s="289">
        <v>13</v>
      </c>
      <c r="Z236" s="289">
        <v>0.8859074955742845</v>
      </c>
      <c r="AA236" s="289">
        <v>4</v>
      </c>
      <c r="AB236" s="289">
        <v>2</v>
      </c>
      <c r="AC236" s="289">
        <v>0.6040178769239445</v>
      </c>
      <c r="AD236" s="289">
        <v>82</v>
      </c>
      <c r="AE236" s="289">
        <v>17</v>
      </c>
      <c r="AF236" s="289">
        <v>3</v>
      </c>
      <c r="AG236" s="289">
        <v>0</v>
      </c>
      <c r="AH236" s="289">
        <v>102</v>
      </c>
      <c r="AI236" s="289">
        <v>1.0039607183282349</v>
      </c>
      <c r="AJ236" s="289">
        <v>908</v>
      </c>
      <c r="AK236" s="289">
        <v>86</v>
      </c>
      <c r="AL236" s="289">
        <v>0.9671683887944414</v>
      </c>
      <c r="AM236" s="289">
        <v>0.8570050006407024</v>
      </c>
      <c r="AN236" s="289">
        <v>0</v>
      </c>
      <c r="AO236" s="289">
        <v>0</v>
      </c>
      <c r="AP236" s="289">
        <f t="shared" si="2"/>
        <v>0</v>
      </c>
      <c r="AQ236" s="289">
        <v>166062.03001650702</v>
      </c>
      <c r="AR236" s="289">
        <v>1219416.8211249998</v>
      </c>
      <c r="AS236" s="289">
        <v>1</v>
      </c>
      <c r="AT236" s="289">
        <v>1992</v>
      </c>
      <c r="AU236" s="289">
        <v>0</v>
      </c>
      <c r="AV236" s="289">
        <v>0</v>
      </c>
      <c r="AW236" s="289">
        <v>0</v>
      </c>
      <c r="AX236" s="289">
        <v>0</v>
      </c>
      <c r="AY236" s="289">
        <v>200.36</v>
      </c>
      <c r="AZ236" s="289">
        <v>9.942104212417648</v>
      </c>
      <c r="BA236" s="289">
        <v>891</v>
      </c>
      <c r="BB236" s="289">
        <v>0.44728915662650603</v>
      </c>
      <c r="BC236" s="289">
        <v>1</v>
      </c>
      <c r="BD236" s="289">
        <v>0</v>
      </c>
      <c r="BE236" s="289">
        <v>2021</v>
      </c>
      <c r="BF236" s="289">
        <v>1992</v>
      </c>
      <c r="BG236" s="289">
        <v>-0.014349332013854528</v>
      </c>
      <c r="BH236" s="289">
        <v>0</v>
      </c>
      <c r="BI236" s="289">
        <v>0</v>
      </c>
      <c r="BJ236" s="289">
        <v>0</v>
      </c>
      <c r="BK236" s="289">
        <v>419057.55228601536</v>
      </c>
      <c r="BL236" s="289">
        <v>7276.56</v>
      </c>
      <c r="BM236" s="301">
        <v>600</v>
      </c>
    </row>
    <row r="237" spans="6:65" s="289" customFormat="1" ht="12.75">
      <c r="F237" s="289">
        <v>505</v>
      </c>
      <c r="G237" s="289" t="s">
        <v>277</v>
      </c>
      <c r="H237" s="289">
        <v>2066</v>
      </c>
      <c r="I237" s="289">
        <v>301</v>
      </c>
      <c r="J237" s="289">
        <v>1800</v>
      </c>
      <c r="K237" s="289">
        <v>897</v>
      </c>
      <c r="L237" s="289">
        <v>15397</v>
      </c>
      <c r="M237" s="289">
        <v>1770</v>
      </c>
      <c r="N237" s="289">
        <v>909</v>
      </c>
      <c r="O237" s="289">
        <v>336</v>
      </c>
      <c r="P237" s="289">
        <v>20478</v>
      </c>
      <c r="Q237" s="289">
        <v>35</v>
      </c>
      <c r="R237" s="289">
        <v>33</v>
      </c>
      <c r="S237" s="289">
        <v>580.83</v>
      </c>
      <c r="T237" s="289">
        <v>35.25644336552864</v>
      </c>
      <c r="U237" s="289">
        <v>0</v>
      </c>
      <c r="V237" s="289">
        <v>0</v>
      </c>
      <c r="W237" s="289">
        <v>9402</v>
      </c>
      <c r="X237" s="289">
        <v>328</v>
      </c>
      <c r="Y237" s="289">
        <v>89</v>
      </c>
      <c r="Z237" s="289">
        <v>1.0042105825689547</v>
      </c>
      <c r="AA237" s="289">
        <v>23</v>
      </c>
      <c r="AB237" s="289">
        <v>23</v>
      </c>
      <c r="AC237" s="289">
        <v>0.6756930132128978</v>
      </c>
      <c r="AD237" s="289">
        <v>610</v>
      </c>
      <c r="AE237" s="289">
        <v>125</v>
      </c>
      <c r="AF237" s="289">
        <v>27</v>
      </c>
      <c r="AG237" s="289">
        <v>3</v>
      </c>
      <c r="AH237" s="289">
        <v>765</v>
      </c>
      <c r="AI237" s="289">
        <v>0.7324530291934676</v>
      </c>
      <c r="AJ237" s="289">
        <v>9878</v>
      </c>
      <c r="AK237" s="289">
        <v>490</v>
      </c>
      <c r="AL237" s="289">
        <v>0.5065432692127948</v>
      </c>
      <c r="AM237" s="289">
        <v>0.7903982464698118</v>
      </c>
      <c r="AN237" s="289">
        <v>0</v>
      </c>
      <c r="AO237" s="289">
        <v>0</v>
      </c>
      <c r="AP237" s="289">
        <f t="shared" si="2"/>
        <v>0</v>
      </c>
      <c r="AQ237" s="289">
        <v>80214.3359831199</v>
      </c>
      <c r="AR237" s="289">
        <v>189052.88291139255</v>
      </c>
      <c r="AS237" s="289">
        <v>1</v>
      </c>
      <c r="AT237" s="289">
        <v>20478</v>
      </c>
      <c r="AU237" s="289">
        <v>0</v>
      </c>
      <c r="AV237" s="289">
        <v>0</v>
      </c>
      <c r="AW237" s="289">
        <v>0</v>
      </c>
      <c r="AX237" s="289">
        <v>0</v>
      </c>
      <c r="AY237" s="289">
        <v>580.83</v>
      </c>
      <c r="AZ237" s="289">
        <v>35.25644336552864</v>
      </c>
      <c r="BA237" s="289">
        <v>14011</v>
      </c>
      <c r="BB237" s="289">
        <v>0.6841976755542534</v>
      </c>
      <c r="BC237" s="289">
        <v>0</v>
      </c>
      <c r="BD237" s="289">
        <v>0</v>
      </c>
      <c r="BE237" s="289">
        <v>19747</v>
      </c>
      <c r="BF237" s="289">
        <v>20478</v>
      </c>
      <c r="BG237" s="289">
        <v>0.037018281257912594</v>
      </c>
      <c r="BH237" s="289">
        <v>0</v>
      </c>
      <c r="BI237" s="289">
        <v>3</v>
      </c>
      <c r="BJ237" s="289">
        <v>0.0001464986815118664</v>
      </c>
      <c r="BK237" s="289">
        <v>2742019.7957212836</v>
      </c>
      <c r="BL237" s="289">
        <v>6047.76</v>
      </c>
      <c r="BM237" s="301">
        <v>7228</v>
      </c>
    </row>
    <row r="238" spans="6:65" s="289" customFormat="1" ht="12.75">
      <c r="F238" s="289">
        <v>507</v>
      </c>
      <c r="G238" s="289" t="s">
        <v>279</v>
      </c>
      <c r="H238" s="289">
        <v>332</v>
      </c>
      <c r="I238" s="289">
        <v>43</v>
      </c>
      <c r="J238" s="289">
        <v>361</v>
      </c>
      <c r="K238" s="289">
        <v>174</v>
      </c>
      <c r="L238" s="289">
        <v>4201</v>
      </c>
      <c r="M238" s="289">
        <v>970</v>
      </c>
      <c r="N238" s="289">
        <v>634</v>
      </c>
      <c r="O238" s="289">
        <v>219</v>
      </c>
      <c r="P238" s="289">
        <v>6356</v>
      </c>
      <c r="Q238" s="289">
        <v>2</v>
      </c>
      <c r="R238" s="289">
        <v>20</v>
      </c>
      <c r="S238" s="289">
        <v>981.78</v>
      </c>
      <c r="T238" s="289">
        <v>6.473955468638596</v>
      </c>
      <c r="U238" s="289">
        <v>0</v>
      </c>
      <c r="V238" s="289">
        <v>0</v>
      </c>
      <c r="W238" s="289">
        <v>2329</v>
      </c>
      <c r="X238" s="289">
        <v>276</v>
      </c>
      <c r="Y238" s="289">
        <v>42</v>
      </c>
      <c r="Z238" s="289">
        <v>0.9073389221287936</v>
      </c>
      <c r="AA238" s="289">
        <v>13</v>
      </c>
      <c r="AB238" s="289">
        <v>13</v>
      </c>
      <c r="AC238" s="289">
        <v>1.2304631010716227</v>
      </c>
      <c r="AD238" s="289">
        <v>396</v>
      </c>
      <c r="AE238" s="289">
        <v>52</v>
      </c>
      <c r="AF238" s="289">
        <v>5</v>
      </c>
      <c r="AG238" s="289">
        <v>6</v>
      </c>
      <c r="AH238" s="289">
        <v>459</v>
      </c>
      <c r="AI238" s="289">
        <v>1.4159068406378692</v>
      </c>
      <c r="AJ238" s="289">
        <v>2667</v>
      </c>
      <c r="AK238" s="289">
        <v>296</v>
      </c>
      <c r="AL238" s="289">
        <v>1.1333347002533307</v>
      </c>
      <c r="AM238" s="289">
        <v>1.6151539955492502</v>
      </c>
      <c r="AN238" s="289">
        <v>0</v>
      </c>
      <c r="AO238" s="289">
        <v>0</v>
      </c>
      <c r="AP238" s="289">
        <f t="shared" si="2"/>
        <v>0</v>
      </c>
      <c r="AQ238" s="289">
        <v>122414.00437887199</v>
      </c>
      <c r="AR238" s="289">
        <v>3400141.9372151904</v>
      </c>
      <c r="AS238" s="289">
        <v>1</v>
      </c>
      <c r="AT238" s="289">
        <v>6356</v>
      </c>
      <c r="AU238" s="289">
        <v>0</v>
      </c>
      <c r="AV238" s="289">
        <v>0</v>
      </c>
      <c r="AW238" s="289">
        <v>0</v>
      </c>
      <c r="AX238" s="289">
        <v>0.1634</v>
      </c>
      <c r="AY238" s="289">
        <v>981.78</v>
      </c>
      <c r="AZ238" s="289">
        <v>6.473955468638596</v>
      </c>
      <c r="BA238" s="289">
        <v>4032</v>
      </c>
      <c r="BB238" s="289">
        <v>0.6343612334801763</v>
      </c>
      <c r="BC238" s="289">
        <v>0</v>
      </c>
      <c r="BD238" s="289">
        <v>0</v>
      </c>
      <c r="BE238" s="289">
        <v>6475</v>
      </c>
      <c r="BF238" s="289">
        <v>6356</v>
      </c>
      <c r="BG238" s="289">
        <v>-0.018378378378378378</v>
      </c>
      <c r="BH238" s="289">
        <v>0</v>
      </c>
      <c r="BI238" s="289">
        <v>0</v>
      </c>
      <c r="BJ238" s="289">
        <v>0</v>
      </c>
      <c r="BK238" s="289">
        <v>1169303.971829895</v>
      </c>
      <c r="BL238" s="289">
        <v>7244.85</v>
      </c>
      <c r="BM238" s="301">
        <v>1566</v>
      </c>
    </row>
    <row r="239" spans="6:65" s="289" customFormat="1" ht="12.75">
      <c r="F239" s="289">
        <v>508</v>
      </c>
      <c r="G239" s="289" t="s">
        <v>278</v>
      </c>
      <c r="H239" s="289">
        <v>646</v>
      </c>
      <c r="I239" s="289">
        <v>96</v>
      </c>
      <c r="J239" s="289">
        <v>627</v>
      </c>
      <c r="K239" s="289">
        <v>369</v>
      </c>
      <c r="L239" s="289">
        <v>7449</v>
      </c>
      <c r="M239" s="289">
        <v>1559</v>
      </c>
      <c r="N239" s="289">
        <v>1021</v>
      </c>
      <c r="O239" s="289">
        <v>447</v>
      </c>
      <c r="P239" s="289">
        <v>11122</v>
      </c>
      <c r="Q239" s="289">
        <v>0</v>
      </c>
      <c r="R239" s="289">
        <v>28</v>
      </c>
      <c r="S239" s="289">
        <v>534.87</v>
      </c>
      <c r="T239" s="289">
        <v>20.793837754968497</v>
      </c>
      <c r="U239" s="289">
        <v>0</v>
      </c>
      <c r="V239" s="289">
        <v>0</v>
      </c>
      <c r="W239" s="289">
        <v>4234</v>
      </c>
      <c r="X239" s="289">
        <v>148</v>
      </c>
      <c r="Y239" s="289">
        <v>42</v>
      </c>
      <c r="Z239" s="289">
        <v>1.0036614705487217</v>
      </c>
      <c r="AA239" s="289">
        <v>21</v>
      </c>
      <c r="AB239" s="289">
        <v>21</v>
      </c>
      <c r="AC239" s="289">
        <v>1.1359142163047315</v>
      </c>
      <c r="AD239" s="289">
        <v>711</v>
      </c>
      <c r="AE239" s="289">
        <v>80</v>
      </c>
      <c r="AF239" s="289">
        <v>22</v>
      </c>
      <c r="AG239" s="289">
        <v>8</v>
      </c>
      <c r="AH239" s="289">
        <v>821</v>
      </c>
      <c r="AI239" s="289">
        <v>1.4473252848946108</v>
      </c>
      <c r="AJ239" s="289">
        <v>4976</v>
      </c>
      <c r="AK239" s="289">
        <v>585</v>
      </c>
      <c r="AL239" s="289">
        <v>1.2005077973337868</v>
      </c>
      <c r="AM239" s="289">
        <v>1.184779093759242</v>
      </c>
      <c r="AN239" s="289">
        <v>0</v>
      </c>
      <c r="AO239" s="289">
        <v>0</v>
      </c>
      <c r="AP239" s="289">
        <f t="shared" si="2"/>
        <v>0</v>
      </c>
      <c r="AQ239" s="289">
        <v>12822.151121586561</v>
      </c>
      <c r="AR239" s="289">
        <v>2102078.370833334</v>
      </c>
      <c r="AS239" s="289">
        <v>1</v>
      </c>
      <c r="AT239" s="289">
        <v>11122</v>
      </c>
      <c r="AU239" s="289">
        <v>0</v>
      </c>
      <c r="AV239" s="289">
        <v>0</v>
      </c>
      <c r="AW239" s="289">
        <v>0</v>
      </c>
      <c r="AX239" s="289">
        <v>0</v>
      </c>
      <c r="AY239" s="289">
        <v>534.53</v>
      </c>
      <c r="AZ239" s="289">
        <v>20.807064149813858</v>
      </c>
      <c r="BA239" s="289">
        <v>8953</v>
      </c>
      <c r="BB239" s="289">
        <v>0.8049811185038662</v>
      </c>
      <c r="BC239" s="289">
        <v>0</v>
      </c>
      <c r="BD239" s="289">
        <v>0</v>
      </c>
      <c r="BE239" s="289">
        <v>11496</v>
      </c>
      <c r="BF239" s="289">
        <v>11122</v>
      </c>
      <c r="BG239" s="289">
        <v>-0.0325330549756437</v>
      </c>
      <c r="BH239" s="289">
        <v>0</v>
      </c>
      <c r="BI239" s="289">
        <v>3</v>
      </c>
      <c r="BJ239" s="289">
        <v>0.000269735659054127</v>
      </c>
      <c r="BK239" s="289">
        <v>1839393.369386898</v>
      </c>
      <c r="BL239" s="289">
        <v>6424.34</v>
      </c>
      <c r="BM239" s="301">
        <v>2974</v>
      </c>
    </row>
    <row r="240" spans="6:65" s="289" customFormat="1" ht="12.75">
      <c r="F240" s="289">
        <v>529</v>
      </c>
      <c r="G240" s="289" t="s">
        <v>280</v>
      </c>
      <c r="H240" s="289">
        <v>1362</v>
      </c>
      <c r="I240" s="289">
        <v>215</v>
      </c>
      <c r="J240" s="289">
        <v>1291</v>
      </c>
      <c r="K240" s="289">
        <v>690</v>
      </c>
      <c r="L240" s="289">
        <v>13780</v>
      </c>
      <c r="M240" s="289">
        <v>2183</v>
      </c>
      <c r="N240" s="289">
        <v>1085</v>
      </c>
      <c r="O240" s="289">
        <v>414</v>
      </c>
      <c r="P240" s="289">
        <v>18824</v>
      </c>
      <c r="Q240" s="289">
        <v>15</v>
      </c>
      <c r="R240" s="289">
        <v>21</v>
      </c>
      <c r="S240" s="289">
        <v>311.47</v>
      </c>
      <c r="T240" s="289">
        <v>60.43599704626448</v>
      </c>
      <c r="U240" s="289">
        <v>1</v>
      </c>
      <c r="V240" s="289">
        <v>0</v>
      </c>
      <c r="W240" s="289">
        <v>8504</v>
      </c>
      <c r="X240" s="289">
        <v>201</v>
      </c>
      <c r="Y240" s="289">
        <v>117</v>
      </c>
      <c r="Z240" s="289">
        <v>1.0115222680558165</v>
      </c>
      <c r="AA240" s="289">
        <v>33</v>
      </c>
      <c r="AB240" s="289">
        <v>33</v>
      </c>
      <c r="AC240" s="289">
        <v>1.0546567987003936</v>
      </c>
      <c r="AD240" s="289">
        <v>707</v>
      </c>
      <c r="AE240" s="289">
        <v>140</v>
      </c>
      <c r="AF240" s="289">
        <v>34</v>
      </c>
      <c r="AG240" s="289">
        <v>6</v>
      </c>
      <c r="AH240" s="289">
        <v>887</v>
      </c>
      <c r="AI240" s="289">
        <v>0.9238843034429511</v>
      </c>
      <c r="AJ240" s="289">
        <v>9173</v>
      </c>
      <c r="AK240" s="289">
        <v>589</v>
      </c>
      <c r="AL240" s="289">
        <v>0.6556821971812281</v>
      </c>
      <c r="AM240" s="289">
        <v>0.8615061269805775</v>
      </c>
      <c r="AN240" s="289">
        <v>0</v>
      </c>
      <c r="AO240" s="289">
        <v>0</v>
      </c>
      <c r="AP240" s="289">
        <f t="shared" si="2"/>
        <v>0</v>
      </c>
      <c r="AQ240" s="289">
        <v>-180401.39770806208</v>
      </c>
      <c r="AR240" s="289">
        <v>-5193840.331469012</v>
      </c>
      <c r="AS240" s="289">
        <v>1</v>
      </c>
      <c r="AT240" s="289">
        <v>18824</v>
      </c>
      <c r="AU240" s="289">
        <v>1</v>
      </c>
      <c r="AV240" s="289">
        <v>4238</v>
      </c>
      <c r="AW240" s="289">
        <v>0.22513812154696133</v>
      </c>
      <c r="AX240" s="289">
        <v>0</v>
      </c>
      <c r="AY240" s="289">
        <v>311.49</v>
      </c>
      <c r="AZ240" s="289">
        <v>60.43211660085396</v>
      </c>
      <c r="BA240" s="289">
        <v>15830</v>
      </c>
      <c r="BB240" s="289">
        <v>0.8409477263068423</v>
      </c>
      <c r="BC240" s="289">
        <v>0</v>
      </c>
      <c r="BD240" s="289">
        <v>0</v>
      </c>
      <c r="BE240" s="289">
        <v>18544</v>
      </c>
      <c r="BF240" s="289">
        <v>18824</v>
      </c>
      <c r="BG240" s="289">
        <v>0.015099223468507334</v>
      </c>
      <c r="BH240" s="289">
        <v>0</v>
      </c>
      <c r="BI240" s="289">
        <v>2</v>
      </c>
      <c r="BJ240" s="289">
        <v>0.00010624734381640459</v>
      </c>
      <c r="BK240" s="289">
        <v>1763799.8835428082</v>
      </c>
      <c r="BL240" s="289">
        <v>5957.26</v>
      </c>
      <c r="BM240" s="301">
        <v>5786</v>
      </c>
    </row>
    <row r="241" spans="6:65" s="289" customFormat="1" ht="12.75">
      <c r="F241" s="289">
        <v>531</v>
      </c>
      <c r="G241" s="289" t="s">
        <v>281</v>
      </c>
      <c r="H241" s="289">
        <v>432</v>
      </c>
      <c r="I241" s="289">
        <v>79</v>
      </c>
      <c r="J241" s="289">
        <v>396</v>
      </c>
      <c r="K241" s="289">
        <v>223</v>
      </c>
      <c r="L241" s="289">
        <v>3992</v>
      </c>
      <c r="M241" s="289">
        <v>750</v>
      </c>
      <c r="N241" s="289">
        <v>421</v>
      </c>
      <c r="O241" s="289">
        <v>152</v>
      </c>
      <c r="P241" s="289">
        <v>5747</v>
      </c>
      <c r="Q241" s="289">
        <v>5</v>
      </c>
      <c r="R241" s="289">
        <v>1</v>
      </c>
      <c r="S241" s="289">
        <v>182.91</v>
      </c>
      <c r="T241" s="289">
        <v>31.41982395713739</v>
      </c>
      <c r="U241" s="289">
        <v>0</v>
      </c>
      <c r="V241" s="289">
        <v>0</v>
      </c>
      <c r="W241" s="289">
        <v>2240</v>
      </c>
      <c r="X241" s="289">
        <v>118</v>
      </c>
      <c r="Y241" s="289">
        <v>29</v>
      </c>
      <c r="Z241" s="289">
        <v>0.9818568382361854</v>
      </c>
      <c r="AA241" s="289">
        <v>5</v>
      </c>
      <c r="AB241" s="289">
        <v>5</v>
      </c>
      <c r="AC241" s="289">
        <v>0.5234050856240201</v>
      </c>
      <c r="AD241" s="289">
        <v>273</v>
      </c>
      <c r="AE241" s="289">
        <v>31</v>
      </c>
      <c r="AF241" s="289">
        <v>8</v>
      </c>
      <c r="AG241" s="289">
        <v>3</v>
      </c>
      <c r="AH241" s="289">
        <v>315</v>
      </c>
      <c r="AI241" s="289">
        <v>1.0746702824262973</v>
      </c>
      <c r="AJ241" s="289">
        <v>2564</v>
      </c>
      <c r="AK241" s="289">
        <v>264</v>
      </c>
      <c r="AL241" s="289">
        <v>1.051417973436732</v>
      </c>
      <c r="AM241" s="289">
        <v>0.9900747661000215</v>
      </c>
      <c r="AN241" s="289">
        <v>0</v>
      </c>
      <c r="AO241" s="289">
        <v>0</v>
      </c>
      <c r="AP241" s="289">
        <f t="shared" si="2"/>
        <v>0</v>
      </c>
      <c r="AQ241" s="289">
        <v>-12822.98214763403</v>
      </c>
      <c r="AR241" s="289">
        <v>2047523.5612658232</v>
      </c>
      <c r="AS241" s="289">
        <v>1</v>
      </c>
      <c r="AT241" s="289">
        <v>5747</v>
      </c>
      <c r="AU241" s="289">
        <v>0</v>
      </c>
      <c r="AV241" s="289">
        <v>0</v>
      </c>
      <c r="AW241" s="289">
        <v>0</v>
      </c>
      <c r="AX241" s="289">
        <v>0</v>
      </c>
      <c r="AY241" s="289">
        <v>182.91</v>
      </c>
      <c r="AZ241" s="289">
        <v>31.41982395713739</v>
      </c>
      <c r="BA241" s="289">
        <v>4243</v>
      </c>
      <c r="BB241" s="289">
        <v>0.7382982425613364</v>
      </c>
      <c r="BC241" s="289">
        <v>0</v>
      </c>
      <c r="BD241" s="289">
        <v>0</v>
      </c>
      <c r="BE241" s="289">
        <v>5716</v>
      </c>
      <c r="BF241" s="289">
        <v>5747</v>
      </c>
      <c r="BG241" s="289">
        <v>0.005423372988103569</v>
      </c>
      <c r="BH241" s="289">
        <v>0</v>
      </c>
      <c r="BI241" s="289">
        <v>0</v>
      </c>
      <c r="BJ241" s="289">
        <v>0</v>
      </c>
      <c r="BK241" s="289">
        <v>888867.7519244626</v>
      </c>
      <c r="BL241" s="289">
        <v>6112.02</v>
      </c>
      <c r="BM241" s="301">
        <v>1788</v>
      </c>
    </row>
    <row r="242" spans="6:65" s="289" customFormat="1" ht="12.75">
      <c r="F242" s="289">
        <v>532</v>
      </c>
      <c r="G242" s="289" t="s">
        <v>282</v>
      </c>
      <c r="H242" s="289">
        <v>1345</v>
      </c>
      <c r="I242" s="289">
        <v>199</v>
      </c>
      <c r="J242" s="289">
        <v>1092</v>
      </c>
      <c r="K242" s="289">
        <v>542</v>
      </c>
      <c r="L242" s="289">
        <v>11063</v>
      </c>
      <c r="M242" s="289">
        <v>1690</v>
      </c>
      <c r="N242" s="289">
        <v>747</v>
      </c>
      <c r="O242" s="289">
        <v>237</v>
      </c>
      <c r="P242" s="289">
        <v>15082</v>
      </c>
      <c r="Q242" s="289">
        <v>7</v>
      </c>
      <c r="R242" s="289">
        <v>49</v>
      </c>
      <c r="S242" s="289">
        <v>324.18</v>
      </c>
      <c r="T242" s="289">
        <v>46.523536306989946</v>
      </c>
      <c r="U242" s="289">
        <v>0</v>
      </c>
      <c r="V242" s="289">
        <v>0</v>
      </c>
      <c r="W242" s="289">
        <v>6520</v>
      </c>
      <c r="X242" s="289">
        <v>176</v>
      </c>
      <c r="Y242" s="289">
        <v>82</v>
      </c>
      <c r="Z242" s="289">
        <v>1.009235286707839</v>
      </c>
      <c r="AA242" s="289">
        <v>17</v>
      </c>
      <c r="AB242" s="289">
        <v>17</v>
      </c>
      <c r="AC242" s="289">
        <v>0.678108386956387</v>
      </c>
      <c r="AD242" s="289">
        <v>491</v>
      </c>
      <c r="AE242" s="289">
        <v>103</v>
      </c>
      <c r="AF242" s="289">
        <v>19</v>
      </c>
      <c r="AG242" s="289">
        <v>0</v>
      </c>
      <c r="AH242" s="289">
        <v>613</v>
      </c>
      <c r="AI242" s="289">
        <v>0.7969065951281584</v>
      </c>
      <c r="AJ242" s="289">
        <v>7305</v>
      </c>
      <c r="AK242" s="289">
        <v>757</v>
      </c>
      <c r="AL242" s="289">
        <v>1.0581936473078206</v>
      </c>
      <c r="AM242" s="289">
        <v>0.9478516338495914</v>
      </c>
      <c r="AN242" s="289">
        <v>0</v>
      </c>
      <c r="AO242" s="289">
        <v>0</v>
      </c>
      <c r="AP242" s="289">
        <f t="shared" si="2"/>
        <v>0</v>
      </c>
      <c r="AQ242" s="289">
        <v>-84602.05379173532</v>
      </c>
      <c r="AR242" s="289">
        <v>2121333.457073173</v>
      </c>
      <c r="AS242" s="289">
        <v>0</v>
      </c>
      <c r="AT242" s="289">
        <v>15082</v>
      </c>
      <c r="AU242" s="289">
        <v>0</v>
      </c>
      <c r="AV242" s="289">
        <v>0</v>
      </c>
      <c r="AW242" s="289">
        <v>0</v>
      </c>
      <c r="AX242" s="289">
        <v>0</v>
      </c>
      <c r="AY242" s="289">
        <v>324.18</v>
      </c>
      <c r="AZ242" s="289">
        <v>46.523536306989946</v>
      </c>
      <c r="BA242" s="289">
        <v>12256</v>
      </c>
      <c r="BB242" s="289">
        <v>0.8126243203819122</v>
      </c>
      <c r="BC242" s="289">
        <v>0</v>
      </c>
      <c r="BD242" s="289">
        <v>0</v>
      </c>
      <c r="BE242" s="289">
        <v>15065</v>
      </c>
      <c r="BF242" s="289">
        <v>15082</v>
      </c>
      <c r="BG242" s="289">
        <v>0.0011284434118818453</v>
      </c>
      <c r="BH242" s="289">
        <v>0</v>
      </c>
      <c r="BI242" s="289">
        <v>1</v>
      </c>
      <c r="BJ242" s="289">
        <v>6.630420368651372E-05</v>
      </c>
      <c r="BK242" s="289">
        <v>2294295.612370736</v>
      </c>
      <c r="BL242" s="289">
        <v>5974.82</v>
      </c>
      <c r="BM242" s="301">
        <v>4841</v>
      </c>
    </row>
    <row r="243" spans="6:65" s="289" customFormat="1" ht="12.75">
      <c r="F243" s="289">
        <v>535</v>
      </c>
      <c r="G243" s="289" t="s">
        <v>283</v>
      </c>
      <c r="H243" s="289">
        <v>1300</v>
      </c>
      <c r="I243" s="289">
        <v>181</v>
      </c>
      <c r="J243" s="289">
        <v>1002</v>
      </c>
      <c r="K243" s="289">
        <v>474</v>
      </c>
      <c r="L243" s="289">
        <v>7739</v>
      </c>
      <c r="M243" s="289">
        <v>982</v>
      </c>
      <c r="N243" s="289">
        <v>678</v>
      </c>
      <c r="O243" s="289">
        <v>286</v>
      </c>
      <c r="P243" s="289">
        <v>10985</v>
      </c>
      <c r="Q243" s="289">
        <v>0</v>
      </c>
      <c r="R243" s="289">
        <v>9</v>
      </c>
      <c r="S243" s="289">
        <v>527.95</v>
      </c>
      <c r="T243" s="289">
        <v>20.806894592290934</v>
      </c>
      <c r="U243" s="289">
        <v>0</v>
      </c>
      <c r="V243" s="289">
        <v>0</v>
      </c>
      <c r="W243" s="289">
        <v>4185</v>
      </c>
      <c r="X243" s="289">
        <v>591</v>
      </c>
      <c r="Y243" s="289">
        <v>62</v>
      </c>
      <c r="Z243" s="289">
        <v>0.8868541277360746</v>
      </c>
      <c r="AA243" s="289">
        <v>15</v>
      </c>
      <c r="AB243" s="289">
        <v>15</v>
      </c>
      <c r="AC243" s="289">
        <v>0.8214863068951963</v>
      </c>
      <c r="AD243" s="289">
        <v>682</v>
      </c>
      <c r="AE243" s="289">
        <v>91</v>
      </c>
      <c r="AF243" s="289">
        <v>24</v>
      </c>
      <c r="AG243" s="289">
        <v>1</v>
      </c>
      <c r="AH243" s="289">
        <v>798</v>
      </c>
      <c r="AI243" s="289">
        <v>1.4243237402394133</v>
      </c>
      <c r="AJ243" s="289">
        <v>4582</v>
      </c>
      <c r="AK243" s="289">
        <v>392</v>
      </c>
      <c r="AL243" s="289">
        <v>0.8736157858199889</v>
      </c>
      <c r="AM243" s="289">
        <v>1.2736854075652628</v>
      </c>
      <c r="AN243" s="289">
        <v>0</v>
      </c>
      <c r="AO243" s="289">
        <v>0</v>
      </c>
      <c r="AP243" s="289">
        <f t="shared" si="2"/>
        <v>0</v>
      </c>
      <c r="AQ243" s="289">
        <v>74965.71019779146</v>
      </c>
      <c r="AR243" s="289">
        <v>9365900.874166667</v>
      </c>
      <c r="AS243" s="289">
        <v>1</v>
      </c>
      <c r="AT243" s="289">
        <v>10985</v>
      </c>
      <c r="AU243" s="289">
        <v>0</v>
      </c>
      <c r="AV243" s="289">
        <v>0</v>
      </c>
      <c r="AW243" s="289">
        <v>0</v>
      </c>
      <c r="AX243" s="289">
        <v>0</v>
      </c>
      <c r="AY243" s="289">
        <v>527.94</v>
      </c>
      <c r="AZ243" s="289">
        <v>20.80728870705004</v>
      </c>
      <c r="BA243" s="289">
        <v>7065</v>
      </c>
      <c r="BB243" s="289">
        <v>0.6431497496586254</v>
      </c>
      <c r="BC243" s="289">
        <v>0</v>
      </c>
      <c r="BD243" s="289">
        <v>0</v>
      </c>
      <c r="BE243" s="289">
        <v>11023</v>
      </c>
      <c r="BF243" s="289">
        <v>10985</v>
      </c>
      <c r="BG243" s="289">
        <v>-0.0034473373854667514</v>
      </c>
      <c r="BH243" s="289">
        <v>0</v>
      </c>
      <c r="BI243" s="289">
        <v>0</v>
      </c>
      <c r="BJ243" s="289">
        <v>0</v>
      </c>
      <c r="BK243" s="289">
        <v>2042378.4829893329</v>
      </c>
      <c r="BL243" s="289">
        <v>6393.63</v>
      </c>
      <c r="BM243" s="301">
        <v>4556</v>
      </c>
    </row>
    <row r="244" spans="6:65" s="289" customFormat="1" ht="12.75">
      <c r="F244" s="289">
        <v>536</v>
      </c>
      <c r="G244" s="289" t="s">
        <v>284</v>
      </c>
      <c r="H244" s="289">
        <v>3218</v>
      </c>
      <c r="I244" s="289">
        <v>469</v>
      </c>
      <c r="J244" s="289">
        <v>2500</v>
      </c>
      <c r="K244" s="289">
        <v>1142</v>
      </c>
      <c r="L244" s="289">
        <v>23775</v>
      </c>
      <c r="M244" s="289">
        <v>3055</v>
      </c>
      <c r="N244" s="289">
        <v>1738</v>
      </c>
      <c r="O244" s="289">
        <v>568</v>
      </c>
      <c r="P244" s="289">
        <v>32354</v>
      </c>
      <c r="Q244" s="289">
        <v>27</v>
      </c>
      <c r="R244" s="289">
        <v>91</v>
      </c>
      <c r="S244" s="289">
        <v>288.15999999999997</v>
      </c>
      <c r="T244" s="289">
        <v>112.27790116601889</v>
      </c>
      <c r="U244" s="289">
        <v>0</v>
      </c>
      <c r="V244" s="289">
        <v>0</v>
      </c>
      <c r="W244" s="289">
        <v>14073</v>
      </c>
      <c r="X244" s="289">
        <v>150</v>
      </c>
      <c r="Y244" s="289">
        <v>129</v>
      </c>
      <c r="Z244" s="289">
        <v>1.0299840351139868</v>
      </c>
      <c r="AA244" s="289">
        <v>42</v>
      </c>
      <c r="AB244" s="289">
        <v>42</v>
      </c>
      <c r="AC244" s="289">
        <v>0.7809629667887262</v>
      </c>
      <c r="AD244" s="289">
        <v>1264</v>
      </c>
      <c r="AE244" s="289">
        <v>295</v>
      </c>
      <c r="AF244" s="289">
        <v>61</v>
      </c>
      <c r="AG244" s="289">
        <v>13</v>
      </c>
      <c r="AH244" s="289">
        <v>1633</v>
      </c>
      <c r="AI244" s="289">
        <v>0.9896100258645398</v>
      </c>
      <c r="AJ244" s="289">
        <v>15311</v>
      </c>
      <c r="AK244" s="289">
        <v>1629</v>
      </c>
      <c r="AL244" s="289">
        <v>1.0864431813381623</v>
      </c>
      <c r="AM244" s="289">
        <v>0.8363387488270557</v>
      </c>
      <c r="AN244" s="289">
        <v>0</v>
      </c>
      <c r="AO244" s="289">
        <v>0</v>
      </c>
      <c r="AP244" s="289">
        <f t="shared" si="2"/>
        <v>0</v>
      </c>
      <c r="AQ244" s="289">
        <v>-794237.1566494778</v>
      </c>
      <c r="AR244" s="289">
        <v>-2384827.9163265815</v>
      </c>
      <c r="AS244" s="289">
        <v>1</v>
      </c>
      <c r="AT244" s="289">
        <v>32354</v>
      </c>
      <c r="AU244" s="289">
        <v>0</v>
      </c>
      <c r="AV244" s="289">
        <v>0</v>
      </c>
      <c r="AW244" s="289">
        <v>0</v>
      </c>
      <c r="AX244" s="289">
        <v>0</v>
      </c>
      <c r="AY244" s="289">
        <v>288.18</v>
      </c>
      <c r="AZ244" s="289">
        <v>112.27010895967797</v>
      </c>
      <c r="BA244" s="289">
        <v>29309</v>
      </c>
      <c r="BB244" s="289">
        <v>0.9058848983124189</v>
      </c>
      <c r="BC244" s="289">
        <v>0</v>
      </c>
      <c r="BD244" s="289">
        <v>0</v>
      </c>
      <c r="BE244" s="289">
        <v>31357</v>
      </c>
      <c r="BF244" s="289">
        <v>32354</v>
      </c>
      <c r="BG244" s="289">
        <v>0.03179513346302261</v>
      </c>
      <c r="BH244" s="289">
        <v>0</v>
      </c>
      <c r="BI244" s="289">
        <v>1</v>
      </c>
      <c r="BJ244" s="289">
        <v>3.0908079371947826E-05</v>
      </c>
      <c r="BK244" s="289">
        <v>4595054.325944498</v>
      </c>
      <c r="BL244" s="289">
        <v>5967.55</v>
      </c>
      <c r="BM244" s="301">
        <v>10878</v>
      </c>
    </row>
    <row r="245" spans="6:65" s="289" customFormat="1" ht="12.75">
      <c r="F245" s="289">
        <v>538</v>
      </c>
      <c r="G245" s="289" t="s">
        <v>285</v>
      </c>
      <c r="H245" s="289">
        <v>484</v>
      </c>
      <c r="I245" s="289">
        <v>76</v>
      </c>
      <c r="J245" s="289">
        <v>419</v>
      </c>
      <c r="K245" s="289">
        <v>200</v>
      </c>
      <c r="L245" s="289">
        <v>3627</v>
      </c>
      <c r="M245" s="289">
        <v>399</v>
      </c>
      <c r="N245" s="289">
        <v>242</v>
      </c>
      <c r="O245" s="289">
        <v>94</v>
      </c>
      <c r="P245" s="289">
        <v>4846</v>
      </c>
      <c r="Q245" s="289">
        <v>5</v>
      </c>
      <c r="R245" s="289">
        <v>1</v>
      </c>
      <c r="S245" s="289">
        <v>198.81</v>
      </c>
      <c r="T245" s="289">
        <v>24.37503143705045</v>
      </c>
      <c r="U245" s="289">
        <v>0</v>
      </c>
      <c r="V245" s="289">
        <v>0</v>
      </c>
      <c r="W245" s="289">
        <v>2291</v>
      </c>
      <c r="X245" s="289">
        <v>139</v>
      </c>
      <c r="Y245" s="289">
        <v>19</v>
      </c>
      <c r="Z245" s="289">
        <v>0.9783465669888873</v>
      </c>
      <c r="AA245" s="289">
        <v>5</v>
      </c>
      <c r="AB245" s="289">
        <v>5</v>
      </c>
      <c r="AC245" s="289">
        <v>0.6207199808256797</v>
      </c>
      <c r="AD245" s="289">
        <v>172</v>
      </c>
      <c r="AE245" s="289">
        <v>61</v>
      </c>
      <c r="AF245" s="289">
        <v>4</v>
      </c>
      <c r="AG245" s="289">
        <v>2</v>
      </c>
      <c r="AH245" s="289">
        <v>239</v>
      </c>
      <c r="AI245" s="289">
        <v>0.9669864178814399</v>
      </c>
      <c r="AJ245" s="289">
        <v>2433</v>
      </c>
      <c r="AK245" s="289">
        <v>123</v>
      </c>
      <c r="AL245" s="289">
        <v>0.5162409998858639</v>
      </c>
      <c r="AM245" s="289">
        <v>0.8259089007251756</v>
      </c>
      <c r="AN245" s="289">
        <v>0</v>
      </c>
      <c r="AO245" s="289">
        <v>0</v>
      </c>
      <c r="AP245" s="289">
        <f t="shared" si="2"/>
        <v>0</v>
      </c>
      <c r="AQ245" s="289">
        <v>79742.1947365161</v>
      </c>
      <c r="AR245" s="289">
        <v>1041590.6236249992</v>
      </c>
      <c r="AS245" s="289">
        <v>1</v>
      </c>
      <c r="AT245" s="289">
        <v>4846</v>
      </c>
      <c r="AU245" s="289">
        <v>0</v>
      </c>
      <c r="AV245" s="289">
        <v>0</v>
      </c>
      <c r="AW245" s="289">
        <v>0</v>
      </c>
      <c r="AX245" s="289">
        <v>0</v>
      </c>
      <c r="AY245" s="289">
        <v>198.81</v>
      </c>
      <c r="AZ245" s="289">
        <v>24.37503143705045</v>
      </c>
      <c r="BA245" s="289">
        <v>3161</v>
      </c>
      <c r="BB245" s="289">
        <v>0.6522905489063144</v>
      </c>
      <c r="BC245" s="289">
        <v>0</v>
      </c>
      <c r="BD245" s="289">
        <v>0</v>
      </c>
      <c r="BE245" s="289">
        <v>4824</v>
      </c>
      <c r="BF245" s="289">
        <v>4846</v>
      </c>
      <c r="BG245" s="289">
        <v>0.004560530679933665</v>
      </c>
      <c r="BH245" s="289">
        <v>0</v>
      </c>
      <c r="BI245" s="289">
        <v>1</v>
      </c>
      <c r="BJ245" s="289">
        <v>0.0002063557573256294</v>
      </c>
      <c r="BK245" s="289">
        <v>744617.8289655007</v>
      </c>
      <c r="BL245" s="289">
        <v>6284.45</v>
      </c>
      <c r="BM245" s="301">
        <v>1669</v>
      </c>
    </row>
    <row r="246" spans="6:65" s="289" customFormat="1" ht="12.75">
      <c r="F246" s="289">
        <v>541</v>
      </c>
      <c r="G246" s="289" t="s">
        <v>286</v>
      </c>
      <c r="H246" s="289">
        <v>442</v>
      </c>
      <c r="I246" s="289">
        <v>63</v>
      </c>
      <c r="J246" s="289">
        <v>460</v>
      </c>
      <c r="K246" s="289">
        <v>220</v>
      </c>
      <c r="L246" s="289">
        <v>5552</v>
      </c>
      <c r="M246" s="289">
        <v>1191</v>
      </c>
      <c r="N246" s="289">
        <v>825</v>
      </c>
      <c r="O246" s="289">
        <v>298</v>
      </c>
      <c r="P246" s="289">
        <v>8308</v>
      </c>
      <c r="Q246" s="289">
        <v>0</v>
      </c>
      <c r="R246" s="289">
        <v>13</v>
      </c>
      <c r="S246" s="289">
        <v>1601.08</v>
      </c>
      <c r="T246" s="289">
        <v>5.188997426736953</v>
      </c>
      <c r="U246" s="289">
        <v>0</v>
      </c>
      <c r="V246" s="289">
        <v>0</v>
      </c>
      <c r="W246" s="289">
        <v>2899</v>
      </c>
      <c r="X246" s="289">
        <v>378</v>
      </c>
      <c r="Y246" s="289">
        <v>58</v>
      </c>
      <c r="Z246" s="289">
        <v>0.8927773336950834</v>
      </c>
      <c r="AA246" s="289">
        <v>17</v>
      </c>
      <c r="AB246" s="289">
        <v>17</v>
      </c>
      <c r="AC246" s="289">
        <v>1.2310099533072014</v>
      </c>
      <c r="AD246" s="289">
        <v>672</v>
      </c>
      <c r="AE246" s="289">
        <v>38</v>
      </c>
      <c r="AF246" s="289">
        <v>10</v>
      </c>
      <c r="AG246" s="289">
        <v>2</v>
      </c>
      <c r="AH246" s="289">
        <v>722</v>
      </c>
      <c r="AI246" s="289">
        <v>1.703909768232966</v>
      </c>
      <c r="AJ246" s="289">
        <v>3513</v>
      </c>
      <c r="AK246" s="289">
        <v>525</v>
      </c>
      <c r="AL246" s="289">
        <v>1.5260566101268715</v>
      </c>
      <c r="AM246" s="289">
        <v>1.451217889605624</v>
      </c>
      <c r="AN246" s="289">
        <v>0.05</v>
      </c>
      <c r="AO246" s="289">
        <v>0</v>
      </c>
      <c r="AP246" s="289">
        <f t="shared" si="2"/>
        <v>0.05</v>
      </c>
      <c r="AQ246" s="289">
        <v>-89808.90800933167</v>
      </c>
      <c r="AR246" s="289">
        <v>5923105.333000001</v>
      </c>
      <c r="AS246" s="289">
        <v>1</v>
      </c>
      <c r="AT246" s="289">
        <v>8308</v>
      </c>
      <c r="AU246" s="289">
        <v>0</v>
      </c>
      <c r="AV246" s="289">
        <v>0</v>
      </c>
      <c r="AW246" s="289">
        <v>0</v>
      </c>
      <c r="AX246" s="289">
        <v>0.9097833333333334</v>
      </c>
      <c r="AY246" s="289">
        <v>1601.08</v>
      </c>
      <c r="AZ246" s="289">
        <v>5.188997426736953</v>
      </c>
      <c r="BA246" s="289">
        <v>5341</v>
      </c>
      <c r="BB246" s="289">
        <v>0.642874337987482</v>
      </c>
      <c r="BC246" s="289">
        <v>0</v>
      </c>
      <c r="BD246" s="289">
        <v>0</v>
      </c>
      <c r="BE246" s="289">
        <v>8573</v>
      </c>
      <c r="BF246" s="289">
        <v>8308</v>
      </c>
      <c r="BG246" s="289">
        <v>-0.030910999650064153</v>
      </c>
      <c r="BH246" s="289">
        <v>0</v>
      </c>
      <c r="BI246" s="289">
        <v>0</v>
      </c>
      <c r="BJ246" s="289">
        <v>0</v>
      </c>
      <c r="BK246" s="289">
        <v>1972598.05933175</v>
      </c>
      <c r="BL246" s="289">
        <v>7371.78</v>
      </c>
      <c r="BM246" s="301">
        <v>2165</v>
      </c>
    </row>
    <row r="247" spans="6:65" s="289" customFormat="1" ht="12.75">
      <c r="F247" s="289">
        <v>543</v>
      </c>
      <c r="G247" s="289" t="s">
        <v>287</v>
      </c>
      <c r="H247" s="289">
        <v>4106</v>
      </c>
      <c r="I247" s="289">
        <v>645</v>
      </c>
      <c r="J247" s="289">
        <v>3864</v>
      </c>
      <c r="K247" s="289">
        <v>1918</v>
      </c>
      <c r="L247" s="289">
        <v>31332</v>
      </c>
      <c r="M247" s="289">
        <v>3405</v>
      </c>
      <c r="N247" s="289">
        <v>1486</v>
      </c>
      <c r="O247" s="289">
        <v>390</v>
      </c>
      <c r="P247" s="289">
        <v>40719</v>
      </c>
      <c r="Q247" s="289">
        <v>85</v>
      </c>
      <c r="R247" s="289">
        <v>113</v>
      </c>
      <c r="S247" s="289">
        <v>361.86</v>
      </c>
      <c r="T247" s="289">
        <v>112.52694412203614</v>
      </c>
      <c r="U247" s="289">
        <v>0</v>
      </c>
      <c r="V247" s="289">
        <v>0</v>
      </c>
      <c r="W247" s="289">
        <v>19487</v>
      </c>
      <c r="X247" s="289">
        <v>223</v>
      </c>
      <c r="Y247" s="289">
        <v>228</v>
      </c>
      <c r="Z247" s="289">
        <v>1.0264969661195087</v>
      </c>
      <c r="AA247" s="289">
        <v>48</v>
      </c>
      <c r="AB247" s="289">
        <v>48</v>
      </c>
      <c r="AC247" s="289">
        <v>0.7091747503617462</v>
      </c>
      <c r="AD247" s="289">
        <v>889</v>
      </c>
      <c r="AE247" s="289">
        <v>289</v>
      </c>
      <c r="AF247" s="289">
        <v>67</v>
      </c>
      <c r="AG247" s="289">
        <v>8</v>
      </c>
      <c r="AH247" s="289">
        <v>1253</v>
      </c>
      <c r="AI247" s="289">
        <v>0.6033368480701629</v>
      </c>
      <c r="AJ247" s="289">
        <v>20230</v>
      </c>
      <c r="AK247" s="289">
        <v>854</v>
      </c>
      <c r="AL247" s="289">
        <v>0.4310736518753241</v>
      </c>
      <c r="AM247" s="289">
        <v>0.6580903965604259</v>
      </c>
      <c r="AN247" s="289">
        <v>0</v>
      </c>
      <c r="AO247" s="289">
        <v>0</v>
      </c>
      <c r="AP247" s="289">
        <f t="shared" si="2"/>
        <v>0</v>
      </c>
      <c r="AQ247" s="289">
        <v>-528898.4591088146</v>
      </c>
      <c r="AR247" s="289">
        <v>-10222992.525515791</v>
      </c>
      <c r="AS247" s="289">
        <v>0</v>
      </c>
      <c r="AT247" s="289">
        <v>40719</v>
      </c>
      <c r="AU247" s="289">
        <v>0</v>
      </c>
      <c r="AV247" s="289">
        <v>0</v>
      </c>
      <c r="AW247" s="289">
        <v>0</v>
      </c>
      <c r="AX247" s="289">
        <v>0</v>
      </c>
      <c r="AY247" s="289">
        <v>361.84</v>
      </c>
      <c r="AZ247" s="289">
        <v>112.53316382931683</v>
      </c>
      <c r="BA247" s="289">
        <v>34552</v>
      </c>
      <c r="BB247" s="289">
        <v>0.8485473611827402</v>
      </c>
      <c r="BC247" s="289">
        <v>0</v>
      </c>
      <c r="BD247" s="289">
        <v>0</v>
      </c>
      <c r="BE247" s="289">
        <v>39628</v>
      </c>
      <c r="BF247" s="289">
        <v>40719</v>
      </c>
      <c r="BG247" s="289">
        <v>0.027531038659533665</v>
      </c>
      <c r="BH247" s="289">
        <v>0</v>
      </c>
      <c r="BI247" s="289">
        <v>1</v>
      </c>
      <c r="BJ247" s="289">
        <v>2.455855988604828E-05</v>
      </c>
      <c r="BK247" s="289">
        <v>4855320.291369031</v>
      </c>
      <c r="BL247" s="289">
        <v>5970.85</v>
      </c>
      <c r="BM247" s="301">
        <v>15045</v>
      </c>
    </row>
    <row r="248" spans="6:65" s="289" customFormat="1" ht="12.75">
      <c r="F248" s="289">
        <v>545</v>
      </c>
      <c r="G248" s="289" t="s">
        <v>288</v>
      </c>
      <c r="H248" s="289">
        <v>608</v>
      </c>
      <c r="I248" s="289">
        <v>91</v>
      </c>
      <c r="J248" s="289">
        <v>502</v>
      </c>
      <c r="K248" s="289">
        <v>269</v>
      </c>
      <c r="L248" s="289">
        <v>6246</v>
      </c>
      <c r="M248" s="289">
        <v>1205</v>
      </c>
      <c r="N248" s="289">
        <v>872</v>
      </c>
      <c r="O248" s="289">
        <v>449</v>
      </c>
      <c r="P248" s="289">
        <v>9380</v>
      </c>
      <c r="Q248" s="289">
        <v>712</v>
      </c>
      <c r="R248" s="289">
        <v>112</v>
      </c>
      <c r="S248" s="289">
        <v>977.51</v>
      </c>
      <c r="T248" s="289">
        <v>9.595809761536966</v>
      </c>
      <c r="U248" s="289">
        <v>1</v>
      </c>
      <c r="V248" s="289">
        <v>2</v>
      </c>
      <c r="W248" s="289">
        <v>4301</v>
      </c>
      <c r="X248" s="289">
        <v>906</v>
      </c>
      <c r="Y248" s="289">
        <v>98</v>
      </c>
      <c r="Z248" s="289">
        <v>0.8055202520474006</v>
      </c>
      <c r="AA248" s="289">
        <v>3</v>
      </c>
      <c r="AB248" s="289">
        <v>2</v>
      </c>
      <c r="AC248" s="289">
        <v>0.12827330605890166</v>
      </c>
      <c r="AD248" s="289">
        <v>407</v>
      </c>
      <c r="AE248" s="289">
        <v>24</v>
      </c>
      <c r="AF248" s="289">
        <v>15</v>
      </c>
      <c r="AG248" s="289">
        <v>1</v>
      </c>
      <c r="AH248" s="289">
        <v>447</v>
      </c>
      <c r="AI248" s="289">
        <v>0.9343521036171039</v>
      </c>
      <c r="AJ248" s="289">
        <v>4514</v>
      </c>
      <c r="AK248" s="289">
        <v>140</v>
      </c>
      <c r="AL248" s="289">
        <v>0.31670576702854525</v>
      </c>
      <c r="AM248" s="289">
        <v>0.8258005721429716</v>
      </c>
      <c r="AN248" s="289">
        <v>0</v>
      </c>
      <c r="AO248" s="289">
        <v>0</v>
      </c>
      <c r="AP248" s="289">
        <f t="shared" si="2"/>
        <v>0</v>
      </c>
      <c r="AQ248" s="289">
        <v>236161.79568575323</v>
      </c>
      <c r="AR248" s="289">
        <v>4091635.8748749993</v>
      </c>
      <c r="AS248" s="289">
        <v>1</v>
      </c>
      <c r="AT248" s="289">
        <v>9380</v>
      </c>
      <c r="AU248" s="289">
        <v>1</v>
      </c>
      <c r="AV248" s="289">
        <v>99</v>
      </c>
      <c r="AW248" s="289">
        <v>0.010554371002132195</v>
      </c>
      <c r="AX248" s="289">
        <v>0.12376666666666666</v>
      </c>
      <c r="AY248" s="289">
        <v>977.26</v>
      </c>
      <c r="AZ248" s="289">
        <v>9.598264535538137</v>
      </c>
      <c r="BA248" s="289">
        <v>5110</v>
      </c>
      <c r="BB248" s="289">
        <v>0.5447761194029851</v>
      </c>
      <c r="BC248" s="289">
        <v>2</v>
      </c>
      <c r="BD248" s="289">
        <v>0</v>
      </c>
      <c r="BE248" s="289">
        <v>9464</v>
      </c>
      <c r="BF248" s="289">
        <v>9380</v>
      </c>
      <c r="BG248" s="289">
        <v>-0.008875739644970414</v>
      </c>
      <c r="BH248" s="289">
        <v>0</v>
      </c>
      <c r="BI248" s="289">
        <v>0</v>
      </c>
      <c r="BJ248" s="289">
        <v>0</v>
      </c>
      <c r="BK248" s="289">
        <v>2027131.8926533628</v>
      </c>
      <c r="BL248" s="289">
        <v>7779.34</v>
      </c>
      <c r="BM248" s="301">
        <v>2727</v>
      </c>
    </row>
    <row r="249" spans="6:65" s="289" customFormat="1" ht="12.75">
      <c r="F249" s="289">
        <v>560</v>
      </c>
      <c r="G249" s="289" t="s">
        <v>289</v>
      </c>
      <c r="H249" s="289">
        <v>1273</v>
      </c>
      <c r="I249" s="289">
        <v>204</v>
      </c>
      <c r="J249" s="289">
        <v>1203</v>
      </c>
      <c r="K249" s="289">
        <v>601</v>
      </c>
      <c r="L249" s="289">
        <v>11711</v>
      </c>
      <c r="M249" s="289">
        <v>1839</v>
      </c>
      <c r="N249" s="289">
        <v>1065</v>
      </c>
      <c r="O249" s="289">
        <v>412</v>
      </c>
      <c r="P249" s="289">
        <v>16300</v>
      </c>
      <c r="Q249" s="289">
        <v>5</v>
      </c>
      <c r="R249" s="289">
        <v>39</v>
      </c>
      <c r="S249" s="289">
        <v>785.35</v>
      </c>
      <c r="T249" s="289">
        <v>20.755077354045966</v>
      </c>
      <c r="U249" s="289">
        <v>0</v>
      </c>
      <c r="V249" s="289">
        <v>0</v>
      </c>
      <c r="W249" s="289">
        <v>6829</v>
      </c>
      <c r="X249" s="289">
        <v>515</v>
      </c>
      <c r="Y249" s="289">
        <v>106</v>
      </c>
      <c r="Z249" s="289">
        <v>0.9552599163054261</v>
      </c>
      <c r="AA249" s="289">
        <v>44</v>
      </c>
      <c r="AB249" s="289">
        <v>44</v>
      </c>
      <c r="AC249" s="289">
        <v>1.623955793761653</v>
      </c>
      <c r="AD249" s="289">
        <v>621</v>
      </c>
      <c r="AE249" s="289">
        <v>121</v>
      </c>
      <c r="AF249" s="289">
        <v>26</v>
      </c>
      <c r="AG249" s="289">
        <v>3</v>
      </c>
      <c r="AH249" s="289">
        <v>771</v>
      </c>
      <c r="AI249" s="289">
        <v>0.9274118837672859</v>
      </c>
      <c r="AJ249" s="289">
        <v>7586</v>
      </c>
      <c r="AK249" s="289">
        <v>789</v>
      </c>
      <c r="AL249" s="289">
        <v>1.0620712569559032</v>
      </c>
      <c r="AM249" s="289">
        <v>0.9257149477124204</v>
      </c>
      <c r="AN249" s="289">
        <v>0</v>
      </c>
      <c r="AO249" s="289">
        <v>0</v>
      </c>
      <c r="AP249" s="289">
        <f t="shared" si="2"/>
        <v>0</v>
      </c>
      <c r="AQ249" s="289">
        <v>195649.91878824774</v>
      </c>
      <c r="AR249" s="289">
        <v>6622684.664303802</v>
      </c>
      <c r="AS249" s="289">
        <v>1</v>
      </c>
      <c r="AT249" s="289">
        <v>16300</v>
      </c>
      <c r="AU249" s="289">
        <v>0</v>
      </c>
      <c r="AV249" s="289">
        <v>0</v>
      </c>
      <c r="AW249" s="289">
        <v>0</v>
      </c>
      <c r="AX249" s="289">
        <v>0</v>
      </c>
      <c r="AY249" s="289">
        <v>785.35</v>
      </c>
      <c r="AZ249" s="289">
        <v>20.755077354045966</v>
      </c>
      <c r="BA249" s="289">
        <v>10535</v>
      </c>
      <c r="BB249" s="289">
        <v>0.646319018404908</v>
      </c>
      <c r="BC249" s="289">
        <v>0</v>
      </c>
      <c r="BD249" s="289">
        <v>0</v>
      </c>
      <c r="BE249" s="289">
        <v>16353</v>
      </c>
      <c r="BF249" s="289">
        <v>16300</v>
      </c>
      <c r="BG249" s="289">
        <v>-0.0032409955359872806</v>
      </c>
      <c r="BH249" s="289">
        <v>0</v>
      </c>
      <c r="BI249" s="289">
        <v>3</v>
      </c>
      <c r="BJ249" s="289">
        <v>0.00018404907975460124</v>
      </c>
      <c r="BK249" s="289">
        <v>2764047.3242018744</v>
      </c>
      <c r="BL249" s="289">
        <v>6417.51</v>
      </c>
      <c r="BM249" s="301">
        <v>5084</v>
      </c>
    </row>
    <row r="250" spans="6:65" s="289" customFormat="1" ht="12.75">
      <c r="F250" s="289">
        <v>561</v>
      </c>
      <c r="G250" s="289" t="s">
        <v>290</v>
      </c>
      <c r="H250" s="289">
        <v>120</v>
      </c>
      <c r="I250" s="289">
        <v>15</v>
      </c>
      <c r="J250" s="289">
        <v>135</v>
      </c>
      <c r="K250" s="289">
        <v>58</v>
      </c>
      <c r="L250" s="289">
        <v>1008</v>
      </c>
      <c r="M250" s="289">
        <v>144</v>
      </c>
      <c r="N250" s="289">
        <v>116</v>
      </c>
      <c r="O250" s="289">
        <v>46</v>
      </c>
      <c r="P250" s="289">
        <v>1434</v>
      </c>
      <c r="Q250" s="289">
        <v>0</v>
      </c>
      <c r="R250" s="289">
        <v>7</v>
      </c>
      <c r="S250" s="289">
        <v>117.61</v>
      </c>
      <c r="T250" s="289">
        <v>12.192840744834623</v>
      </c>
      <c r="U250" s="289">
        <v>0</v>
      </c>
      <c r="V250" s="289">
        <v>0</v>
      </c>
      <c r="W250" s="289">
        <v>598</v>
      </c>
      <c r="X250" s="289">
        <v>128</v>
      </c>
      <c r="Y250" s="289">
        <v>5</v>
      </c>
      <c r="Z250" s="289">
        <v>0.8171066181001577</v>
      </c>
      <c r="AA250" s="289">
        <v>0</v>
      </c>
      <c r="AB250" s="289">
        <v>2</v>
      </c>
      <c r="AC250" s="289">
        <v>0.8390541219194543</v>
      </c>
      <c r="AD250" s="289">
        <v>62</v>
      </c>
      <c r="AE250" s="289">
        <v>13</v>
      </c>
      <c r="AF250" s="289">
        <v>0</v>
      </c>
      <c r="AG250" s="289">
        <v>1</v>
      </c>
      <c r="AH250" s="289">
        <v>76</v>
      </c>
      <c r="AI250" s="289">
        <v>1.039131054428502</v>
      </c>
      <c r="AJ250" s="289">
        <v>647</v>
      </c>
      <c r="AK250" s="289">
        <v>44</v>
      </c>
      <c r="AL250" s="289">
        <v>0.6944450499463629</v>
      </c>
      <c r="AM250" s="289">
        <v>1.0195472648177506</v>
      </c>
      <c r="AN250" s="289">
        <v>0</v>
      </c>
      <c r="AO250" s="289">
        <v>0</v>
      </c>
      <c r="AP250" s="289">
        <f t="shared" si="2"/>
        <v>0</v>
      </c>
      <c r="AQ250" s="289">
        <v>69611.57795016142</v>
      </c>
      <c r="AR250" s="289">
        <v>890419.7352631578</v>
      </c>
      <c r="AS250" s="289">
        <v>1</v>
      </c>
      <c r="AT250" s="289">
        <v>1434</v>
      </c>
      <c r="AU250" s="289">
        <v>0</v>
      </c>
      <c r="AV250" s="289">
        <v>0</v>
      </c>
      <c r="AW250" s="289">
        <v>0</v>
      </c>
      <c r="AX250" s="289">
        <v>0</v>
      </c>
      <c r="AY250" s="289">
        <v>117.62</v>
      </c>
      <c r="AZ250" s="289">
        <v>12.191804114946438</v>
      </c>
      <c r="BA250" s="289">
        <v>744</v>
      </c>
      <c r="BB250" s="289">
        <v>0.5188284518828452</v>
      </c>
      <c r="BC250" s="289">
        <v>0</v>
      </c>
      <c r="BD250" s="289">
        <v>0</v>
      </c>
      <c r="BE250" s="289">
        <v>1403</v>
      </c>
      <c r="BF250" s="289">
        <v>1434</v>
      </c>
      <c r="BG250" s="289">
        <v>0.022095509622238062</v>
      </c>
      <c r="BH250" s="289">
        <v>0</v>
      </c>
      <c r="BI250" s="289">
        <v>0</v>
      </c>
      <c r="BJ250" s="289">
        <v>0</v>
      </c>
      <c r="BK250" s="289">
        <v>300448.9808391167</v>
      </c>
      <c r="BL250" s="289">
        <v>6806.06</v>
      </c>
      <c r="BM250" s="301">
        <v>457</v>
      </c>
    </row>
    <row r="251" spans="6:65" s="289" customFormat="1" ht="12.75">
      <c r="F251" s="289">
        <v>562</v>
      </c>
      <c r="G251" s="289" t="s">
        <v>291</v>
      </c>
      <c r="H251" s="289">
        <v>682</v>
      </c>
      <c r="I251" s="289">
        <v>121</v>
      </c>
      <c r="J251" s="289">
        <v>599</v>
      </c>
      <c r="K251" s="289">
        <v>338</v>
      </c>
      <c r="L251" s="289">
        <v>6490</v>
      </c>
      <c r="M251" s="289">
        <v>1267</v>
      </c>
      <c r="N251" s="289">
        <v>799</v>
      </c>
      <c r="O251" s="289">
        <v>333</v>
      </c>
      <c r="P251" s="289">
        <v>9571</v>
      </c>
      <c r="Q251" s="289">
        <v>2</v>
      </c>
      <c r="R251" s="289">
        <v>8</v>
      </c>
      <c r="S251" s="289">
        <v>799.57</v>
      </c>
      <c r="T251" s="289">
        <v>11.970183973885963</v>
      </c>
      <c r="U251" s="289">
        <v>0</v>
      </c>
      <c r="V251" s="289">
        <v>0</v>
      </c>
      <c r="W251" s="289">
        <v>3805</v>
      </c>
      <c r="X251" s="289">
        <v>297</v>
      </c>
      <c r="Y251" s="289">
        <v>52</v>
      </c>
      <c r="Z251" s="289">
        <v>0.9544342855881077</v>
      </c>
      <c r="AA251" s="289">
        <v>27</v>
      </c>
      <c r="AB251" s="289">
        <v>27</v>
      </c>
      <c r="AC251" s="289">
        <v>1.6971318301367375</v>
      </c>
      <c r="AD251" s="289">
        <v>491</v>
      </c>
      <c r="AE251" s="289">
        <v>77</v>
      </c>
      <c r="AF251" s="289">
        <v>17</v>
      </c>
      <c r="AG251" s="289">
        <v>13</v>
      </c>
      <c r="AH251" s="289">
        <v>598</v>
      </c>
      <c r="AI251" s="289">
        <v>1.2250385365965475</v>
      </c>
      <c r="AJ251" s="289">
        <v>4256</v>
      </c>
      <c r="AK251" s="289">
        <v>430</v>
      </c>
      <c r="AL251" s="289">
        <v>1.031706880903845</v>
      </c>
      <c r="AM251" s="289">
        <v>0.9889400593284758</v>
      </c>
      <c r="AN251" s="289">
        <v>0</v>
      </c>
      <c r="AO251" s="289">
        <v>0</v>
      </c>
      <c r="AP251" s="289">
        <f t="shared" si="2"/>
        <v>0</v>
      </c>
      <c r="AQ251" s="289">
        <v>-13207.785282626748</v>
      </c>
      <c r="AR251" s="289">
        <v>4767226.238375002</v>
      </c>
      <c r="AS251" s="289">
        <v>1</v>
      </c>
      <c r="AT251" s="289">
        <v>9571</v>
      </c>
      <c r="AU251" s="289">
        <v>0</v>
      </c>
      <c r="AV251" s="289">
        <v>0</v>
      </c>
      <c r="AW251" s="289">
        <v>0</v>
      </c>
      <c r="AX251" s="289">
        <v>0</v>
      </c>
      <c r="AY251" s="289">
        <v>799.56</v>
      </c>
      <c r="AZ251" s="289">
        <v>11.97033368352594</v>
      </c>
      <c r="BA251" s="289">
        <v>6708</v>
      </c>
      <c r="BB251" s="289">
        <v>0.70086720300909</v>
      </c>
      <c r="BC251" s="289">
        <v>0</v>
      </c>
      <c r="BD251" s="289">
        <v>0</v>
      </c>
      <c r="BE251" s="289">
        <v>9634</v>
      </c>
      <c r="BF251" s="289">
        <v>9571</v>
      </c>
      <c r="BG251" s="289">
        <v>-0.00653933983807349</v>
      </c>
      <c r="BH251" s="289">
        <v>0</v>
      </c>
      <c r="BI251" s="289">
        <v>0</v>
      </c>
      <c r="BJ251" s="289">
        <v>0</v>
      </c>
      <c r="BK251" s="289">
        <v>1938340.2275075312</v>
      </c>
      <c r="BL251" s="289">
        <v>6777.9</v>
      </c>
      <c r="BM251" s="301">
        <v>2780</v>
      </c>
    </row>
    <row r="252" spans="6:65" s="289" customFormat="1" ht="12.75">
      <c r="F252" s="289">
        <v>563</v>
      </c>
      <c r="G252" s="289" t="s">
        <v>292</v>
      </c>
      <c r="H252" s="289">
        <v>709</v>
      </c>
      <c r="I252" s="289">
        <v>106</v>
      </c>
      <c r="J252" s="289">
        <v>641</v>
      </c>
      <c r="K252" s="289">
        <v>314</v>
      </c>
      <c r="L252" s="289">
        <v>5501</v>
      </c>
      <c r="M252" s="289">
        <v>833</v>
      </c>
      <c r="N252" s="289">
        <v>573</v>
      </c>
      <c r="O252" s="289">
        <v>231</v>
      </c>
      <c r="P252" s="289">
        <v>7847</v>
      </c>
      <c r="Q252" s="289">
        <v>4</v>
      </c>
      <c r="R252" s="289">
        <v>8</v>
      </c>
      <c r="S252" s="289">
        <v>587.75</v>
      </c>
      <c r="T252" s="289">
        <v>13.350914504466184</v>
      </c>
      <c r="U252" s="289">
        <v>0</v>
      </c>
      <c r="V252" s="289">
        <v>0</v>
      </c>
      <c r="W252" s="289">
        <v>2940</v>
      </c>
      <c r="X252" s="289">
        <v>233</v>
      </c>
      <c r="Y252" s="289">
        <v>33</v>
      </c>
      <c r="Z252" s="289">
        <v>0.9557427926898496</v>
      </c>
      <c r="AA252" s="289">
        <v>12</v>
      </c>
      <c r="AB252" s="289">
        <v>12</v>
      </c>
      <c r="AC252" s="289">
        <v>0.9199976634376176</v>
      </c>
      <c r="AD252" s="289">
        <v>536</v>
      </c>
      <c r="AE252" s="289">
        <v>73</v>
      </c>
      <c r="AF252" s="289">
        <v>25</v>
      </c>
      <c r="AG252" s="289">
        <v>4</v>
      </c>
      <c r="AH252" s="289">
        <v>638</v>
      </c>
      <c r="AI252" s="289">
        <v>1.5941269688184574</v>
      </c>
      <c r="AJ252" s="289">
        <v>3302</v>
      </c>
      <c r="AK252" s="289">
        <v>384</v>
      </c>
      <c r="AL252" s="289">
        <v>1.1875274198080639</v>
      </c>
      <c r="AM252" s="289">
        <v>1.4793824182803466</v>
      </c>
      <c r="AN252" s="289">
        <v>0</v>
      </c>
      <c r="AO252" s="289">
        <v>0</v>
      </c>
      <c r="AP252" s="289">
        <f t="shared" si="2"/>
        <v>0</v>
      </c>
      <c r="AQ252" s="289">
        <v>-140909.5184260942</v>
      </c>
      <c r="AR252" s="289">
        <v>5334753.724166665</v>
      </c>
      <c r="AS252" s="289">
        <v>0</v>
      </c>
      <c r="AT252" s="289">
        <v>7847</v>
      </c>
      <c r="AU252" s="289">
        <v>0</v>
      </c>
      <c r="AV252" s="289">
        <v>0</v>
      </c>
      <c r="AW252" s="289">
        <v>0</v>
      </c>
      <c r="AX252" s="289">
        <v>0</v>
      </c>
      <c r="AY252" s="289">
        <v>587.6</v>
      </c>
      <c r="AZ252" s="289">
        <v>13.35432266848196</v>
      </c>
      <c r="BA252" s="289">
        <v>5626</v>
      </c>
      <c r="BB252" s="289">
        <v>0.716961896266089</v>
      </c>
      <c r="BC252" s="289">
        <v>0</v>
      </c>
      <c r="BD252" s="289">
        <v>0</v>
      </c>
      <c r="BE252" s="289">
        <v>7931</v>
      </c>
      <c r="BF252" s="289">
        <v>7847</v>
      </c>
      <c r="BG252" s="289">
        <v>-0.01059135039717564</v>
      </c>
      <c r="BH252" s="289">
        <v>0</v>
      </c>
      <c r="BI252" s="289">
        <v>2</v>
      </c>
      <c r="BJ252" s="289">
        <v>0.0002548744743213967</v>
      </c>
      <c r="BK252" s="289">
        <v>1355600.1693950223</v>
      </c>
      <c r="BL252" s="289">
        <v>6707.1</v>
      </c>
      <c r="BM252" s="301">
        <v>2861</v>
      </c>
    </row>
    <row r="253" spans="6:65" s="289" customFormat="1" ht="12.75">
      <c r="F253" s="289">
        <v>564</v>
      </c>
      <c r="G253" s="289" t="s">
        <v>293</v>
      </c>
      <c r="H253" s="289">
        <v>18867</v>
      </c>
      <c r="I253" s="289">
        <v>2611</v>
      </c>
      <c r="J253" s="289">
        <v>13917</v>
      </c>
      <c r="K253" s="289">
        <v>6545</v>
      </c>
      <c r="L253" s="289">
        <v>146942</v>
      </c>
      <c r="M253" s="289">
        <v>14327</v>
      </c>
      <c r="N253" s="289">
        <v>7995</v>
      </c>
      <c r="O253" s="289">
        <v>2716</v>
      </c>
      <c r="P253" s="289">
        <v>190847</v>
      </c>
      <c r="Q253" s="289">
        <v>62</v>
      </c>
      <c r="R253" s="289">
        <v>603</v>
      </c>
      <c r="S253" s="289">
        <v>3031</v>
      </c>
      <c r="T253" s="289">
        <v>62.965028043549985</v>
      </c>
      <c r="U253" s="289">
        <v>0</v>
      </c>
      <c r="V253" s="289">
        <v>0</v>
      </c>
      <c r="W253" s="289">
        <v>80710</v>
      </c>
      <c r="X253" s="289">
        <v>770</v>
      </c>
      <c r="Y253" s="289">
        <v>1137</v>
      </c>
      <c r="Z253" s="289">
        <v>1.0259881932269321</v>
      </c>
      <c r="AA253" s="289">
        <v>266</v>
      </c>
      <c r="AB253" s="289">
        <v>266</v>
      </c>
      <c r="AC253" s="289">
        <v>0.8385045625067314</v>
      </c>
      <c r="AD253" s="289">
        <v>7817</v>
      </c>
      <c r="AE253" s="289">
        <v>1347</v>
      </c>
      <c r="AF253" s="289">
        <v>710</v>
      </c>
      <c r="AG253" s="289">
        <v>56</v>
      </c>
      <c r="AH253" s="289">
        <v>9930</v>
      </c>
      <c r="AI253" s="289">
        <v>1.0201635303659604</v>
      </c>
      <c r="AJ253" s="289">
        <v>90289</v>
      </c>
      <c r="AK253" s="289">
        <v>11832</v>
      </c>
      <c r="AL253" s="289">
        <v>1.3381746816622662</v>
      </c>
      <c r="AM253" s="289">
        <v>1.1111886328151148</v>
      </c>
      <c r="AN253" s="289">
        <v>0</v>
      </c>
      <c r="AO253" s="289">
        <v>0</v>
      </c>
      <c r="AP253" s="289">
        <f t="shared" si="2"/>
        <v>0</v>
      </c>
      <c r="AQ253" s="289">
        <v>-1916537.577849215</v>
      </c>
      <c r="AR253" s="289">
        <v>-12742350.363578333</v>
      </c>
      <c r="AS253" s="289">
        <v>1</v>
      </c>
      <c r="AT253" s="289">
        <v>190847</v>
      </c>
      <c r="AU253" s="289">
        <v>0</v>
      </c>
      <c r="AV253" s="289">
        <v>0</v>
      </c>
      <c r="AW253" s="289">
        <v>0</v>
      </c>
      <c r="AX253" s="289">
        <v>0</v>
      </c>
      <c r="AY253" s="289">
        <v>3030.83</v>
      </c>
      <c r="AZ253" s="289">
        <v>62.96855976745644</v>
      </c>
      <c r="BA253" s="289">
        <v>181838</v>
      </c>
      <c r="BB253" s="289">
        <v>0.952794647020912</v>
      </c>
      <c r="BC253" s="289">
        <v>0</v>
      </c>
      <c r="BD253" s="289">
        <v>0</v>
      </c>
      <c r="BE253" s="289">
        <v>182528</v>
      </c>
      <c r="BF253" s="289">
        <v>190847</v>
      </c>
      <c r="BG253" s="289">
        <v>0.0455765690743338</v>
      </c>
      <c r="BH253" s="289">
        <v>0</v>
      </c>
      <c r="BI253" s="289">
        <v>93</v>
      </c>
      <c r="BJ253" s="289">
        <v>0.00048730134610447113</v>
      </c>
      <c r="BK253" s="289">
        <v>30576993.342940897</v>
      </c>
      <c r="BL253" s="289">
        <v>5970.88</v>
      </c>
      <c r="BM253" s="301">
        <v>58726</v>
      </c>
    </row>
    <row r="254" spans="6:65" s="289" customFormat="1" ht="12.75">
      <c r="F254" s="289">
        <v>576</v>
      </c>
      <c r="G254" s="289" t="s">
        <v>295</v>
      </c>
      <c r="H254" s="289">
        <v>171</v>
      </c>
      <c r="I254" s="289">
        <v>28</v>
      </c>
      <c r="J254" s="289">
        <v>171</v>
      </c>
      <c r="K254" s="289">
        <v>114</v>
      </c>
      <c r="L254" s="289">
        <v>2121</v>
      </c>
      <c r="M254" s="289">
        <v>550</v>
      </c>
      <c r="N254" s="289">
        <v>359</v>
      </c>
      <c r="O254" s="289">
        <v>132</v>
      </c>
      <c r="P254" s="289">
        <v>3333</v>
      </c>
      <c r="Q254" s="289">
        <v>0</v>
      </c>
      <c r="R254" s="289">
        <v>4</v>
      </c>
      <c r="S254" s="289">
        <v>523.1800000000001</v>
      </c>
      <c r="T254" s="289">
        <v>6.37065637065637</v>
      </c>
      <c r="U254" s="289">
        <v>0</v>
      </c>
      <c r="V254" s="289">
        <v>0</v>
      </c>
      <c r="W254" s="289">
        <v>1186</v>
      </c>
      <c r="X254" s="289">
        <v>132</v>
      </c>
      <c r="Y254" s="289">
        <v>24</v>
      </c>
      <c r="Z254" s="289">
        <v>0.912597962524454</v>
      </c>
      <c r="AA254" s="289">
        <v>0</v>
      </c>
      <c r="AB254" s="289">
        <v>2</v>
      </c>
      <c r="AC254" s="289">
        <v>0.3609971829680461</v>
      </c>
      <c r="AD254" s="289">
        <v>221</v>
      </c>
      <c r="AE254" s="289">
        <v>21</v>
      </c>
      <c r="AF254" s="289">
        <v>1</v>
      </c>
      <c r="AG254" s="289">
        <v>0</v>
      </c>
      <c r="AH254" s="289">
        <v>243</v>
      </c>
      <c r="AI254" s="289">
        <v>1.4294759166242863</v>
      </c>
      <c r="AJ254" s="289">
        <v>1348</v>
      </c>
      <c r="AK254" s="289">
        <v>120</v>
      </c>
      <c r="AL254" s="289">
        <v>0.909035501716948</v>
      </c>
      <c r="AM254" s="289">
        <v>1.1797863077619823</v>
      </c>
      <c r="AN254" s="289">
        <v>0</v>
      </c>
      <c r="AO254" s="289">
        <v>0</v>
      </c>
      <c r="AP254" s="289">
        <f t="shared" si="2"/>
        <v>0</v>
      </c>
      <c r="AQ254" s="289">
        <v>31367.59674635902</v>
      </c>
      <c r="AR254" s="289">
        <v>2365889.337088608</v>
      </c>
      <c r="AS254" s="289">
        <v>1</v>
      </c>
      <c r="AT254" s="289">
        <v>3333</v>
      </c>
      <c r="AU254" s="289">
        <v>0</v>
      </c>
      <c r="AV254" s="289">
        <v>0</v>
      </c>
      <c r="AW254" s="289">
        <v>0</v>
      </c>
      <c r="AX254" s="289">
        <v>0.3509333333333333</v>
      </c>
      <c r="AY254" s="289">
        <v>523.19</v>
      </c>
      <c r="AZ254" s="289">
        <v>6.370534605019208</v>
      </c>
      <c r="BA254" s="289">
        <v>1616</v>
      </c>
      <c r="BB254" s="289">
        <v>0.48484848484848486</v>
      </c>
      <c r="BC254" s="289">
        <v>0</v>
      </c>
      <c r="BD254" s="289">
        <v>0</v>
      </c>
      <c r="BE254" s="289">
        <v>3448</v>
      </c>
      <c r="BF254" s="289">
        <v>3333</v>
      </c>
      <c r="BG254" s="289">
        <v>-0.03335266821345707</v>
      </c>
      <c r="BH254" s="289">
        <v>0</v>
      </c>
      <c r="BI254" s="289">
        <v>0</v>
      </c>
      <c r="BJ254" s="289">
        <v>0</v>
      </c>
      <c r="BK254" s="289">
        <v>780899.0377150611</v>
      </c>
      <c r="BL254" s="289">
        <v>7207.56</v>
      </c>
      <c r="BM254" s="301">
        <v>803</v>
      </c>
    </row>
    <row r="255" spans="6:65" s="289" customFormat="1" ht="12.75">
      <c r="F255" s="289">
        <v>577</v>
      </c>
      <c r="G255" s="289" t="s">
        <v>296</v>
      </c>
      <c r="H255" s="289">
        <v>948</v>
      </c>
      <c r="I255" s="289">
        <v>117</v>
      </c>
      <c r="J255" s="289">
        <v>784</v>
      </c>
      <c r="K255" s="289">
        <v>394</v>
      </c>
      <c r="L255" s="289">
        <v>7754</v>
      </c>
      <c r="M255" s="289">
        <v>1089</v>
      </c>
      <c r="N255" s="289">
        <v>561</v>
      </c>
      <c r="O255" s="289">
        <v>239</v>
      </c>
      <c r="P255" s="289">
        <v>10591</v>
      </c>
      <c r="Q255" s="289">
        <v>10</v>
      </c>
      <c r="R255" s="289">
        <v>13</v>
      </c>
      <c r="S255" s="289">
        <v>238.35999999999999</v>
      </c>
      <c r="T255" s="289">
        <v>44.43279073670079</v>
      </c>
      <c r="U255" s="289">
        <v>0</v>
      </c>
      <c r="V255" s="289">
        <v>0</v>
      </c>
      <c r="W255" s="289">
        <v>4921</v>
      </c>
      <c r="X255" s="289">
        <v>208</v>
      </c>
      <c r="Y255" s="289">
        <v>42</v>
      </c>
      <c r="Z255" s="289">
        <v>0.9974323768712148</v>
      </c>
      <c r="AA255" s="289">
        <v>11</v>
      </c>
      <c r="AB255" s="289">
        <v>11</v>
      </c>
      <c r="AC255" s="289">
        <v>0.6248342800093227</v>
      </c>
      <c r="AD255" s="289">
        <v>360</v>
      </c>
      <c r="AE255" s="289">
        <v>110</v>
      </c>
      <c r="AF255" s="289">
        <v>22</v>
      </c>
      <c r="AG255" s="289">
        <v>5</v>
      </c>
      <c r="AH255" s="289">
        <v>497</v>
      </c>
      <c r="AI255" s="289">
        <v>0.9200793924199352</v>
      </c>
      <c r="AJ255" s="289">
        <v>5122</v>
      </c>
      <c r="AK255" s="289">
        <v>266</v>
      </c>
      <c r="AL255" s="289">
        <v>0.5303121205577941</v>
      </c>
      <c r="AM255" s="289">
        <v>0.7996740541370544</v>
      </c>
      <c r="AN255" s="289">
        <v>0</v>
      </c>
      <c r="AO255" s="289">
        <v>0</v>
      </c>
      <c r="AP255" s="289">
        <f t="shared" si="2"/>
        <v>0</v>
      </c>
      <c r="AQ255" s="289">
        <v>95634.59417682327</v>
      </c>
      <c r="AR255" s="289">
        <v>-859365.6081088613</v>
      </c>
      <c r="AS255" s="289">
        <v>1</v>
      </c>
      <c r="AT255" s="289">
        <v>10591</v>
      </c>
      <c r="AU255" s="289">
        <v>0</v>
      </c>
      <c r="AV255" s="289">
        <v>0</v>
      </c>
      <c r="AW255" s="289">
        <v>0</v>
      </c>
      <c r="AX255" s="289">
        <v>0</v>
      </c>
      <c r="AY255" s="289">
        <v>238.36</v>
      </c>
      <c r="AZ255" s="289">
        <v>44.43279073670079</v>
      </c>
      <c r="BA255" s="289">
        <v>8199</v>
      </c>
      <c r="BB255" s="289">
        <v>0.7741478613917477</v>
      </c>
      <c r="BC255" s="289">
        <v>0</v>
      </c>
      <c r="BD255" s="289">
        <v>0</v>
      </c>
      <c r="BE255" s="289">
        <v>10334</v>
      </c>
      <c r="BF255" s="289">
        <v>10591</v>
      </c>
      <c r="BG255" s="289">
        <v>0.02486936326688601</v>
      </c>
      <c r="BH255" s="289">
        <v>0</v>
      </c>
      <c r="BI255" s="289">
        <v>0</v>
      </c>
      <c r="BJ255" s="289">
        <v>0</v>
      </c>
      <c r="BK255" s="289">
        <v>1357695.2503768713</v>
      </c>
      <c r="BL255" s="289">
        <v>5957.37</v>
      </c>
      <c r="BM255" s="301">
        <v>3476</v>
      </c>
    </row>
    <row r="256" spans="6:65" s="289" customFormat="1" ht="12.75">
      <c r="F256" s="289">
        <v>578</v>
      </c>
      <c r="G256" s="289" t="s">
        <v>297</v>
      </c>
      <c r="H256" s="289">
        <v>237</v>
      </c>
      <c r="I256" s="289">
        <v>37</v>
      </c>
      <c r="J256" s="289">
        <v>226</v>
      </c>
      <c r="K256" s="289">
        <v>117</v>
      </c>
      <c r="L256" s="289">
        <v>2547</v>
      </c>
      <c r="M256" s="289">
        <v>510</v>
      </c>
      <c r="N256" s="289">
        <v>333</v>
      </c>
      <c r="O256" s="289">
        <v>116</v>
      </c>
      <c r="P256" s="289">
        <v>3743</v>
      </c>
      <c r="Q256" s="289">
        <v>0</v>
      </c>
      <c r="R256" s="289">
        <v>1</v>
      </c>
      <c r="S256" s="289">
        <v>918.5700000000002</v>
      </c>
      <c r="T256" s="289">
        <v>4.074811935943912</v>
      </c>
      <c r="U256" s="289">
        <v>0</v>
      </c>
      <c r="V256" s="289">
        <v>0</v>
      </c>
      <c r="W256" s="289">
        <v>1445</v>
      </c>
      <c r="X256" s="289">
        <v>127</v>
      </c>
      <c r="Y256" s="289">
        <v>20</v>
      </c>
      <c r="Z256" s="289">
        <v>0.9439169928129104</v>
      </c>
      <c r="AA256" s="289">
        <v>10</v>
      </c>
      <c r="AB256" s="289">
        <v>10</v>
      </c>
      <c r="AC256" s="289">
        <v>1.6072717216570898</v>
      </c>
      <c r="AD256" s="289">
        <v>302</v>
      </c>
      <c r="AE256" s="289">
        <v>23</v>
      </c>
      <c r="AF256" s="289">
        <v>10</v>
      </c>
      <c r="AG256" s="289">
        <v>0</v>
      </c>
      <c r="AH256" s="289">
        <v>335</v>
      </c>
      <c r="AI256" s="289">
        <v>1.7548130799840689</v>
      </c>
      <c r="AJ256" s="289">
        <v>1561</v>
      </c>
      <c r="AK256" s="289">
        <v>70</v>
      </c>
      <c r="AL256" s="289">
        <v>0.4579147445121247</v>
      </c>
      <c r="AM256" s="289">
        <v>1.5931801906919272</v>
      </c>
      <c r="AN256" s="289">
        <v>0</v>
      </c>
      <c r="AO256" s="289">
        <v>0</v>
      </c>
      <c r="AP256" s="289">
        <f t="shared" si="2"/>
        <v>0</v>
      </c>
      <c r="AQ256" s="289">
        <v>99190.47213805467</v>
      </c>
      <c r="AR256" s="289">
        <v>3410239.626219515</v>
      </c>
      <c r="AS256" s="289">
        <v>1</v>
      </c>
      <c r="AT256" s="289">
        <v>3743</v>
      </c>
      <c r="AU256" s="289">
        <v>0</v>
      </c>
      <c r="AV256" s="289">
        <v>0</v>
      </c>
      <c r="AW256" s="289">
        <v>0</v>
      </c>
      <c r="AX256" s="289">
        <v>0.06771666666666666</v>
      </c>
      <c r="AY256" s="289">
        <v>918.87</v>
      </c>
      <c r="AZ256" s="289">
        <v>4.073481558871222</v>
      </c>
      <c r="BA256" s="289">
        <v>2232</v>
      </c>
      <c r="BB256" s="289">
        <v>0.5963131178199306</v>
      </c>
      <c r="BC256" s="289">
        <v>0</v>
      </c>
      <c r="BD256" s="289">
        <v>0</v>
      </c>
      <c r="BE256" s="289">
        <v>3917</v>
      </c>
      <c r="BF256" s="289">
        <v>3743</v>
      </c>
      <c r="BG256" s="289">
        <v>-0.04442175134031146</v>
      </c>
      <c r="BH256" s="289">
        <v>0</v>
      </c>
      <c r="BI256" s="289">
        <v>0</v>
      </c>
      <c r="BJ256" s="289">
        <v>0</v>
      </c>
      <c r="BK256" s="289">
        <v>968780.0230722976</v>
      </c>
      <c r="BL256" s="289">
        <v>7513.61</v>
      </c>
      <c r="BM256" s="301">
        <v>1044</v>
      </c>
    </row>
    <row r="257" spans="6:65" s="289" customFormat="1" ht="12.75">
      <c r="F257" s="289">
        <v>580</v>
      </c>
      <c r="G257" s="289" t="s">
        <v>298</v>
      </c>
      <c r="H257" s="289">
        <v>253</v>
      </c>
      <c r="I257" s="289">
        <v>35</v>
      </c>
      <c r="J257" s="289">
        <v>224</v>
      </c>
      <c r="K257" s="289">
        <v>160</v>
      </c>
      <c r="L257" s="289">
        <v>3586</v>
      </c>
      <c r="M257" s="289">
        <v>910</v>
      </c>
      <c r="N257" s="289">
        <v>596</v>
      </c>
      <c r="O257" s="289">
        <v>246</v>
      </c>
      <c r="P257" s="289">
        <v>5591</v>
      </c>
      <c r="Q257" s="289">
        <v>2</v>
      </c>
      <c r="R257" s="289">
        <v>13</v>
      </c>
      <c r="S257" s="289">
        <v>592.9200000000001</v>
      </c>
      <c r="T257" s="289">
        <v>9.42960264453889</v>
      </c>
      <c r="U257" s="289">
        <v>1</v>
      </c>
      <c r="V257" s="289">
        <v>0</v>
      </c>
      <c r="W257" s="289">
        <v>1977</v>
      </c>
      <c r="X257" s="289">
        <v>366</v>
      </c>
      <c r="Y257" s="289">
        <v>45</v>
      </c>
      <c r="Z257" s="289">
        <v>0.8323616214847287</v>
      </c>
      <c r="AA257" s="289">
        <v>5</v>
      </c>
      <c r="AB257" s="289">
        <v>5</v>
      </c>
      <c r="AC257" s="289">
        <v>0.5380091266466185</v>
      </c>
      <c r="AD257" s="289">
        <v>389</v>
      </c>
      <c r="AE257" s="289">
        <v>16</v>
      </c>
      <c r="AF257" s="289">
        <v>3</v>
      </c>
      <c r="AG257" s="289">
        <v>2</v>
      </c>
      <c r="AH257" s="289">
        <v>410</v>
      </c>
      <c r="AI257" s="289">
        <v>1.4378058537233087</v>
      </c>
      <c r="AJ257" s="289">
        <v>2359</v>
      </c>
      <c r="AK257" s="289">
        <v>273</v>
      </c>
      <c r="AL257" s="289">
        <v>1.1817461522320323</v>
      </c>
      <c r="AM257" s="289">
        <v>1.2326589867502713</v>
      </c>
      <c r="AN257" s="289">
        <v>0</v>
      </c>
      <c r="AO257" s="289">
        <v>0</v>
      </c>
      <c r="AP257" s="289">
        <f t="shared" si="2"/>
        <v>0</v>
      </c>
      <c r="AQ257" s="289">
        <v>111271.02164894715</v>
      </c>
      <c r="AR257" s="289">
        <v>3874519.1345945965</v>
      </c>
      <c r="AS257" s="289">
        <v>0</v>
      </c>
      <c r="AT257" s="289">
        <v>5591</v>
      </c>
      <c r="AU257" s="289">
        <v>1</v>
      </c>
      <c r="AV257" s="289">
        <v>256</v>
      </c>
      <c r="AW257" s="289">
        <v>0.045787873367912714</v>
      </c>
      <c r="AX257" s="289">
        <v>0.4963166666666667</v>
      </c>
      <c r="AY257" s="289">
        <v>592.93</v>
      </c>
      <c r="AZ257" s="289">
        <v>9.429443610544247</v>
      </c>
      <c r="BA257" s="289">
        <v>2459</v>
      </c>
      <c r="BB257" s="289">
        <v>0.43981398676444283</v>
      </c>
      <c r="BC257" s="289">
        <v>0</v>
      </c>
      <c r="BD257" s="289">
        <v>0</v>
      </c>
      <c r="BE257" s="289">
        <v>5885</v>
      </c>
      <c r="BF257" s="289">
        <v>5591</v>
      </c>
      <c r="BG257" s="289">
        <v>-0.04995751911639762</v>
      </c>
      <c r="BH257" s="289">
        <v>0</v>
      </c>
      <c r="BI257" s="289">
        <v>0</v>
      </c>
      <c r="BJ257" s="289">
        <v>0</v>
      </c>
      <c r="BK257" s="289">
        <v>1656622.6605371952</v>
      </c>
      <c r="BL257" s="289">
        <v>6968.67</v>
      </c>
      <c r="BM257" s="301">
        <v>1254</v>
      </c>
    </row>
    <row r="258" spans="6:65" s="289" customFormat="1" ht="12.75">
      <c r="F258" s="289">
        <v>581</v>
      </c>
      <c r="G258" s="289" t="s">
        <v>299</v>
      </c>
      <c r="H258" s="289">
        <v>447</v>
      </c>
      <c r="I258" s="289">
        <v>64</v>
      </c>
      <c r="J258" s="289">
        <v>416</v>
      </c>
      <c r="K258" s="289">
        <v>227</v>
      </c>
      <c r="L258" s="289">
        <v>4688</v>
      </c>
      <c r="M258" s="289">
        <v>974</v>
      </c>
      <c r="N258" s="289">
        <v>582</v>
      </c>
      <c r="O258" s="289">
        <v>227</v>
      </c>
      <c r="P258" s="289">
        <v>6918</v>
      </c>
      <c r="Q258" s="289">
        <v>4</v>
      </c>
      <c r="R258" s="289">
        <v>15</v>
      </c>
      <c r="S258" s="289">
        <v>852.06</v>
      </c>
      <c r="T258" s="289">
        <v>8.119146538976128</v>
      </c>
      <c r="U258" s="289">
        <v>0</v>
      </c>
      <c r="V258" s="289">
        <v>0</v>
      </c>
      <c r="W258" s="289">
        <v>2710</v>
      </c>
      <c r="X258" s="289">
        <v>196</v>
      </c>
      <c r="Y258" s="289">
        <v>38</v>
      </c>
      <c r="Z258" s="289">
        <v>0.9600819583992083</v>
      </c>
      <c r="AA258" s="289">
        <v>9</v>
      </c>
      <c r="AB258" s="289">
        <v>9</v>
      </c>
      <c r="AC258" s="289">
        <v>0.7826562949907834</v>
      </c>
      <c r="AD258" s="289">
        <v>453</v>
      </c>
      <c r="AE258" s="289">
        <v>35</v>
      </c>
      <c r="AF258" s="289">
        <v>10</v>
      </c>
      <c r="AG258" s="289">
        <v>6</v>
      </c>
      <c r="AH258" s="289">
        <v>504</v>
      </c>
      <c r="AI258" s="289">
        <v>1.4284198006600588</v>
      </c>
      <c r="AJ258" s="289">
        <v>2968</v>
      </c>
      <c r="AK258" s="289">
        <v>246</v>
      </c>
      <c r="AL258" s="289">
        <v>0.8463708576295869</v>
      </c>
      <c r="AM258" s="289">
        <v>1.1549359913262454</v>
      </c>
      <c r="AN258" s="289">
        <v>0</v>
      </c>
      <c r="AO258" s="289">
        <v>0</v>
      </c>
      <c r="AP258" s="289">
        <f t="shared" si="2"/>
        <v>0</v>
      </c>
      <c r="AQ258" s="289">
        <v>-46909.599780224264</v>
      </c>
      <c r="AR258" s="289">
        <v>3461355.61902439</v>
      </c>
      <c r="AS258" s="289">
        <v>1</v>
      </c>
      <c r="AT258" s="289">
        <v>6918</v>
      </c>
      <c r="AU258" s="289">
        <v>0</v>
      </c>
      <c r="AV258" s="289">
        <v>0</v>
      </c>
      <c r="AW258" s="289">
        <v>0</v>
      </c>
      <c r="AX258" s="289">
        <v>0.23446666666666666</v>
      </c>
      <c r="AY258" s="289">
        <v>852.17</v>
      </c>
      <c r="AZ258" s="289">
        <v>8.118098501472712</v>
      </c>
      <c r="BA258" s="289">
        <v>4536</v>
      </c>
      <c r="BB258" s="289">
        <v>0.6556808326105811</v>
      </c>
      <c r="BC258" s="289">
        <v>0</v>
      </c>
      <c r="BD258" s="289">
        <v>0</v>
      </c>
      <c r="BE258" s="289">
        <v>7069</v>
      </c>
      <c r="BF258" s="289">
        <v>6918</v>
      </c>
      <c r="BG258" s="289">
        <v>-0.021360871410383363</v>
      </c>
      <c r="BH258" s="289">
        <v>0</v>
      </c>
      <c r="BI258" s="289">
        <v>0</v>
      </c>
      <c r="BJ258" s="289">
        <v>0</v>
      </c>
      <c r="BK258" s="289">
        <v>1446038.6429349594</v>
      </c>
      <c r="BL258" s="289">
        <v>7067.23</v>
      </c>
      <c r="BM258" s="301">
        <v>1995</v>
      </c>
    </row>
    <row r="259" spans="6:65" s="289" customFormat="1" ht="12.75">
      <c r="F259" s="289">
        <v>583</v>
      </c>
      <c r="G259" s="289" t="s">
        <v>301</v>
      </c>
      <c r="H259" s="289">
        <v>35</v>
      </c>
      <c r="I259" s="289">
        <v>7</v>
      </c>
      <c r="J259" s="289">
        <v>25</v>
      </c>
      <c r="K259" s="289">
        <v>22</v>
      </c>
      <c r="L259" s="289">
        <v>643</v>
      </c>
      <c r="M259" s="289">
        <v>157</v>
      </c>
      <c r="N259" s="289">
        <v>104</v>
      </c>
      <c r="O259" s="289">
        <v>24</v>
      </c>
      <c r="P259" s="289">
        <v>963</v>
      </c>
      <c r="Q259" s="289">
        <v>0</v>
      </c>
      <c r="R259" s="289">
        <v>1</v>
      </c>
      <c r="S259" s="289">
        <v>1836.1699999999998</v>
      </c>
      <c r="T259" s="289">
        <v>0.5244612426953932</v>
      </c>
      <c r="U259" s="289">
        <v>0</v>
      </c>
      <c r="V259" s="289">
        <v>0</v>
      </c>
      <c r="W259" s="289">
        <v>358</v>
      </c>
      <c r="X259" s="289">
        <v>29</v>
      </c>
      <c r="Y259" s="289">
        <v>5</v>
      </c>
      <c r="Z259" s="289">
        <v>0.9510184505925499</v>
      </c>
      <c r="AA259" s="289">
        <v>0</v>
      </c>
      <c r="AB259" s="289">
        <v>2</v>
      </c>
      <c r="AC259" s="289">
        <v>1.2494326176869133</v>
      </c>
      <c r="AD259" s="289">
        <v>68</v>
      </c>
      <c r="AF259" s="289">
        <v>3</v>
      </c>
      <c r="AG259" s="289">
        <v>2</v>
      </c>
      <c r="AH259" s="289">
        <v>73</v>
      </c>
      <c r="AI259" s="289">
        <v>1.4862862359906603</v>
      </c>
      <c r="AJ259" s="289">
        <v>445</v>
      </c>
      <c r="AK259" s="289">
        <v>78</v>
      </c>
      <c r="AL259" s="289">
        <v>1.7898806889986287</v>
      </c>
      <c r="AM259" s="289">
        <v>2.00458956802701</v>
      </c>
      <c r="AN259" s="289">
        <v>0.17</v>
      </c>
      <c r="AO259" s="289">
        <v>0</v>
      </c>
      <c r="AP259" s="289">
        <f t="shared" si="2"/>
        <v>0.17</v>
      </c>
      <c r="AQ259" s="289">
        <v>326846.61793812085</v>
      </c>
      <c r="AR259" s="289">
        <v>439046.1198734177</v>
      </c>
      <c r="AS259" s="289">
        <v>0</v>
      </c>
      <c r="AT259" s="289">
        <v>963</v>
      </c>
      <c r="AU259" s="289">
        <v>0</v>
      </c>
      <c r="AV259" s="289">
        <v>0</v>
      </c>
      <c r="AW259" s="289">
        <v>0</v>
      </c>
      <c r="AX259" s="289">
        <v>1.6671333333333334</v>
      </c>
      <c r="AY259" s="289">
        <v>1836.34</v>
      </c>
      <c r="AZ259" s="289">
        <v>0.5244126904603723</v>
      </c>
      <c r="BA259" s="289">
        <v>374</v>
      </c>
      <c r="BB259" s="289">
        <v>0.3883696780893043</v>
      </c>
      <c r="BC259" s="289">
        <v>0</v>
      </c>
      <c r="BD259" s="289">
        <v>0</v>
      </c>
      <c r="BE259" s="289">
        <v>1025</v>
      </c>
      <c r="BF259" s="289">
        <v>963</v>
      </c>
      <c r="BG259" s="289">
        <v>-0.06048780487804878</v>
      </c>
      <c r="BH259" s="289">
        <v>1</v>
      </c>
      <c r="BI259" s="289">
        <v>2</v>
      </c>
      <c r="BJ259" s="289">
        <v>0.0020768431983385254</v>
      </c>
      <c r="BK259" s="289">
        <v>320080.2481425827</v>
      </c>
      <c r="BL259" s="289">
        <v>9359.71</v>
      </c>
      <c r="BM259" s="301">
        <v>171</v>
      </c>
    </row>
    <row r="260" spans="6:65" s="289" customFormat="1" ht="12.75">
      <c r="F260" s="289">
        <v>584</v>
      </c>
      <c r="G260" s="289" t="s">
        <v>303</v>
      </c>
      <c r="H260" s="289">
        <v>367</v>
      </c>
      <c r="I260" s="289">
        <v>58</v>
      </c>
      <c r="J260" s="289">
        <v>290</v>
      </c>
      <c r="K260" s="289">
        <v>143</v>
      </c>
      <c r="L260" s="289">
        <v>2024</v>
      </c>
      <c r="M260" s="289">
        <v>277</v>
      </c>
      <c r="N260" s="289">
        <v>182</v>
      </c>
      <c r="O260" s="289">
        <v>73</v>
      </c>
      <c r="P260" s="289">
        <v>2923</v>
      </c>
      <c r="Q260" s="289">
        <v>3</v>
      </c>
      <c r="R260" s="289">
        <v>3</v>
      </c>
      <c r="S260" s="289">
        <v>747.9200000000001</v>
      </c>
      <c r="T260" s="289">
        <v>3.908171997005027</v>
      </c>
      <c r="U260" s="289">
        <v>0</v>
      </c>
      <c r="V260" s="289">
        <v>0</v>
      </c>
      <c r="W260" s="289">
        <v>993</v>
      </c>
      <c r="X260" s="289">
        <v>197</v>
      </c>
      <c r="Y260" s="289">
        <v>11</v>
      </c>
      <c r="Z260" s="289">
        <v>0.8307060384730902</v>
      </c>
      <c r="AA260" s="289">
        <v>0</v>
      </c>
      <c r="AB260" s="289">
        <v>2</v>
      </c>
      <c r="AC260" s="289">
        <v>0.4116331203669167</v>
      </c>
      <c r="AD260" s="289">
        <v>189</v>
      </c>
      <c r="AE260" s="289">
        <v>36</v>
      </c>
      <c r="AF260" s="289">
        <v>4</v>
      </c>
      <c r="AG260" s="289">
        <v>3</v>
      </c>
      <c r="AH260" s="289">
        <v>232</v>
      </c>
      <c r="AI260" s="289">
        <v>1.5561987154316468</v>
      </c>
      <c r="AJ260" s="289">
        <v>1151</v>
      </c>
      <c r="AK260" s="289">
        <v>113</v>
      </c>
      <c r="AL260" s="289">
        <v>1.0025189962607326</v>
      </c>
      <c r="AM260" s="289">
        <v>1.311100186916145</v>
      </c>
      <c r="AN260" s="289">
        <v>0.05</v>
      </c>
      <c r="AO260" s="289">
        <v>0</v>
      </c>
      <c r="AP260" s="289">
        <f t="shared" si="2"/>
        <v>0.05</v>
      </c>
      <c r="AQ260" s="289">
        <v>40403.31963919662</v>
      </c>
      <c r="AR260" s="289">
        <v>3119112.801585366</v>
      </c>
      <c r="AS260" s="289">
        <v>1</v>
      </c>
      <c r="AT260" s="289">
        <v>2923</v>
      </c>
      <c r="AU260" s="289">
        <v>0</v>
      </c>
      <c r="AV260" s="289">
        <v>0</v>
      </c>
      <c r="AW260" s="289">
        <v>0</v>
      </c>
      <c r="AX260" s="289">
        <v>0.9480999999999999</v>
      </c>
      <c r="AY260" s="289">
        <v>747.94</v>
      </c>
      <c r="AZ260" s="289">
        <v>3.908067492044816</v>
      </c>
      <c r="BA260" s="289">
        <v>1127</v>
      </c>
      <c r="BB260" s="289">
        <v>0.3855627779678413</v>
      </c>
      <c r="BC260" s="289">
        <v>0</v>
      </c>
      <c r="BD260" s="289">
        <v>0</v>
      </c>
      <c r="BE260" s="289">
        <v>2986</v>
      </c>
      <c r="BF260" s="289">
        <v>2923</v>
      </c>
      <c r="BG260" s="289">
        <v>-0.021098459477561955</v>
      </c>
      <c r="BH260" s="289">
        <v>0</v>
      </c>
      <c r="BI260" s="289">
        <v>0</v>
      </c>
      <c r="BJ260" s="289">
        <v>0</v>
      </c>
      <c r="BK260" s="289">
        <v>644550.7087612287</v>
      </c>
      <c r="BL260" s="289">
        <v>7581.68</v>
      </c>
      <c r="BM260" s="301">
        <v>1252</v>
      </c>
    </row>
    <row r="261" spans="6:65" s="289" customFormat="1" ht="12.75">
      <c r="F261" s="289">
        <v>588</v>
      </c>
      <c r="G261" s="289" t="s">
        <v>304</v>
      </c>
      <c r="H261" s="289">
        <v>97</v>
      </c>
      <c r="I261" s="289">
        <v>16</v>
      </c>
      <c r="J261" s="289">
        <v>114</v>
      </c>
      <c r="K261" s="289">
        <v>50</v>
      </c>
      <c r="L261" s="289">
        <v>1182</v>
      </c>
      <c r="M261" s="289">
        <v>299</v>
      </c>
      <c r="N261" s="289">
        <v>192</v>
      </c>
      <c r="O261" s="289">
        <v>87</v>
      </c>
      <c r="P261" s="289">
        <v>1857</v>
      </c>
      <c r="Q261" s="289">
        <v>0</v>
      </c>
      <c r="R261" s="289">
        <v>1</v>
      </c>
      <c r="S261" s="289">
        <v>374.49</v>
      </c>
      <c r="T261" s="289">
        <v>4.958743891692702</v>
      </c>
      <c r="U261" s="289">
        <v>0</v>
      </c>
      <c r="V261" s="289">
        <v>0</v>
      </c>
      <c r="W261" s="289">
        <v>689</v>
      </c>
      <c r="X261" s="289">
        <v>124</v>
      </c>
      <c r="Y261" s="289">
        <v>9</v>
      </c>
      <c r="Z261" s="289">
        <v>0.8479739851706081</v>
      </c>
      <c r="AA261" s="289">
        <v>1</v>
      </c>
      <c r="AB261" s="289">
        <v>2</v>
      </c>
      <c r="AC261" s="289">
        <v>0.6479287080411942</v>
      </c>
      <c r="AD261" s="289">
        <v>97</v>
      </c>
      <c r="AE261" s="289">
        <v>15</v>
      </c>
      <c r="AF261" s="289">
        <v>6</v>
      </c>
      <c r="AG261" s="289">
        <v>3</v>
      </c>
      <c r="AH261" s="289">
        <v>121</v>
      </c>
      <c r="AI261" s="289">
        <v>1.277554245515596</v>
      </c>
      <c r="AJ261" s="289">
        <v>781</v>
      </c>
      <c r="AK261" s="289">
        <v>83</v>
      </c>
      <c r="AL261" s="289">
        <v>1.085216902199093</v>
      </c>
      <c r="AM261" s="289">
        <v>1.3484303453491617</v>
      </c>
      <c r="AN261" s="289">
        <v>0</v>
      </c>
      <c r="AO261" s="289">
        <v>0</v>
      </c>
      <c r="AP261" s="289">
        <f t="shared" si="2"/>
        <v>0</v>
      </c>
      <c r="AQ261" s="289">
        <v>63048.20871804934</v>
      </c>
      <c r="AR261" s="289">
        <v>1785382.740625</v>
      </c>
      <c r="AS261" s="289">
        <v>1</v>
      </c>
      <c r="AT261" s="289">
        <v>1857</v>
      </c>
      <c r="AU261" s="289">
        <v>0</v>
      </c>
      <c r="AV261" s="289">
        <v>0</v>
      </c>
      <c r="AW261" s="289">
        <v>0</v>
      </c>
      <c r="AX261" s="289">
        <v>0.20413333333333333</v>
      </c>
      <c r="AY261" s="289">
        <v>374.48</v>
      </c>
      <c r="AZ261" s="289">
        <v>4.958876308481093</v>
      </c>
      <c r="BA261" s="289">
        <v>763</v>
      </c>
      <c r="BB261" s="289">
        <v>0.41087775982767905</v>
      </c>
      <c r="BC261" s="289">
        <v>0</v>
      </c>
      <c r="BD261" s="289">
        <v>0</v>
      </c>
      <c r="BE261" s="289">
        <v>1983</v>
      </c>
      <c r="BF261" s="289">
        <v>1857</v>
      </c>
      <c r="BG261" s="289">
        <v>-0.06354009077155824</v>
      </c>
      <c r="BH261" s="289">
        <v>1</v>
      </c>
      <c r="BI261" s="289">
        <v>0</v>
      </c>
      <c r="BJ261" s="289">
        <v>0</v>
      </c>
      <c r="BK261" s="289">
        <v>444016.63791739364</v>
      </c>
      <c r="BL261" s="289">
        <v>7391.66</v>
      </c>
      <c r="BM261" s="301">
        <v>426</v>
      </c>
    </row>
    <row r="262" spans="6:65" s="289" customFormat="1" ht="12.75">
      <c r="F262" s="289">
        <v>592</v>
      </c>
      <c r="G262" s="289" t="s">
        <v>305</v>
      </c>
      <c r="H262" s="289">
        <v>390</v>
      </c>
      <c r="I262" s="289">
        <v>54</v>
      </c>
      <c r="J262" s="289">
        <v>325</v>
      </c>
      <c r="K262" s="289">
        <v>144</v>
      </c>
      <c r="L262" s="289">
        <v>2872</v>
      </c>
      <c r="M262" s="289">
        <v>448</v>
      </c>
      <c r="N262" s="289">
        <v>267</v>
      </c>
      <c r="O262" s="289">
        <v>118</v>
      </c>
      <c r="P262" s="289">
        <v>4095</v>
      </c>
      <c r="Q262" s="289">
        <v>0</v>
      </c>
      <c r="R262" s="289">
        <v>1</v>
      </c>
      <c r="S262" s="289">
        <v>456.39000000000004</v>
      </c>
      <c r="T262" s="289">
        <v>8.97258923289292</v>
      </c>
      <c r="U262" s="289">
        <v>0</v>
      </c>
      <c r="V262" s="289">
        <v>0</v>
      </c>
      <c r="W262" s="289">
        <v>1552</v>
      </c>
      <c r="X262" s="289">
        <v>161</v>
      </c>
      <c r="Y262" s="289">
        <v>18</v>
      </c>
      <c r="Z262" s="289">
        <v>0.9296206867553581</v>
      </c>
      <c r="AA262" s="289">
        <v>6</v>
      </c>
      <c r="AB262" s="289">
        <v>6</v>
      </c>
      <c r="AC262" s="289">
        <v>0.8814678467637345</v>
      </c>
      <c r="AD262" s="289">
        <v>235</v>
      </c>
      <c r="AE262" s="289">
        <v>24</v>
      </c>
      <c r="AF262" s="289">
        <v>11</v>
      </c>
      <c r="AG262" s="289">
        <v>0</v>
      </c>
      <c r="AH262" s="289">
        <v>270</v>
      </c>
      <c r="AI262" s="289">
        <v>1.2927535558563956</v>
      </c>
      <c r="AJ262" s="289">
        <v>1772</v>
      </c>
      <c r="AK262" s="289">
        <v>184</v>
      </c>
      <c r="AL262" s="289">
        <v>1.0603362187822518</v>
      </c>
      <c r="AM262" s="289">
        <v>1.1120136895576473</v>
      </c>
      <c r="AN262" s="289">
        <v>0</v>
      </c>
      <c r="AO262" s="289">
        <v>0</v>
      </c>
      <c r="AP262" s="289">
        <f t="shared" si="2"/>
        <v>0</v>
      </c>
      <c r="AQ262" s="289">
        <v>36948.840584326535</v>
      </c>
      <c r="AR262" s="289">
        <v>3049836.403048783</v>
      </c>
      <c r="AS262" s="289">
        <v>1</v>
      </c>
      <c r="AT262" s="289">
        <v>4095</v>
      </c>
      <c r="AU262" s="289">
        <v>0</v>
      </c>
      <c r="AV262" s="289">
        <v>0</v>
      </c>
      <c r="AW262" s="289">
        <v>0</v>
      </c>
      <c r="AX262" s="289">
        <v>0</v>
      </c>
      <c r="AY262" s="289">
        <v>456.38</v>
      </c>
      <c r="AZ262" s="289">
        <v>8.972785836364434</v>
      </c>
      <c r="BA262" s="289">
        <v>2113</v>
      </c>
      <c r="BB262" s="289">
        <v>0.515995115995116</v>
      </c>
      <c r="BC262" s="289">
        <v>0</v>
      </c>
      <c r="BD262" s="289">
        <v>0</v>
      </c>
      <c r="BE262" s="289">
        <v>3979</v>
      </c>
      <c r="BF262" s="289">
        <v>4095</v>
      </c>
      <c r="BG262" s="289">
        <v>0.029153053531037948</v>
      </c>
      <c r="BH262" s="289">
        <v>0</v>
      </c>
      <c r="BI262" s="289">
        <v>0</v>
      </c>
      <c r="BJ262" s="289">
        <v>0</v>
      </c>
      <c r="BK262" s="289">
        <v>874430.5648255623</v>
      </c>
      <c r="BL262" s="289">
        <v>6973.89</v>
      </c>
      <c r="BM262" s="301">
        <v>1311</v>
      </c>
    </row>
    <row r="263" spans="6:65" s="289" customFormat="1" ht="12.75">
      <c r="F263" s="289">
        <v>593</v>
      </c>
      <c r="G263" s="289" t="s">
        <v>306</v>
      </c>
      <c r="H263" s="289">
        <v>1076</v>
      </c>
      <c r="I263" s="289">
        <v>164</v>
      </c>
      <c r="J263" s="289">
        <v>1017</v>
      </c>
      <c r="K263" s="289">
        <v>619</v>
      </c>
      <c r="L263" s="289">
        <v>13322</v>
      </c>
      <c r="M263" s="289">
        <v>2617</v>
      </c>
      <c r="N263" s="289">
        <v>1743</v>
      </c>
      <c r="O263" s="289">
        <v>649</v>
      </c>
      <c r="P263" s="289">
        <v>19407</v>
      </c>
      <c r="Q263" s="289">
        <v>3</v>
      </c>
      <c r="R263" s="289">
        <v>29</v>
      </c>
      <c r="S263" s="289">
        <v>1568.6399999999999</v>
      </c>
      <c r="T263" s="289">
        <v>12.3718635250918</v>
      </c>
      <c r="U263" s="289">
        <v>0</v>
      </c>
      <c r="V263" s="289">
        <v>0</v>
      </c>
      <c r="W263" s="289">
        <v>7604</v>
      </c>
      <c r="X263" s="289">
        <v>506</v>
      </c>
      <c r="Y263" s="289">
        <v>120</v>
      </c>
      <c r="Z263" s="289">
        <v>0.9643081028942138</v>
      </c>
      <c r="AA263" s="289">
        <v>33</v>
      </c>
      <c r="AB263" s="289">
        <v>33</v>
      </c>
      <c r="AC263" s="289">
        <v>1.022974162865781</v>
      </c>
      <c r="AD263" s="289">
        <v>1306</v>
      </c>
      <c r="AE263" s="289">
        <v>109</v>
      </c>
      <c r="AF263" s="289">
        <v>44</v>
      </c>
      <c r="AG263" s="289">
        <v>12</v>
      </c>
      <c r="AH263" s="289">
        <v>1471</v>
      </c>
      <c r="AI263" s="289">
        <v>1.4861414587562303</v>
      </c>
      <c r="AJ263" s="289">
        <v>8496</v>
      </c>
      <c r="AK263" s="289">
        <v>783</v>
      </c>
      <c r="AL263" s="289">
        <v>0.9411021142245479</v>
      </c>
      <c r="AM263" s="289">
        <v>1.5740704007245467</v>
      </c>
      <c r="AN263" s="289">
        <v>0</v>
      </c>
      <c r="AO263" s="289">
        <v>0</v>
      </c>
      <c r="AP263" s="289">
        <f t="shared" si="2"/>
        <v>0</v>
      </c>
      <c r="AQ263" s="289">
        <v>-146001.90130151063</v>
      </c>
      <c r="AR263" s="289">
        <v>6813520.707468359</v>
      </c>
      <c r="AS263" s="289">
        <v>1</v>
      </c>
      <c r="AT263" s="289">
        <v>19407</v>
      </c>
      <c r="AU263" s="289">
        <v>0</v>
      </c>
      <c r="AV263" s="289">
        <v>0</v>
      </c>
      <c r="AW263" s="289">
        <v>0</v>
      </c>
      <c r="AX263" s="289">
        <v>0</v>
      </c>
      <c r="AY263" s="289">
        <v>1568.57</v>
      </c>
      <c r="AZ263" s="289">
        <v>12.372415639722805</v>
      </c>
      <c r="BA263" s="289">
        <v>14491</v>
      </c>
      <c r="BB263" s="289">
        <v>0.7466893388983357</v>
      </c>
      <c r="BC263" s="289">
        <v>0</v>
      </c>
      <c r="BD263" s="289">
        <v>0</v>
      </c>
      <c r="BE263" s="289">
        <v>20151</v>
      </c>
      <c r="BF263" s="289">
        <v>19407</v>
      </c>
      <c r="BG263" s="289">
        <v>-0.036921244603245494</v>
      </c>
      <c r="BH263" s="289">
        <v>0</v>
      </c>
      <c r="BI263" s="289">
        <v>0</v>
      </c>
      <c r="BJ263" s="289">
        <v>0</v>
      </c>
      <c r="BK263" s="289">
        <v>3541595.0221929452</v>
      </c>
      <c r="BL263" s="289">
        <v>6766.11</v>
      </c>
      <c r="BM263" s="301">
        <v>5405</v>
      </c>
    </row>
    <row r="264" spans="6:65" s="289" customFormat="1" ht="12.75">
      <c r="F264" s="289">
        <v>595</v>
      </c>
      <c r="G264" s="289" t="s">
        <v>307</v>
      </c>
      <c r="H264" s="289">
        <v>325</v>
      </c>
      <c r="I264" s="289">
        <v>54</v>
      </c>
      <c r="J264" s="289">
        <v>286</v>
      </c>
      <c r="K264" s="289">
        <v>160</v>
      </c>
      <c r="L264" s="289">
        <v>3143</v>
      </c>
      <c r="M264" s="289">
        <v>695</v>
      </c>
      <c r="N264" s="289">
        <v>551</v>
      </c>
      <c r="O264" s="289">
        <v>212</v>
      </c>
      <c r="P264" s="289">
        <v>4926</v>
      </c>
      <c r="Q264" s="289">
        <v>1</v>
      </c>
      <c r="R264" s="289">
        <v>12</v>
      </c>
      <c r="S264" s="289">
        <v>1153.23</v>
      </c>
      <c r="T264" s="289">
        <v>4.271480970838428</v>
      </c>
      <c r="U264" s="289">
        <v>0</v>
      </c>
      <c r="V264" s="289">
        <v>0</v>
      </c>
      <c r="W264" s="289">
        <v>1652</v>
      </c>
      <c r="X264" s="289">
        <v>405</v>
      </c>
      <c r="Y264" s="289">
        <v>24</v>
      </c>
      <c r="Z264" s="289">
        <v>0.7779351110078664</v>
      </c>
      <c r="AA264" s="289">
        <v>5</v>
      </c>
      <c r="AB264" s="289">
        <v>5</v>
      </c>
      <c r="AC264" s="289">
        <v>0.6106392665613569</v>
      </c>
      <c r="AD264" s="289">
        <v>438</v>
      </c>
      <c r="AE264" s="289">
        <v>24</v>
      </c>
      <c r="AF264" s="289">
        <v>8</v>
      </c>
      <c r="AG264" s="289">
        <v>2</v>
      </c>
      <c r="AH264" s="289">
        <v>472</v>
      </c>
      <c r="AI264" s="289">
        <v>1.8786828640933786</v>
      </c>
      <c r="AJ264" s="289">
        <v>1877</v>
      </c>
      <c r="AK264" s="289">
        <v>217</v>
      </c>
      <c r="AL264" s="289">
        <v>1.1805515397808326</v>
      </c>
      <c r="AM264" s="289">
        <v>1.773177546441548</v>
      </c>
      <c r="AN264" s="289">
        <v>0</v>
      </c>
      <c r="AO264" s="289">
        <v>0</v>
      </c>
      <c r="AP264" s="289">
        <f t="shared" si="2"/>
        <v>0</v>
      </c>
      <c r="AQ264" s="289">
        <v>172400.20626162738</v>
      </c>
      <c r="AR264" s="289">
        <v>4716843.085443039</v>
      </c>
      <c r="AS264" s="289">
        <v>1</v>
      </c>
      <c r="AT264" s="289">
        <v>4926</v>
      </c>
      <c r="AU264" s="289">
        <v>0</v>
      </c>
      <c r="AV264" s="289">
        <v>0</v>
      </c>
      <c r="AW264" s="289">
        <v>0</v>
      </c>
      <c r="AX264" s="289">
        <v>0.4548</v>
      </c>
      <c r="AY264" s="289">
        <v>1153.23</v>
      </c>
      <c r="AZ264" s="289">
        <v>4.271480970838428</v>
      </c>
      <c r="BA264" s="289">
        <v>2093</v>
      </c>
      <c r="BB264" s="289">
        <v>0.42488834754364596</v>
      </c>
      <c r="BC264" s="289">
        <v>0</v>
      </c>
      <c r="BD264" s="289">
        <v>0</v>
      </c>
      <c r="BE264" s="289">
        <v>5147</v>
      </c>
      <c r="BF264" s="289">
        <v>4926</v>
      </c>
      <c r="BG264" s="289">
        <v>-0.04293763357295512</v>
      </c>
      <c r="BH264" s="289">
        <v>0</v>
      </c>
      <c r="BI264" s="289">
        <v>0</v>
      </c>
      <c r="BJ264" s="289">
        <v>0</v>
      </c>
      <c r="BK264" s="289">
        <v>1164597.2443097455</v>
      </c>
      <c r="BL264" s="289">
        <v>7507.56</v>
      </c>
      <c r="BM264" s="301">
        <v>1318</v>
      </c>
    </row>
    <row r="265" spans="6:65" s="289" customFormat="1" ht="12.75">
      <c r="F265" s="289">
        <v>598</v>
      </c>
      <c r="G265" s="289" t="s">
        <v>308</v>
      </c>
      <c r="H265" s="289">
        <v>1479</v>
      </c>
      <c r="I265" s="289">
        <v>235</v>
      </c>
      <c r="J265" s="289">
        <v>1275</v>
      </c>
      <c r="K265" s="289">
        <v>685</v>
      </c>
      <c r="L265" s="289">
        <v>13828</v>
      </c>
      <c r="M265" s="289">
        <v>2336</v>
      </c>
      <c r="N265" s="289">
        <v>1441</v>
      </c>
      <c r="O265" s="289">
        <v>596</v>
      </c>
      <c r="P265" s="289">
        <v>19680</v>
      </c>
      <c r="Q265" s="289">
        <v>1267</v>
      </c>
      <c r="R265" s="289">
        <v>154</v>
      </c>
      <c r="S265" s="289">
        <v>88.41000000000003</v>
      </c>
      <c r="T265" s="289">
        <v>222.59925347811327</v>
      </c>
      <c r="U265" s="289">
        <v>0</v>
      </c>
      <c r="V265" s="289">
        <v>3</v>
      </c>
      <c r="W265" s="289">
        <v>8192</v>
      </c>
      <c r="X265" s="289">
        <v>96</v>
      </c>
      <c r="Y265" s="289">
        <v>65</v>
      </c>
      <c r="Z265" s="289">
        <v>1.0301646462001994</v>
      </c>
      <c r="AA265" s="289">
        <v>30</v>
      </c>
      <c r="AB265" s="289">
        <v>30</v>
      </c>
      <c r="AC265" s="289">
        <v>0.9170759228906231</v>
      </c>
      <c r="AD265" s="289">
        <v>984</v>
      </c>
      <c r="AE265" s="289">
        <v>109</v>
      </c>
      <c r="AF265" s="289">
        <v>47</v>
      </c>
      <c r="AG265" s="289">
        <v>3</v>
      </c>
      <c r="AH265" s="289">
        <v>1143</v>
      </c>
      <c r="AI265" s="289">
        <v>1.1387464058713692</v>
      </c>
      <c r="AJ265" s="289">
        <v>8887</v>
      </c>
      <c r="AK265" s="289">
        <v>779</v>
      </c>
      <c r="AL265" s="289">
        <v>0.8951004351571146</v>
      </c>
      <c r="AM265" s="289">
        <v>1.078036581772842</v>
      </c>
      <c r="AN265" s="289">
        <v>0</v>
      </c>
      <c r="AO265" s="289">
        <v>0</v>
      </c>
      <c r="AP265" s="289">
        <f t="shared" si="2"/>
        <v>0</v>
      </c>
      <c r="AQ265" s="289">
        <v>-237921.06673301756</v>
      </c>
      <c r="AR265" s="289">
        <v>-364033.61903827323</v>
      </c>
      <c r="AS265" s="289">
        <v>1</v>
      </c>
      <c r="AT265" s="289">
        <v>19680</v>
      </c>
      <c r="AU265" s="289">
        <v>0</v>
      </c>
      <c r="AV265" s="289">
        <v>0</v>
      </c>
      <c r="AW265" s="289">
        <v>0</v>
      </c>
      <c r="AX265" s="289">
        <v>0</v>
      </c>
      <c r="AY265" s="289">
        <v>88.31</v>
      </c>
      <c r="AZ265" s="289">
        <v>222.85131921639677</v>
      </c>
      <c r="BA265" s="289">
        <v>19230</v>
      </c>
      <c r="BB265" s="289">
        <v>0.9771341463414634</v>
      </c>
      <c r="BC265" s="289">
        <v>3</v>
      </c>
      <c r="BD265" s="289">
        <v>0</v>
      </c>
      <c r="BE265" s="289">
        <v>19627</v>
      </c>
      <c r="BF265" s="289">
        <v>19680</v>
      </c>
      <c r="BG265" s="289">
        <v>0.0027003617465735977</v>
      </c>
      <c r="BH265" s="289">
        <v>0</v>
      </c>
      <c r="BI265" s="289">
        <v>2</v>
      </c>
      <c r="BJ265" s="289">
        <v>0.0001016260162601626</v>
      </c>
      <c r="BK265" s="289">
        <v>3161686.174285199</v>
      </c>
      <c r="BL265" s="289">
        <v>6785.33</v>
      </c>
      <c r="BM265" s="301">
        <v>6534</v>
      </c>
    </row>
    <row r="266" spans="6:65" s="289" customFormat="1" ht="12.75">
      <c r="F266" s="289">
        <v>599</v>
      </c>
      <c r="G266" s="289" t="s">
        <v>300</v>
      </c>
      <c r="H266" s="289">
        <v>1250</v>
      </c>
      <c r="I266" s="289">
        <v>168</v>
      </c>
      <c r="J266" s="289">
        <v>1023</v>
      </c>
      <c r="K266" s="289">
        <v>516</v>
      </c>
      <c r="L266" s="289">
        <v>7960</v>
      </c>
      <c r="M266" s="289">
        <v>967</v>
      </c>
      <c r="N266" s="289">
        <v>511</v>
      </c>
      <c r="O266" s="289">
        <v>252</v>
      </c>
      <c r="P266" s="289">
        <v>10940</v>
      </c>
      <c r="Q266" s="289">
        <v>1582</v>
      </c>
      <c r="R266" s="289">
        <v>24</v>
      </c>
      <c r="S266" s="289">
        <v>794.28</v>
      </c>
      <c r="T266" s="289">
        <v>13.77348038475097</v>
      </c>
      <c r="U266" s="289">
        <v>0</v>
      </c>
      <c r="V266" s="289">
        <v>3</v>
      </c>
      <c r="W266" s="289">
        <v>4932</v>
      </c>
      <c r="X266" s="289">
        <v>498</v>
      </c>
      <c r="Y266" s="289">
        <v>39</v>
      </c>
      <c r="Z266" s="289">
        <v>0.9364029444562243</v>
      </c>
      <c r="AA266" s="289">
        <v>6</v>
      </c>
      <c r="AB266" s="289">
        <v>6</v>
      </c>
      <c r="AC266" s="289">
        <v>0.3299461455664984</v>
      </c>
      <c r="AD266" s="289">
        <v>340</v>
      </c>
      <c r="AE266" s="289">
        <v>95</v>
      </c>
      <c r="AF266" s="289">
        <v>21</v>
      </c>
      <c r="AG266" s="289">
        <v>0</v>
      </c>
      <c r="AH266" s="289">
        <v>456</v>
      </c>
      <c r="AI266" s="289">
        <v>0.8172471290953227</v>
      </c>
      <c r="AJ266" s="289">
        <v>5081</v>
      </c>
      <c r="AK266" s="289">
        <v>162</v>
      </c>
      <c r="AL266" s="289">
        <v>0.3255781944547337</v>
      </c>
      <c r="AM266" s="289">
        <v>0.7209166197003402</v>
      </c>
      <c r="AN266" s="289">
        <v>0</v>
      </c>
      <c r="AO266" s="289">
        <v>0</v>
      </c>
      <c r="AP266" s="289">
        <f t="shared" si="2"/>
        <v>0</v>
      </c>
      <c r="AQ266" s="289">
        <v>228177.65468864888</v>
      </c>
      <c r="AR266" s="289">
        <v>5457797.832820518</v>
      </c>
      <c r="AS266" s="289">
        <v>1</v>
      </c>
      <c r="AT266" s="289">
        <v>10940</v>
      </c>
      <c r="AU266" s="289">
        <v>0</v>
      </c>
      <c r="AV266" s="289">
        <v>0</v>
      </c>
      <c r="AW266" s="289">
        <v>0</v>
      </c>
      <c r="AX266" s="289">
        <v>0</v>
      </c>
      <c r="AY266" s="289">
        <v>794.28</v>
      </c>
      <c r="AZ266" s="289">
        <v>13.77348038475097</v>
      </c>
      <c r="BA266" s="289">
        <v>7573</v>
      </c>
      <c r="BB266" s="289">
        <v>0.6922303473491773</v>
      </c>
      <c r="BC266" s="289">
        <v>3</v>
      </c>
      <c r="BD266" s="289">
        <v>0</v>
      </c>
      <c r="BE266" s="289">
        <v>10821</v>
      </c>
      <c r="BF266" s="289">
        <v>10940</v>
      </c>
      <c r="BG266" s="289">
        <v>0.01099713520007393</v>
      </c>
      <c r="BH266" s="289">
        <v>0</v>
      </c>
      <c r="BI266" s="289">
        <v>0</v>
      </c>
      <c r="BJ266" s="289">
        <v>0</v>
      </c>
      <c r="BK266" s="289">
        <v>1891686.0328706594</v>
      </c>
      <c r="BL266" s="289">
        <v>7734.07</v>
      </c>
      <c r="BM266" s="301">
        <v>4743</v>
      </c>
    </row>
    <row r="267" spans="6:65" s="289" customFormat="1" ht="12.75">
      <c r="F267" s="289">
        <v>601</v>
      </c>
      <c r="G267" s="289" t="s">
        <v>309</v>
      </c>
      <c r="H267" s="289">
        <v>337</v>
      </c>
      <c r="I267" s="289">
        <v>56</v>
      </c>
      <c r="J267" s="289">
        <v>292</v>
      </c>
      <c r="K267" s="289">
        <v>162</v>
      </c>
      <c r="L267" s="289">
        <v>2995</v>
      </c>
      <c r="M267" s="289">
        <v>558</v>
      </c>
      <c r="N267" s="289">
        <v>416</v>
      </c>
      <c r="O267" s="289">
        <v>135</v>
      </c>
      <c r="P267" s="289">
        <v>4441</v>
      </c>
      <c r="Q267" s="289">
        <v>0</v>
      </c>
      <c r="R267" s="289">
        <v>5</v>
      </c>
      <c r="S267" s="289">
        <v>1074.77</v>
      </c>
      <c r="T267" s="289">
        <v>4.132046856536747</v>
      </c>
      <c r="U267" s="289">
        <v>0</v>
      </c>
      <c r="V267" s="289">
        <v>0</v>
      </c>
      <c r="W267" s="289">
        <v>1582</v>
      </c>
      <c r="X267" s="289">
        <v>331</v>
      </c>
      <c r="Y267" s="289">
        <v>34</v>
      </c>
      <c r="Z267" s="289">
        <v>0.808371620282315</v>
      </c>
      <c r="AA267" s="289">
        <v>9</v>
      </c>
      <c r="AB267" s="289">
        <v>9</v>
      </c>
      <c r="AC267" s="289">
        <v>1.219188527076388</v>
      </c>
      <c r="AD267" s="289">
        <v>295</v>
      </c>
      <c r="AE267" s="289">
        <v>16</v>
      </c>
      <c r="AF267" s="289">
        <v>12</v>
      </c>
      <c r="AG267" s="289">
        <v>1</v>
      </c>
      <c r="AH267" s="289">
        <v>324</v>
      </c>
      <c r="AI267" s="289">
        <v>1.4304415612425867</v>
      </c>
      <c r="AJ267" s="289">
        <v>1846</v>
      </c>
      <c r="AK267" s="289">
        <v>226</v>
      </c>
      <c r="AL267" s="289">
        <v>1.2501618252395483</v>
      </c>
      <c r="AM267" s="289">
        <v>1.5535225124203529</v>
      </c>
      <c r="AN267" s="289">
        <v>0.0800000000000001</v>
      </c>
      <c r="AO267" s="289">
        <v>0</v>
      </c>
      <c r="AP267" s="289">
        <f aca="true" t="shared" si="3" ref="AP267:AP330">MAX(AN267,AO267)</f>
        <v>0.0800000000000001</v>
      </c>
      <c r="AQ267" s="289">
        <v>-25694.288820859045</v>
      </c>
      <c r="AR267" s="289">
        <v>4117808.967375001</v>
      </c>
      <c r="AS267" s="289">
        <v>1</v>
      </c>
      <c r="AT267" s="289">
        <v>4441</v>
      </c>
      <c r="AU267" s="289">
        <v>0</v>
      </c>
      <c r="AV267" s="289">
        <v>0</v>
      </c>
      <c r="AW267" s="289">
        <v>0</v>
      </c>
      <c r="AX267" s="289">
        <v>1.0462166666666666</v>
      </c>
      <c r="AY267" s="289">
        <v>1074.77</v>
      </c>
      <c r="AZ267" s="289">
        <v>4.132046856536747</v>
      </c>
      <c r="BA267" s="289">
        <v>2017</v>
      </c>
      <c r="BB267" s="289">
        <v>0.4541769871650529</v>
      </c>
      <c r="BC267" s="289">
        <v>0</v>
      </c>
      <c r="BD267" s="289">
        <v>0</v>
      </c>
      <c r="BE267" s="289">
        <v>4613</v>
      </c>
      <c r="BF267" s="289">
        <v>4441</v>
      </c>
      <c r="BG267" s="289">
        <v>-0.037285931064383264</v>
      </c>
      <c r="BH267" s="289">
        <v>0</v>
      </c>
      <c r="BI267" s="289">
        <v>0</v>
      </c>
      <c r="BJ267" s="289">
        <v>0</v>
      </c>
      <c r="BK267" s="289">
        <v>1126931.761800874</v>
      </c>
      <c r="BL267" s="289">
        <v>7509.85</v>
      </c>
      <c r="BM267" s="301">
        <v>1342</v>
      </c>
    </row>
    <row r="268" spans="6:65" s="289" customFormat="1" ht="12.75">
      <c r="F268" s="289">
        <v>604</v>
      </c>
      <c r="G268" s="289" t="s">
        <v>310</v>
      </c>
      <c r="H268" s="289">
        <v>1920</v>
      </c>
      <c r="I268" s="289">
        <v>251</v>
      </c>
      <c r="J268" s="289">
        <v>1524</v>
      </c>
      <c r="K268" s="289">
        <v>685</v>
      </c>
      <c r="L268" s="289">
        <v>13632</v>
      </c>
      <c r="M268" s="289">
        <v>1669</v>
      </c>
      <c r="N268" s="289">
        <v>702</v>
      </c>
      <c r="O268" s="289">
        <v>205</v>
      </c>
      <c r="P268" s="289">
        <v>18128</v>
      </c>
      <c r="Q268" s="289">
        <v>11</v>
      </c>
      <c r="R268" s="289">
        <v>71</v>
      </c>
      <c r="S268" s="289">
        <v>81.39000000000001</v>
      </c>
      <c r="T268" s="289">
        <v>222.73006511856488</v>
      </c>
      <c r="U268" s="289">
        <v>0</v>
      </c>
      <c r="V268" s="289">
        <v>0</v>
      </c>
      <c r="W268" s="289">
        <v>8353</v>
      </c>
      <c r="X268" s="289">
        <v>37</v>
      </c>
      <c r="Y268" s="289">
        <v>90</v>
      </c>
      <c r="Z268" s="289">
        <v>1.0348399419213636</v>
      </c>
      <c r="AA268" s="289">
        <v>11</v>
      </c>
      <c r="AB268" s="289">
        <v>11</v>
      </c>
      <c r="AC268" s="289">
        <v>0.3650496392088888</v>
      </c>
      <c r="AD268" s="289">
        <v>444</v>
      </c>
      <c r="AE268" s="289">
        <v>173</v>
      </c>
      <c r="AF268" s="289">
        <v>32</v>
      </c>
      <c r="AG268" s="289">
        <v>6</v>
      </c>
      <c r="AH268" s="289">
        <v>655</v>
      </c>
      <c r="AI268" s="289">
        <v>0.7084305650266665</v>
      </c>
      <c r="AJ268" s="289">
        <v>8759</v>
      </c>
      <c r="AK268" s="289">
        <v>715</v>
      </c>
      <c r="AL268" s="289">
        <v>0.8335679465548091</v>
      </c>
      <c r="AM268" s="289">
        <v>0.5782062867782601</v>
      </c>
      <c r="AN268" s="289">
        <v>0</v>
      </c>
      <c r="AO268" s="289">
        <v>0</v>
      </c>
      <c r="AP268" s="289">
        <f t="shared" si="3"/>
        <v>0</v>
      </c>
      <c r="AQ268" s="289">
        <v>-475239.0150869675</v>
      </c>
      <c r="AR268" s="289">
        <v>-4712156.472626258</v>
      </c>
      <c r="AS268" s="289">
        <v>1</v>
      </c>
      <c r="AT268" s="289">
        <v>18128</v>
      </c>
      <c r="AU268" s="289">
        <v>0</v>
      </c>
      <c r="AV268" s="289">
        <v>0</v>
      </c>
      <c r="AW268" s="289">
        <v>0</v>
      </c>
      <c r="AX268" s="289">
        <v>0</v>
      </c>
      <c r="AY268" s="289">
        <v>81.38</v>
      </c>
      <c r="AZ268" s="289">
        <v>222.75743425903173</v>
      </c>
      <c r="BA268" s="289">
        <v>17517</v>
      </c>
      <c r="BB268" s="289">
        <v>0.9662952338923213</v>
      </c>
      <c r="BC268" s="289">
        <v>0</v>
      </c>
      <c r="BD268" s="289">
        <v>0</v>
      </c>
      <c r="BE268" s="289">
        <v>16515</v>
      </c>
      <c r="BF268" s="289">
        <v>18128</v>
      </c>
      <c r="BG268" s="289">
        <v>0.0976687859521647</v>
      </c>
      <c r="BH268" s="289">
        <v>1</v>
      </c>
      <c r="BI268" s="289">
        <v>0</v>
      </c>
      <c r="BJ268" s="289">
        <v>0</v>
      </c>
      <c r="BK268" s="289">
        <v>1859749.658604824</v>
      </c>
      <c r="BL268" s="289">
        <v>5975.85</v>
      </c>
      <c r="BM268" s="301">
        <v>6378</v>
      </c>
    </row>
    <row r="269" spans="6:65" s="289" customFormat="1" ht="12.75">
      <c r="F269" s="289">
        <v>607</v>
      </c>
      <c r="G269" s="289" t="s">
        <v>311</v>
      </c>
      <c r="H269" s="289">
        <v>293</v>
      </c>
      <c r="I269" s="289">
        <v>44</v>
      </c>
      <c r="J269" s="289">
        <v>251</v>
      </c>
      <c r="K269" s="289">
        <v>178</v>
      </c>
      <c r="L269" s="289">
        <v>3300</v>
      </c>
      <c r="M269" s="289">
        <v>607</v>
      </c>
      <c r="N269" s="289">
        <v>391</v>
      </c>
      <c r="O269" s="289">
        <v>137</v>
      </c>
      <c r="P269" s="289">
        <v>4728</v>
      </c>
      <c r="Q269" s="289">
        <v>0</v>
      </c>
      <c r="R269" s="289">
        <v>2</v>
      </c>
      <c r="S269" s="289">
        <v>804.1500000000001</v>
      </c>
      <c r="T269" s="289">
        <v>5.879500093266181</v>
      </c>
      <c r="U269" s="289">
        <v>0</v>
      </c>
      <c r="V269" s="289">
        <v>0</v>
      </c>
      <c r="W269" s="289">
        <v>1715</v>
      </c>
      <c r="X269" s="289">
        <v>325</v>
      </c>
      <c r="Y269" s="289">
        <v>30</v>
      </c>
      <c r="Z269" s="289">
        <v>0.8333006932737657</v>
      </c>
      <c r="AA269" s="289">
        <v>13</v>
      </c>
      <c r="AB269" s="289">
        <v>13</v>
      </c>
      <c r="AC269" s="289">
        <v>1.6541504802054219</v>
      </c>
      <c r="AD269" s="289">
        <v>316</v>
      </c>
      <c r="AE269" s="289">
        <v>26</v>
      </c>
      <c r="AF269" s="289">
        <v>4</v>
      </c>
      <c r="AG269" s="289">
        <v>1</v>
      </c>
      <c r="AH269" s="289">
        <v>347</v>
      </c>
      <c r="AI269" s="289">
        <v>1.4389903776536028</v>
      </c>
      <c r="AJ269" s="289">
        <v>2051</v>
      </c>
      <c r="AK269" s="289">
        <v>321</v>
      </c>
      <c r="AL269" s="289">
        <v>1.5981916702297136</v>
      </c>
      <c r="AM269" s="289">
        <v>1.5776319198788389</v>
      </c>
      <c r="AN269" s="289">
        <v>0</v>
      </c>
      <c r="AO269" s="289">
        <v>0</v>
      </c>
      <c r="AP269" s="289">
        <f t="shared" si="3"/>
        <v>0</v>
      </c>
      <c r="AQ269" s="289">
        <v>80441.11767227948</v>
      </c>
      <c r="AR269" s="289">
        <v>5072021.639078948</v>
      </c>
      <c r="AS269" s="289">
        <v>1</v>
      </c>
      <c r="AT269" s="289">
        <v>4728</v>
      </c>
      <c r="AU269" s="289">
        <v>0</v>
      </c>
      <c r="AV269" s="289">
        <v>0</v>
      </c>
      <c r="AW269" s="289">
        <v>0</v>
      </c>
      <c r="AX269" s="289">
        <v>0</v>
      </c>
      <c r="AY269" s="289">
        <v>804.14</v>
      </c>
      <c r="AZ269" s="289">
        <v>5.879573208645261</v>
      </c>
      <c r="BA269" s="289">
        <v>1460</v>
      </c>
      <c r="BB269" s="289">
        <v>0.30879864636209814</v>
      </c>
      <c r="BC269" s="289">
        <v>0</v>
      </c>
      <c r="BD269" s="289">
        <v>0</v>
      </c>
      <c r="BE269" s="289">
        <v>4821</v>
      </c>
      <c r="BF269" s="289">
        <v>4728</v>
      </c>
      <c r="BG269" s="289">
        <v>-0.019290603609209707</v>
      </c>
      <c r="BH269" s="289">
        <v>0</v>
      </c>
      <c r="BI269" s="289">
        <v>0</v>
      </c>
      <c r="BJ269" s="289">
        <v>0</v>
      </c>
      <c r="BK269" s="289">
        <v>1547430.7135717608</v>
      </c>
      <c r="BL269" s="289">
        <v>7247.12</v>
      </c>
      <c r="BM269" s="301">
        <v>1318</v>
      </c>
    </row>
    <row r="270" spans="6:65" s="289" customFormat="1" ht="12.75">
      <c r="F270" s="289">
        <v>608</v>
      </c>
      <c r="G270" s="289" t="s">
        <v>312</v>
      </c>
      <c r="H270" s="289">
        <v>148</v>
      </c>
      <c r="I270" s="289">
        <v>23</v>
      </c>
      <c r="J270" s="289">
        <v>155</v>
      </c>
      <c r="K270" s="289">
        <v>94</v>
      </c>
      <c r="L270" s="289">
        <v>1598</v>
      </c>
      <c r="M270" s="289">
        <v>309</v>
      </c>
      <c r="N270" s="289">
        <v>223</v>
      </c>
      <c r="O270" s="289">
        <v>95</v>
      </c>
      <c r="P270" s="289">
        <v>2373</v>
      </c>
      <c r="Q270" s="289">
        <v>0</v>
      </c>
      <c r="R270" s="289">
        <v>4</v>
      </c>
      <c r="S270" s="289">
        <v>301.08</v>
      </c>
      <c r="T270" s="289">
        <v>7.881626145874851</v>
      </c>
      <c r="U270" s="289">
        <v>0</v>
      </c>
      <c r="V270" s="289">
        <v>0</v>
      </c>
      <c r="W270" s="289">
        <v>889</v>
      </c>
      <c r="X270" s="289">
        <v>66</v>
      </c>
      <c r="Y270" s="289">
        <v>13</v>
      </c>
      <c r="Z270" s="289">
        <v>0.957437022812522</v>
      </c>
      <c r="AA270" s="289">
        <v>2</v>
      </c>
      <c r="AB270" s="289">
        <v>2</v>
      </c>
      <c r="AC270" s="289">
        <v>0.5070390268994933</v>
      </c>
      <c r="AD270" s="289">
        <v>171</v>
      </c>
      <c r="AE270" s="289">
        <v>18</v>
      </c>
      <c r="AF270" s="289">
        <v>4</v>
      </c>
      <c r="AG270" s="289">
        <v>1</v>
      </c>
      <c r="AH270" s="289">
        <v>194</v>
      </c>
      <c r="AI270" s="289">
        <v>1.6029127177334461</v>
      </c>
      <c r="AJ270" s="289">
        <v>1004</v>
      </c>
      <c r="AK270" s="289">
        <v>138</v>
      </c>
      <c r="AL270" s="289">
        <v>1.4035725445832794</v>
      </c>
      <c r="AM270" s="289">
        <v>1.7322821978781868</v>
      </c>
      <c r="AN270" s="289">
        <v>0</v>
      </c>
      <c r="AO270" s="289">
        <v>0</v>
      </c>
      <c r="AP270" s="289">
        <f t="shared" si="3"/>
        <v>0</v>
      </c>
      <c r="AQ270" s="289">
        <v>-60503.46341793239</v>
      </c>
      <c r="AR270" s="289">
        <v>2000927.46607595</v>
      </c>
      <c r="AS270" s="289">
        <v>1</v>
      </c>
      <c r="AT270" s="289">
        <v>2373</v>
      </c>
      <c r="AU270" s="289">
        <v>0</v>
      </c>
      <c r="AV270" s="289">
        <v>0</v>
      </c>
      <c r="AW270" s="289">
        <v>0</v>
      </c>
      <c r="AX270" s="289">
        <v>0</v>
      </c>
      <c r="AY270" s="289">
        <v>301.09</v>
      </c>
      <c r="AZ270" s="289">
        <v>7.88136437610017</v>
      </c>
      <c r="BA270" s="289">
        <v>1404</v>
      </c>
      <c r="BB270" s="289">
        <v>0.5916561314791403</v>
      </c>
      <c r="BC270" s="289">
        <v>0</v>
      </c>
      <c r="BD270" s="289">
        <v>0</v>
      </c>
      <c r="BE270" s="289">
        <v>2482</v>
      </c>
      <c r="BF270" s="289">
        <v>2373</v>
      </c>
      <c r="BG270" s="289">
        <v>-0.043916196615632556</v>
      </c>
      <c r="BH270" s="289">
        <v>0</v>
      </c>
      <c r="BI270" s="289">
        <v>1</v>
      </c>
      <c r="BJ270" s="289">
        <v>0.00042140750105351877</v>
      </c>
      <c r="BK270" s="289">
        <v>568899.5246751917</v>
      </c>
      <c r="BL270" s="289">
        <v>7069.92</v>
      </c>
      <c r="BM270" s="301">
        <v>671</v>
      </c>
    </row>
    <row r="271" spans="6:65" s="289" customFormat="1" ht="12.75">
      <c r="F271" s="289">
        <v>609</v>
      </c>
      <c r="G271" s="289" t="s">
        <v>313</v>
      </c>
      <c r="H271" s="289">
        <v>5831</v>
      </c>
      <c r="I271" s="289">
        <v>888</v>
      </c>
      <c r="J271" s="289">
        <v>4812</v>
      </c>
      <c r="K271" s="289">
        <v>2520</v>
      </c>
      <c r="L271" s="289">
        <v>59294</v>
      </c>
      <c r="M271" s="289">
        <v>9883</v>
      </c>
      <c r="N271" s="289">
        <v>6138</v>
      </c>
      <c r="O271" s="289">
        <v>2139</v>
      </c>
      <c r="P271" s="289">
        <v>83285</v>
      </c>
      <c r="Q271" s="289">
        <v>60</v>
      </c>
      <c r="R271" s="289">
        <v>163</v>
      </c>
      <c r="S271" s="289">
        <v>834.29</v>
      </c>
      <c r="T271" s="289">
        <v>99.82739814692734</v>
      </c>
      <c r="U271" s="289">
        <v>0</v>
      </c>
      <c r="V271" s="289">
        <v>0</v>
      </c>
      <c r="W271" s="289">
        <v>34024</v>
      </c>
      <c r="X271" s="289">
        <v>360</v>
      </c>
      <c r="Y271" s="289">
        <v>427</v>
      </c>
      <c r="Z271" s="289">
        <v>1.0265105247747557</v>
      </c>
      <c r="AA271" s="289">
        <v>175</v>
      </c>
      <c r="AB271" s="289">
        <v>175</v>
      </c>
      <c r="AC271" s="289">
        <v>1.2640969676153393</v>
      </c>
      <c r="AD271" s="289">
        <v>4040</v>
      </c>
      <c r="AE271" s="289">
        <v>444</v>
      </c>
      <c r="AF271" s="289">
        <v>145</v>
      </c>
      <c r="AG271" s="289">
        <v>38</v>
      </c>
      <c r="AH271" s="289">
        <v>4667</v>
      </c>
      <c r="AI271" s="289">
        <v>1.0986943565498861</v>
      </c>
      <c r="AJ271" s="289">
        <v>38702</v>
      </c>
      <c r="AK271" s="289">
        <v>4790</v>
      </c>
      <c r="AL271" s="289">
        <v>1.2638385423118088</v>
      </c>
      <c r="AM271" s="289">
        <v>1.2015118865388654</v>
      </c>
      <c r="AN271" s="289">
        <v>0</v>
      </c>
      <c r="AO271" s="289">
        <v>0</v>
      </c>
      <c r="AP271" s="289">
        <f t="shared" si="3"/>
        <v>0</v>
      </c>
      <c r="AQ271" s="289">
        <v>287504.02821165323</v>
      </c>
      <c r="AR271" s="289">
        <v>-1736207.1807999955</v>
      </c>
      <c r="AS271" s="289">
        <v>1</v>
      </c>
      <c r="AT271" s="289">
        <v>83285</v>
      </c>
      <c r="AU271" s="289">
        <v>0</v>
      </c>
      <c r="AV271" s="289">
        <v>0</v>
      </c>
      <c r="AW271" s="289">
        <v>0</v>
      </c>
      <c r="AX271" s="289">
        <v>0</v>
      </c>
      <c r="AY271" s="289">
        <v>834.05</v>
      </c>
      <c r="AZ271" s="289">
        <v>99.85612373358911</v>
      </c>
      <c r="BA271" s="289">
        <v>77767</v>
      </c>
      <c r="BB271" s="289">
        <v>0.9337455724320106</v>
      </c>
      <c r="BC271" s="289">
        <v>0</v>
      </c>
      <c r="BD271" s="289">
        <v>0</v>
      </c>
      <c r="BE271" s="289">
        <v>82786</v>
      </c>
      <c r="BF271" s="289">
        <v>83285</v>
      </c>
      <c r="BG271" s="289">
        <v>0.00602758920590438</v>
      </c>
      <c r="BH271" s="289">
        <v>0</v>
      </c>
      <c r="BI271" s="289">
        <v>1</v>
      </c>
      <c r="BJ271" s="289">
        <v>1.2006964039142702E-05</v>
      </c>
      <c r="BK271" s="289">
        <v>15770010.02228627</v>
      </c>
      <c r="BL271" s="289">
        <v>5969.97</v>
      </c>
      <c r="BM271" s="301">
        <v>26766</v>
      </c>
    </row>
    <row r="272" spans="6:65" s="289" customFormat="1" ht="12.75">
      <c r="F272" s="289">
        <v>611</v>
      </c>
      <c r="G272" s="289" t="s">
        <v>314</v>
      </c>
      <c r="H272" s="289">
        <v>529</v>
      </c>
      <c r="I272" s="289">
        <v>93</v>
      </c>
      <c r="J272" s="289">
        <v>567</v>
      </c>
      <c r="K272" s="289">
        <v>265</v>
      </c>
      <c r="L272" s="289">
        <v>4007</v>
      </c>
      <c r="M272" s="289">
        <v>360</v>
      </c>
      <c r="N272" s="289">
        <v>171</v>
      </c>
      <c r="O272" s="289">
        <v>70</v>
      </c>
      <c r="P272" s="289">
        <v>5137</v>
      </c>
      <c r="Q272" s="289">
        <v>22</v>
      </c>
      <c r="R272" s="289">
        <v>10</v>
      </c>
      <c r="S272" s="289">
        <v>146.5</v>
      </c>
      <c r="T272" s="289">
        <v>35.06484641638225</v>
      </c>
      <c r="U272" s="289">
        <v>0</v>
      </c>
      <c r="V272" s="289">
        <v>0</v>
      </c>
      <c r="W272" s="289">
        <v>2411</v>
      </c>
      <c r="X272" s="289">
        <v>81</v>
      </c>
      <c r="Y272" s="289">
        <v>35</v>
      </c>
      <c r="Z272" s="289">
        <v>1.0002589330682734</v>
      </c>
      <c r="AA272" s="289">
        <v>7</v>
      </c>
      <c r="AB272" s="289">
        <v>7</v>
      </c>
      <c r="AC272" s="289">
        <v>0.8197805407657662</v>
      </c>
      <c r="AD272" s="289">
        <v>101</v>
      </c>
      <c r="AE272" s="289">
        <v>41</v>
      </c>
      <c r="AF272" s="289">
        <v>6</v>
      </c>
      <c r="AG272" s="289">
        <v>0</v>
      </c>
      <c r="AH272" s="289">
        <v>148</v>
      </c>
      <c r="AI272" s="289">
        <v>0.5648823856425259</v>
      </c>
      <c r="AJ272" s="289">
        <v>2507</v>
      </c>
      <c r="AK272" s="289">
        <v>120</v>
      </c>
      <c r="AL272" s="289">
        <v>0.48878334914816346</v>
      </c>
      <c r="AM272" s="289">
        <v>0.6023239559217841</v>
      </c>
      <c r="AN272" s="289">
        <v>0</v>
      </c>
      <c r="AO272" s="289">
        <v>0</v>
      </c>
      <c r="AP272" s="289">
        <f t="shared" si="3"/>
        <v>0</v>
      </c>
      <c r="AQ272" s="289">
        <v>-66364.87476905528</v>
      </c>
      <c r="AR272" s="289">
        <v>293765.7803846139</v>
      </c>
      <c r="AS272" s="289">
        <v>1</v>
      </c>
      <c r="AT272" s="289">
        <v>5137</v>
      </c>
      <c r="AU272" s="289">
        <v>0</v>
      </c>
      <c r="AV272" s="289">
        <v>0</v>
      </c>
      <c r="AW272" s="289">
        <v>0</v>
      </c>
      <c r="AX272" s="289">
        <v>0</v>
      </c>
      <c r="AY272" s="289">
        <v>146.5</v>
      </c>
      <c r="AZ272" s="289">
        <v>35.06484641638225</v>
      </c>
      <c r="BA272" s="289">
        <v>3305</v>
      </c>
      <c r="BB272" s="289">
        <v>0.6433716176756862</v>
      </c>
      <c r="BC272" s="289">
        <v>0</v>
      </c>
      <c r="BD272" s="289">
        <v>0</v>
      </c>
      <c r="BE272" s="289">
        <v>5067</v>
      </c>
      <c r="BF272" s="289">
        <v>5137</v>
      </c>
      <c r="BG272" s="289">
        <v>0.013814880599960529</v>
      </c>
      <c r="BH272" s="289">
        <v>0</v>
      </c>
      <c r="BI272" s="289">
        <v>0</v>
      </c>
      <c r="BJ272" s="289">
        <v>0</v>
      </c>
      <c r="BK272" s="289">
        <v>723577.5688599172</v>
      </c>
      <c r="BL272" s="289">
        <v>6059.55</v>
      </c>
      <c r="BM272" s="301">
        <v>2017</v>
      </c>
    </row>
    <row r="273" spans="6:65" s="289" customFormat="1" ht="12.75">
      <c r="F273" s="289">
        <v>614</v>
      </c>
      <c r="G273" s="289" t="s">
        <v>316</v>
      </c>
      <c r="H273" s="289">
        <v>146</v>
      </c>
      <c r="I273" s="289">
        <v>23</v>
      </c>
      <c r="J273" s="289">
        <v>183</v>
      </c>
      <c r="K273" s="289">
        <v>115</v>
      </c>
      <c r="L273" s="289">
        <v>2533</v>
      </c>
      <c r="M273" s="289">
        <v>611</v>
      </c>
      <c r="N273" s="289">
        <v>361</v>
      </c>
      <c r="O273" s="289">
        <v>87</v>
      </c>
      <c r="P273" s="289">
        <v>3738</v>
      </c>
      <c r="Q273" s="289">
        <v>0</v>
      </c>
      <c r="R273" s="289">
        <v>2</v>
      </c>
      <c r="S273" s="289">
        <v>3039.16</v>
      </c>
      <c r="T273" s="289">
        <v>1.229945116413746</v>
      </c>
      <c r="U273" s="289">
        <v>0</v>
      </c>
      <c r="V273" s="289">
        <v>0</v>
      </c>
      <c r="W273" s="289">
        <v>1274</v>
      </c>
      <c r="X273" s="289">
        <v>260</v>
      </c>
      <c r="Y273" s="289">
        <v>19</v>
      </c>
      <c r="Z273" s="289">
        <v>0.8206927783727062</v>
      </c>
      <c r="AA273" s="289">
        <v>6</v>
      </c>
      <c r="AB273" s="289">
        <v>6</v>
      </c>
      <c r="AC273" s="289">
        <v>0.965652978196226</v>
      </c>
      <c r="AD273" s="289">
        <v>336</v>
      </c>
      <c r="AE273" s="289">
        <v>25</v>
      </c>
      <c r="AF273" s="289">
        <v>11</v>
      </c>
      <c r="AG273" s="289">
        <v>6</v>
      </c>
      <c r="AH273" s="289">
        <v>378</v>
      </c>
      <c r="AI273" s="289">
        <v>1.9827062963415503</v>
      </c>
      <c r="AJ273" s="289">
        <v>1594</v>
      </c>
      <c r="AK273" s="289">
        <v>269</v>
      </c>
      <c r="AL273" s="289">
        <v>1.7232705005676805</v>
      </c>
      <c r="AM273" s="289">
        <v>1.8328419357614196</v>
      </c>
      <c r="AN273" s="289">
        <v>0.0800000000000001</v>
      </c>
      <c r="AO273" s="289">
        <v>0</v>
      </c>
      <c r="AP273" s="289">
        <f t="shared" si="3"/>
        <v>0.0800000000000001</v>
      </c>
      <c r="AQ273" s="289">
        <v>-161676.7909724284</v>
      </c>
      <c r="AR273" s="289">
        <v>3626363.181219514</v>
      </c>
      <c r="AS273" s="289">
        <v>1</v>
      </c>
      <c r="AT273" s="289">
        <v>3738</v>
      </c>
      <c r="AU273" s="289">
        <v>0</v>
      </c>
      <c r="AV273" s="289">
        <v>0</v>
      </c>
      <c r="AW273" s="289">
        <v>0</v>
      </c>
      <c r="AX273" s="289">
        <v>1.4972</v>
      </c>
      <c r="AY273" s="289">
        <v>3038.86</v>
      </c>
      <c r="AZ273" s="289">
        <v>1.2300665381096858</v>
      </c>
      <c r="BA273" s="289">
        <v>1486</v>
      </c>
      <c r="BB273" s="289">
        <v>0.39753879079721777</v>
      </c>
      <c r="BC273" s="289">
        <v>0</v>
      </c>
      <c r="BD273" s="289">
        <v>0</v>
      </c>
      <c r="BE273" s="289">
        <v>3945</v>
      </c>
      <c r="BF273" s="289">
        <v>3738</v>
      </c>
      <c r="BG273" s="289">
        <v>-0.05247148288973384</v>
      </c>
      <c r="BH273" s="289">
        <v>0</v>
      </c>
      <c r="BI273" s="289">
        <v>4</v>
      </c>
      <c r="BJ273" s="289">
        <v>0.001070090957731407</v>
      </c>
      <c r="BK273" s="289">
        <v>1018366.7264998731</v>
      </c>
      <c r="BL273" s="289">
        <v>8717.36</v>
      </c>
      <c r="BM273" s="301">
        <v>858</v>
      </c>
    </row>
    <row r="274" spans="6:65" s="289" customFormat="1" ht="12.75">
      <c r="F274" s="289">
        <v>615</v>
      </c>
      <c r="G274" s="289" t="s">
        <v>317</v>
      </c>
      <c r="H274" s="289">
        <v>619</v>
      </c>
      <c r="I274" s="289">
        <v>84</v>
      </c>
      <c r="J274" s="289">
        <v>585</v>
      </c>
      <c r="K274" s="289">
        <v>320</v>
      </c>
      <c r="L274" s="289">
        <v>5897</v>
      </c>
      <c r="M274" s="289">
        <v>1085</v>
      </c>
      <c r="N274" s="289">
        <v>755</v>
      </c>
      <c r="O274" s="289">
        <v>264</v>
      </c>
      <c r="P274" s="289">
        <v>8620</v>
      </c>
      <c r="Q274" s="289">
        <v>4</v>
      </c>
      <c r="R274" s="289">
        <v>21</v>
      </c>
      <c r="S274" s="289">
        <v>5637.52</v>
      </c>
      <c r="T274" s="289">
        <v>1.5290411386567142</v>
      </c>
      <c r="U274" s="289">
        <v>0</v>
      </c>
      <c r="V274" s="289">
        <v>0</v>
      </c>
      <c r="W274" s="289">
        <v>2753</v>
      </c>
      <c r="X274" s="289">
        <v>381</v>
      </c>
      <c r="Y274" s="289">
        <v>54</v>
      </c>
      <c r="Z274" s="289">
        <v>0.8847777229705909</v>
      </c>
      <c r="AA274" s="289">
        <v>12</v>
      </c>
      <c r="AB274" s="289">
        <v>12</v>
      </c>
      <c r="AC274" s="289">
        <v>0.8374967128764483</v>
      </c>
      <c r="AD274" s="289">
        <v>708</v>
      </c>
      <c r="AE274" s="289">
        <v>55</v>
      </c>
      <c r="AF274" s="289">
        <v>11</v>
      </c>
      <c r="AG274" s="289">
        <v>3</v>
      </c>
      <c r="AH274" s="289">
        <v>777</v>
      </c>
      <c r="AI274" s="289">
        <v>1.7673380834094772</v>
      </c>
      <c r="AJ274" s="289">
        <v>3396</v>
      </c>
      <c r="AK274" s="289">
        <v>523</v>
      </c>
      <c r="AL274" s="289">
        <v>1.5726189263163899</v>
      </c>
      <c r="AM274" s="289">
        <v>2.0107412961375233</v>
      </c>
      <c r="AN274" s="289">
        <v>0.0800000000000001</v>
      </c>
      <c r="AO274" s="289">
        <v>0</v>
      </c>
      <c r="AP274" s="289">
        <f t="shared" si="3"/>
        <v>0.0800000000000001</v>
      </c>
      <c r="AQ274" s="289">
        <v>-466887.4905638397</v>
      </c>
      <c r="AR274" s="289">
        <v>8152733.528414632</v>
      </c>
      <c r="AS274" s="289">
        <v>1</v>
      </c>
      <c r="AT274" s="289">
        <v>8620</v>
      </c>
      <c r="AU274" s="289">
        <v>0</v>
      </c>
      <c r="AV274" s="289">
        <v>0</v>
      </c>
      <c r="AW274" s="289">
        <v>0</v>
      </c>
      <c r="AX274" s="289">
        <v>1.3894333333333333</v>
      </c>
      <c r="AY274" s="289">
        <v>5637.73</v>
      </c>
      <c r="AZ274" s="289">
        <v>1.5289841833503912</v>
      </c>
      <c r="BA274" s="289">
        <v>4175</v>
      </c>
      <c r="BB274" s="289">
        <v>0.484338747099768</v>
      </c>
      <c r="BC274" s="289">
        <v>0</v>
      </c>
      <c r="BD274" s="289">
        <v>0</v>
      </c>
      <c r="BE274" s="289">
        <v>8947</v>
      </c>
      <c r="BF274" s="289">
        <v>8620</v>
      </c>
      <c r="BG274" s="289">
        <v>-0.0365485637643903</v>
      </c>
      <c r="BH274" s="289">
        <v>0</v>
      </c>
      <c r="BI274" s="289">
        <v>0</v>
      </c>
      <c r="BJ274" s="289">
        <v>0</v>
      </c>
      <c r="BK274" s="289">
        <v>2287700.774270685</v>
      </c>
      <c r="BL274" s="289">
        <v>8589.99</v>
      </c>
      <c r="BM274" s="301">
        <v>2701</v>
      </c>
    </row>
    <row r="275" spans="6:65" s="289" customFormat="1" ht="12.75">
      <c r="F275" s="289">
        <v>616</v>
      </c>
      <c r="G275" s="289" t="s">
        <v>318</v>
      </c>
      <c r="H275" s="289">
        <v>154</v>
      </c>
      <c r="I275" s="289">
        <v>30</v>
      </c>
      <c r="J275" s="289">
        <v>157</v>
      </c>
      <c r="K275" s="289">
        <v>105</v>
      </c>
      <c r="L275" s="289">
        <v>1469</v>
      </c>
      <c r="M275" s="289">
        <v>244</v>
      </c>
      <c r="N275" s="289">
        <v>125</v>
      </c>
      <c r="O275" s="289">
        <v>55</v>
      </c>
      <c r="P275" s="289">
        <v>2047</v>
      </c>
      <c r="Q275" s="289">
        <v>2</v>
      </c>
      <c r="R275" s="289">
        <v>2</v>
      </c>
      <c r="S275" s="289">
        <v>145.04</v>
      </c>
      <c r="T275" s="289">
        <v>14.11334804191947</v>
      </c>
      <c r="U275" s="289">
        <v>0</v>
      </c>
      <c r="V275" s="289">
        <v>0</v>
      </c>
      <c r="W275" s="289">
        <v>899</v>
      </c>
      <c r="X275" s="289">
        <v>98</v>
      </c>
      <c r="Y275" s="289">
        <v>19</v>
      </c>
      <c r="Z275" s="289">
        <v>0.9140585607948745</v>
      </c>
      <c r="AA275" s="289">
        <v>8</v>
      </c>
      <c r="AB275" s="289">
        <v>8</v>
      </c>
      <c r="AC275" s="289">
        <v>2.351155077347333</v>
      </c>
      <c r="AD275" s="289">
        <v>75</v>
      </c>
      <c r="AE275" s="289">
        <v>15</v>
      </c>
      <c r="AF275" s="289">
        <v>1</v>
      </c>
      <c r="AG275" s="289">
        <v>1</v>
      </c>
      <c r="AH275" s="289">
        <v>92</v>
      </c>
      <c r="AI275" s="289">
        <v>0.8812027983740224</v>
      </c>
      <c r="AJ275" s="289">
        <v>953</v>
      </c>
      <c r="AK275" s="289">
        <v>54</v>
      </c>
      <c r="AL275" s="289">
        <v>0.5786158817854151</v>
      </c>
      <c r="AM275" s="289">
        <v>0.4864857296007116</v>
      </c>
      <c r="AN275" s="289">
        <v>0</v>
      </c>
      <c r="AO275" s="289">
        <v>0</v>
      </c>
      <c r="AP275" s="289">
        <f t="shared" si="3"/>
        <v>0</v>
      </c>
      <c r="AQ275" s="289">
        <v>50486.45994817</v>
      </c>
      <c r="AR275" s="289">
        <v>731044.9874358965</v>
      </c>
      <c r="AS275" s="289">
        <v>1</v>
      </c>
      <c r="AT275" s="289">
        <v>2047</v>
      </c>
      <c r="AU275" s="289">
        <v>0</v>
      </c>
      <c r="AV275" s="289">
        <v>0</v>
      </c>
      <c r="AW275" s="289">
        <v>0</v>
      </c>
      <c r="AX275" s="289">
        <v>0</v>
      </c>
      <c r="AY275" s="289">
        <v>145.04</v>
      </c>
      <c r="AZ275" s="289">
        <v>14.11334804191947</v>
      </c>
      <c r="BA275" s="289">
        <v>809</v>
      </c>
      <c r="BB275" s="289">
        <v>0.39521250610649733</v>
      </c>
      <c r="BC275" s="289">
        <v>0</v>
      </c>
      <c r="BD275" s="289">
        <v>0</v>
      </c>
      <c r="BE275" s="289">
        <v>2004</v>
      </c>
      <c r="BF275" s="289">
        <v>2047</v>
      </c>
      <c r="BG275" s="289">
        <v>0.021457085828343315</v>
      </c>
      <c r="BH275" s="289">
        <v>0</v>
      </c>
      <c r="BI275" s="289">
        <v>0</v>
      </c>
      <c r="BJ275" s="289">
        <v>0</v>
      </c>
      <c r="BK275" s="289">
        <v>400760.4086897329</v>
      </c>
      <c r="BL275" s="289">
        <v>6666.41</v>
      </c>
      <c r="BM275" s="301">
        <v>640</v>
      </c>
    </row>
    <row r="276" spans="6:65" s="289" customFormat="1" ht="12.75">
      <c r="F276" s="289">
        <v>619</v>
      </c>
      <c r="G276" s="289" t="s">
        <v>319</v>
      </c>
      <c r="H276" s="289">
        <v>180</v>
      </c>
      <c r="I276" s="289">
        <v>29</v>
      </c>
      <c r="J276" s="289">
        <v>186</v>
      </c>
      <c r="K276" s="289">
        <v>100</v>
      </c>
      <c r="L276" s="289">
        <v>2079</v>
      </c>
      <c r="M276" s="289">
        <v>428</v>
      </c>
      <c r="N276" s="289">
        <v>357</v>
      </c>
      <c r="O276" s="289">
        <v>159</v>
      </c>
      <c r="P276" s="289">
        <v>3203</v>
      </c>
      <c r="Q276" s="289">
        <v>0</v>
      </c>
      <c r="R276" s="289">
        <v>21</v>
      </c>
      <c r="S276" s="289">
        <v>361.08</v>
      </c>
      <c r="T276" s="289">
        <v>8.870610391049075</v>
      </c>
      <c r="U276" s="289">
        <v>0</v>
      </c>
      <c r="V276" s="289">
        <v>0</v>
      </c>
      <c r="W276" s="289">
        <v>1217</v>
      </c>
      <c r="X276" s="289">
        <v>270</v>
      </c>
      <c r="Y276" s="289">
        <v>9</v>
      </c>
      <c r="Z276" s="289">
        <v>0.8099145839870877</v>
      </c>
      <c r="AA276" s="289">
        <v>4</v>
      </c>
      <c r="AB276" s="289">
        <v>2</v>
      </c>
      <c r="AC276" s="289">
        <v>0.375648957487511</v>
      </c>
      <c r="AD276" s="289">
        <v>209</v>
      </c>
      <c r="AE276" s="289">
        <v>20</v>
      </c>
      <c r="AF276" s="289">
        <v>6</v>
      </c>
      <c r="AG276" s="289">
        <v>1</v>
      </c>
      <c r="AH276" s="289">
        <v>236</v>
      </c>
      <c r="AI276" s="289">
        <v>1.444644362866685</v>
      </c>
      <c r="AJ276" s="289">
        <v>1319</v>
      </c>
      <c r="AK276" s="289">
        <v>85</v>
      </c>
      <c r="AL276" s="289">
        <v>0.6580571631711392</v>
      </c>
      <c r="AM276" s="289">
        <v>1.101162206030344</v>
      </c>
      <c r="AN276" s="289">
        <v>0</v>
      </c>
      <c r="AO276" s="289">
        <v>0</v>
      </c>
      <c r="AP276" s="289">
        <f t="shared" si="3"/>
        <v>0</v>
      </c>
      <c r="AQ276" s="289">
        <v>164582.84655112214</v>
      </c>
      <c r="AR276" s="289">
        <v>2812278.9715189883</v>
      </c>
      <c r="AS276" s="289">
        <v>1</v>
      </c>
      <c r="AT276" s="289">
        <v>3203</v>
      </c>
      <c r="AU276" s="289">
        <v>0</v>
      </c>
      <c r="AV276" s="289">
        <v>0</v>
      </c>
      <c r="AW276" s="289">
        <v>0</v>
      </c>
      <c r="AX276" s="289">
        <v>0</v>
      </c>
      <c r="AY276" s="289">
        <v>361.07</v>
      </c>
      <c r="AZ276" s="289">
        <v>8.870856066690669</v>
      </c>
      <c r="BA276" s="289">
        <v>1301</v>
      </c>
      <c r="BB276" s="289">
        <v>0.40618170465188885</v>
      </c>
      <c r="BC276" s="289">
        <v>0</v>
      </c>
      <c r="BD276" s="289">
        <v>0</v>
      </c>
      <c r="BE276" s="289">
        <v>3333</v>
      </c>
      <c r="BF276" s="289">
        <v>3203</v>
      </c>
      <c r="BG276" s="289">
        <v>-0.039003900390039</v>
      </c>
      <c r="BH276" s="289">
        <v>0</v>
      </c>
      <c r="BI276" s="289">
        <v>0</v>
      </c>
      <c r="BJ276" s="289">
        <v>0</v>
      </c>
      <c r="BK276" s="289">
        <v>769757.7099334137</v>
      </c>
      <c r="BL276" s="289">
        <v>7064.77</v>
      </c>
      <c r="BM276" s="301">
        <v>848</v>
      </c>
    </row>
    <row r="277" spans="6:65" s="289" customFormat="1" ht="12.75">
      <c r="F277" s="289">
        <v>620</v>
      </c>
      <c r="G277" s="289" t="s">
        <v>320</v>
      </c>
      <c r="H277" s="289">
        <v>112</v>
      </c>
      <c r="I277" s="289">
        <v>19</v>
      </c>
      <c r="J277" s="289">
        <v>133</v>
      </c>
      <c r="K277" s="289">
        <v>104</v>
      </c>
      <c r="L277" s="289">
        <v>1962</v>
      </c>
      <c r="M277" s="289">
        <v>472</v>
      </c>
      <c r="N277" s="289">
        <v>292</v>
      </c>
      <c r="O277" s="289">
        <v>93</v>
      </c>
      <c r="P277" s="289">
        <v>2931</v>
      </c>
      <c r="Q277" s="289">
        <v>0</v>
      </c>
      <c r="R277" s="289">
        <v>1</v>
      </c>
      <c r="S277" s="289">
        <v>2461.35</v>
      </c>
      <c r="T277" s="289">
        <v>1.190809921384606</v>
      </c>
      <c r="U277" s="289">
        <v>0</v>
      </c>
      <c r="V277" s="289">
        <v>0</v>
      </c>
      <c r="W277" s="289">
        <v>960</v>
      </c>
      <c r="X277" s="289">
        <v>199</v>
      </c>
      <c r="Y277" s="289">
        <v>37</v>
      </c>
      <c r="Z277" s="289">
        <v>0.792490915142696</v>
      </c>
      <c r="AA277" s="289">
        <v>4</v>
      </c>
      <c r="AB277" s="289">
        <v>2</v>
      </c>
      <c r="AC277" s="289">
        <v>0.4105095908674506</v>
      </c>
      <c r="AD277" s="289">
        <v>292</v>
      </c>
      <c r="AE277" s="289">
        <v>17</v>
      </c>
      <c r="AF277" s="289">
        <v>3</v>
      </c>
      <c r="AG277" s="289">
        <v>0</v>
      </c>
      <c r="AH277" s="289">
        <v>312</v>
      </c>
      <c r="AI277" s="289">
        <v>2.0871067302328434</v>
      </c>
      <c r="AJ277" s="289">
        <v>1171</v>
      </c>
      <c r="AK277" s="289">
        <v>174</v>
      </c>
      <c r="AL277" s="289">
        <v>1.5173362866404325</v>
      </c>
      <c r="AM277" s="289">
        <v>2.0614443325357383</v>
      </c>
      <c r="AN277" s="289">
        <v>0.17</v>
      </c>
      <c r="AO277" s="289">
        <v>0</v>
      </c>
      <c r="AP277" s="289">
        <f t="shared" si="3"/>
        <v>0.17</v>
      </c>
      <c r="AQ277" s="289">
        <v>-69019.54834536463</v>
      </c>
      <c r="AR277" s="289">
        <v>2595587.7287500002</v>
      </c>
      <c r="AS277" s="289">
        <v>0</v>
      </c>
      <c r="AT277" s="289">
        <v>2931</v>
      </c>
      <c r="AU277" s="289">
        <v>0</v>
      </c>
      <c r="AV277" s="289">
        <v>0</v>
      </c>
      <c r="AW277" s="289">
        <v>0</v>
      </c>
      <c r="AX277" s="289">
        <v>1.6508166666666666</v>
      </c>
      <c r="AY277" s="289">
        <v>2461.42</v>
      </c>
      <c r="AZ277" s="289">
        <v>1.1907760560976997</v>
      </c>
      <c r="BA277" s="289">
        <v>1624</v>
      </c>
      <c r="BB277" s="289">
        <v>0.5540771067894916</v>
      </c>
      <c r="BC277" s="289">
        <v>0</v>
      </c>
      <c r="BD277" s="289">
        <v>0</v>
      </c>
      <c r="BE277" s="289">
        <v>3123</v>
      </c>
      <c r="BF277" s="289">
        <v>2931</v>
      </c>
      <c r="BG277" s="289">
        <v>-0.06147934678194044</v>
      </c>
      <c r="BH277" s="289">
        <v>1</v>
      </c>
      <c r="BI277" s="289">
        <v>0</v>
      </c>
      <c r="BJ277" s="289">
        <v>0</v>
      </c>
      <c r="BK277" s="289">
        <v>837759.6628315739</v>
      </c>
      <c r="BL277" s="289">
        <v>8706.48</v>
      </c>
      <c r="BM277" s="301">
        <v>674</v>
      </c>
    </row>
    <row r="278" spans="6:65" s="289" customFormat="1" ht="12.75">
      <c r="F278" s="289">
        <v>623</v>
      </c>
      <c r="G278" s="289" t="s">
        <v>321</v>
      </c>
      <c r="H278" s="289">
        <v>76</v>
      </c>
      <c r="I278" s="289">
        <v>13</v>
      </c>
      <c r="J278" s="289">
        <v>104</v>
      </c>
      <c r="K278" s="289">
        <v>54</v>
      </c>
      <c r="L278" s="289">
        <v>1515</v>
      </c>
      <c r="M278" s="289">
        <v>419</v>
      </c>
      <c r="N278" s="289">
        <v>257</v>
      </c>
      <c r="O278" s="289">
        <v>107</v>
      </c>
      <c r="P278" s="289">
        <v>2374</v>
      </c>
      <c r="Q278" s="289">
        <v>0</v>
      </c>
      <c r="R278" s="289">
        <v>0</v>
      </c>
      <c r="S278" s="289">
        <v>794.52</v>
      </c>
      <c r="T278" s="289">
        <v>2.9879675779086745</v>
      </c>
      <c r="U278" s="289">
        <v>2</v>
      </c>
      <c r="V278" s="289">
        <v>0</v>
      </c>
      <c r="W278" s="289">
        <v>847</v>
      </c>
      <c r="X278" s="289">
        <v>164</v>
      </c>
      <c r="Y278" s="289">
        <v>17</v>
      </c>
      <c r="Z278" s="289">
        <v>0.8262619963629093</v>
      </c>
      <c r="AA278" s="289">
        <v>1</v>
      </c>
      <c r="AB278" s="289">
        <v>2</v>
      </c>
      <c r="AC278" s="289">
        <v>0.506825446854464</v>
      </c>
      <c r="AD278" s="289">
        <v>211</v>
      </c>
      <c r="AE278" s="289">
        <v>7</v>
      </c>
      <c r="AF278" s="289">
        <v>3</v>
      </c>
      <c r="AG278" s="289">
        <v>4</v>
      </c>
      <c r="AH278" s="289">
        <v>225</v>
      </c>
      <c r="AI278" s="289">
        <v>1.8582651682223883</v>
      </c>
      <c r="AJ278" s="289">
        <v>998</v>
      </c>
      <c r="AK278" s="289">
        <v>101</v>
      </c>
      <c r="AL278" s="289">
        <v>1.03342823553573</v>
      </c>
      <c r="AM278" s="289">
        <v>1.5614084166392501</v>
      </c>
      <c r="AN278" s="289">
        <v>0.05</v>
      </c>
      <c r="AO278" s="289">
        <v>0</v>
      </c>
      <c r="AP278" s="289">
        <f t="shared" si="3"/>
        <v>0.05</v>
      </c>
      <c r="AQ278" s="289">
        <v>270448.9247596208</v>
      </c>
      <c r="AR278" s="289">
        <v>1343200.8925</v>
      </c>
      <c r="AS278" s="289">
        <v>1</v>
      </c>
      <c r="AT278" s="289">
        <v>2374</v>
      </c>
      <c r="AU278" s="289">
        <v>2</v>
      </c>
      <c r="AV278" s="289">
        <v>2374</v>
      </c>
      <c r="AW278" s="289">
        <v>0</v>
      </c>
      <c r="AX278" s="289">
        <v>0.7692666666666667</v>
      </c>
      <c r="AY278" s="289">
        <v>794.53</v>
      </c>
      <c r="AZ278" s="289">
        <v>2.987929971177929</v>
      </c>
      <c r="BA278" s="289">
        <v>1214</v>
      </c>
      <c r="BB278" s="289">
        <v>0.5113732097725358</v>
      </c>
      <c r="BC278" s="289">
        <v>0</v>
      </c>
      <c r="BD278" s="289">
        <v>0</v>
      </c>
      <c r="BE278" s="289">
        <v>2549</v>
      </c>
      <c r="BF278" s="289">
        <v>2374</v>
      </c>
      <c r="BG278" s="289">
        <v>-0.06865437426441742</v>
      </c>
      <c r="BH278" s="289">
        <v>1</v>
      </c>
      <c r="BI278" s="289">
        <v>0</v>
      </c>
      <c r="BJ278" s="289">
        <v>0</v>
      </c>
      <c r="BK278" s="289">
        <v>643284.3014052034</v>
      </c>
      <c r="BL278" s="289">
        <v>8437.07</v>
      </c>
      <c r="BM278" s="301">
        <v>487</v>
      </c>
    </row>
    <row r="279" spans="6:65" s="289" customFormat="1" ht="12.75">
      <c r="F279" s="289">
        <v>624</v>
      </c>
      <c r="G279" s="289" t="s">
        <v>322</v>
      </c>
      <c r="H279" s="289">
        <v>405</v>
      </c>
      <c r="I279" s="289">
        <v>59</v>
      </c>
      <c r="J279" s="289">
        <v>351</v>
      </c>
      <c r="K279" s="289">
        <v>205</v>
      </c>
      <c r="L279" s="289">
        <v>3811</v>
      </c>
      <c r="M279" s="289">
        <v>659</v>
      </c>
      <c r="N279" s="289">
        <v>368</v>
      </c>
      <c r="O279" s="289">
        <v>134</v>
      </c>
      <c r="P279" s="289">
        <v>5377</v>
      </c>
      <c r="Q279" s="289">
        <v>43</v>
      </c>
      <c r="R279" s="289">
        <v>16</v>
      </c>
      <c r="S279" s="289">
        <v>324.72</v>
      </c>
      <c r="T279" s="289">
        <v>16.558881497905887</v>
      </c>
      <c r="U279" s="289">
        <v>1</v>
      </c>
      <c r="V279" s="289">
        <v>1</v>
      </c>
      <c r="W279" s="289">
        <v>2212</v>
      </c>
      <c r="X279" s="289">
        <v>116</v>
      </c>
      <c r="Y279" s="289">
        <v>38</v>
      </c>
      <c r="Z279" s="289">
        <v>0.9776585595578122</v>
      </c>
      <c r="AA279" s="289">
        <v>6</v>
      </c>
      <c r="AB279" s="289">
        <v>6</v>
      </c>
      <c r="AC279" s="289">
        <v>0.6713057155472368</v>
      </c>
      <c r="AD279" s="289">
        <v>225</v>
      </c>
      <c r="AE279" s="289">
        <v>36</v>
      </c>
      <c r="AF279" s="289">
        <v>6</v>
      </c>
      <c r="AG279" s="289">
        <v>1</v>
      </c>
      <c r="AH279" s="289">
        <v>268</v>
      </c>
      <c r="AI279" s="289">
        <v>0.9772386622102094</v>
      </c>
      <c r="AJ279" s="289">
        <v>2478</v>
      </c>
      <c r="AK279" s="289">
        <v>237</v>
      </c>
      <c r="AL279" s="289">
        <v>0.9766445586041285</v>
      </c>
      <c r="AM279" s="289">
        <v>1.0732668748799559</v>
      </c>
      <c r="AN279" s="289">
        <v>0</v>
      </c>
      <c r="AO279" s="289">
        <v>0</v>
      </c>
      <c r="AP279" s="289">
        <f t="shared" si="3"/>
        <v>0</v>
      </c>
      <c r="AQ279" s="289">
        <v>190396.44915563427</v>
      </c>
      <c r="AR279" s="289">
        <v>398527.8589873439</v>
      </c>
      <c r="AS279" s="289">
        <v>1</v>
      </c>
      <c r="AT279" s="289">
        <v>5377</v>
      </c>
      <c r="AU279" s="289">
        <v>1</v>
      </c>
      <c r="AV279" s="289">
        <v>206</v>
      </c>
      <c r="AW279" s="289">
        <v>0.038311326018225775</v>
      </c>
      <c r="AX279" s="289">
        <v>0</v>
      </c>
      <c r="AY279" s="289">
        <v>324.72</v>
      </c>
      <c r="AZ279" s="289">
        <v>16.558881497905887</v>
      </c>
      <c r="BA279" s="289">
        <v>3829</v>
      </c>
      <c r="BB279" s="289">
        <v>0.7121071229310024</v>
      </c>
      <c r="BC279" s="289">
        <v>1</v>
      </c>
      <c r="BD279" s="289">
        <v>0</v>
      </c>
      <c r="BE279" s="289">
        <v>5316</v>
      </c>
      <c r="BF279" s="289">
        <v>5377</v>
      </c>
      <c r="BG279" s="289">
        <v>0.01147479307750188</v>
      </c>
      <c r="BH279" s="289">
        <v>0</v>
      </c>
      <c r="BI279" s="289">
        <v>0</v>
      </c>
      <c r="BJ279" s="289">
        <v>0</v>
      </c>
      <c r="BK279" s="289">
        <v>703560.1450210294</v>
      </c>
      <c r="BL279" s="289">
        <v>6910.29</v>
      </c>
      <c r="BM279" s="301">
        <v>1536</v>
      </c>
    </row>
    <row r="280" spans="6:65" s="289" customFormat="1" ht="12.75">
      <c r="F280" s="289">
        <v>625</v>
      </c>
      <c r="G280" s="289" t="s">
        <v>323</v>
      </c>
      <c r="H280" s="289">
        <v>284</v>
      </c>
      <c r="I280" s="289">
        <v>44</v>
      </c>
      <c r="J280" s="289">
        <v>231</v>
      </c>
      <c r="K280" s="289">
        <v>119</v>
      </c>
      <c r="L280" s="289">
        <v>2276</v>
      </c>
      <c r="M280" s="289">
        <v>402</v>
      </c>
      <c r="N280" s="289">
        <v>243</v>
      </c>
      <c r="O280" s="289">
        <v>106</v>
      </c>
      <c r="P280" s="289">
        <v>3311</v>
      </c>
      <c r="Q280" s="289">
        <v>4</v>
      </c>
      <c r="R280" s="289">
        <v>5</v>
      </c>
      <c r="S280" s="289">
        <v>542.3299999999999</v>
      </c>
      <c r="T280" s="289">
        <v>6.105138937547251</v>
      </c>
      <c r="U280" s="289">
        <v>0</v>
      </c>
      <c r="V280" s="289">
        <v>0</v>
      </c>
      <c r="W280" s="289">
        <v>1290</v>
      </c>
      <c r="X280" s="289">
        <v>130</v>
      </c>
      <c r="Y280" s="289">
        <v>16</v>
      </c>
      <c r="Z280" s="289">
        <v>0.9318870429636328</v>
      </c>
      <c r="AA280" s="289">
        <v>1</v>
      </c>
      <c r="AB280" s="289">
        <v>2</v>
      </c>
      <c r="AC280" s="289">
        <v>0.36339583534657127</v>
      </c>
      <c r="AD280" s="289">
        <v>197</v>
      </c>
      <c r="AE280" s="289">
        <v>27</v>
      </c>
      <c r="AF280" s="289">
        <v>7</v>
      </c>
      <c r="AG280" s="289">
        <v>0</v>
      </c>
      <c r="AH280" s="289">
        <v>231</v>
      </c>
      <c r="AI280" s="289">
        <v>1.3679136463131627</v>
      </c>
      <c r="AJ280" s="289">
        <v>1437</v>
      </c>
      <c r="AK280" s="289">
        <v>110</v>
      </c>
      <c r="AL280" s="289">
        <v>0.7816735339514558</v>
      </c>
      <c r="AM280" s="289">
        <v>1.283412830332735</v>
      </c>
      <c r="AN280" s="289">
        <v>0</v>
      </c>
      <c r="AO280" s="289">
        <v>0</v>
      </c>
      <c r="AP280" s="289">
        <f t="shared" si="3"/>
        <v>0</v>
      </c>
      <c r="AQ280" s="289">
        <v>-15316.170387493446</v>
      </c>
      <c r="AR280" s="289">
        <v>1828724.2540506318</v>
      </c>
      <c r="AS280" s="289">
        <v>1</v>
      </c>
      <c r="AT280" s="289">
        <v>3311</v>
      </c>
      <c r="AU280" s="289">
        <v>0</v>
      </c>
      <c r="AV280" s="289">
        <v>0</v>
      </c>
      <c r="AW280" s="289">
        <v>0</v>
      </c>
      <c r="AX280" s="289">
        <v>0.1678</v>
      </c>
      <c r="AY280" s="289">
        <v>542.33</v>
      </c>
      <c r="AZ280" s="289">
        <v>6.10513893754725</v>
      </c>
      <c r="BA280" s="289">
        <v>2292</v>
      </c>
      <c r="BB280" s="289">
        <v>0.6922379945635759</v>
      </c>
      <c r="BC280" s="289">
        <v>0</v>
      </c>
      <c r="BD280" s="289">
        <v>0</v>
      </c>
      <c r="BE280" s="289">
        <v>3373</v>
      </c>
      <c r="BF280" s="289">
        <v>3311</v>
      </c>
      <c r="BG280" s="289">
        <v>-0.018381262970649275</v>
      </c>
      <c r="BH280" s="289">
        <v>0</v>
      </c>
      <c r="BI280" s="289">
        <v>0</v>
      </c>
      <c r="BJ280" s="289">
        <v>0</v>
      </c>
      <c r="BK280" s="289">
        <v>645414.791469357</v>
      </c>
      <c r="BL280" s="289">
        <v>7258.02</v>
      </c>
      <c r="BM280" s="301">
        <v>1119</v>
      </c>
    </row>
    <row r="281" spans="6:65" s="289" customFormat="1" ht="12.75">
      <c r="F281" s="289">
        <v>626</v>
      </c>
      <c r="G281" s="289" t="s">
        <v>324</v>
      </c>
      <c r="H281" s="289">
        <v>412</v>
      </c>
      <c r="I281" s="289">
        <v>62</v>
      </c>
      <c r="J281" s="289">
        <v>326</v>
      </c>
      <c r="K281" s="289">
        <v>186</v>
      </c>
      <c r="L281" s="289">
        <v>3882</v>
      </c>
      <c r="M281" s="289">
        <v>791</v>
      </c>
      <c r="N281" s="289">
        <v>540</v>
      </c>
      <c r="O281" s="289">
        <v>224</v>
      </c>
      <c r="P281" s="289">
        <v>5849</v>
      </c>
      <c r="Q281" s="289">
        <v>3</v>
      </c>
      <c r="R281" s="289">
        <v>3</v>
      </c>
      <c r="S281" s="289">
        <v>1311.33</v>
      </c>
      <c r="T281" s="289">
        <v>4.4603570420870415</v>
      </c>
      <c r="U281" s="289">
        <v>0</v>
      </c>
      <c r="V281" s="289">
        <v>0</v>
      </c>
      <c r="W281" s="289">
        <v>1997</v>
      </c>
      <c r="X281" s="289">
        <v>281</v>
      </c>
      <c r="Y281" s="289">
        <v>27</v>
      </c>
      <c r="Z281" s="289">
        <v>0.8887478105618186</v>
      </c>
      <c r="AA281" s="289">
        <v>11</v>
      </c>
      <c r="AB281" s="289">
        <v>11</v>
      </c>
      <c r="AC281" s="289">
        <v>1.1314104735132051</v>
      </c>
      <c r="AD281" s="289">
        <v>477</v>
      </c>
      <c r="AE281" s="289">
        <v>34</v>
      </c>
      <c r="AF281" s="289">
        <v>6</v>
      </c>
      <c r="AG281" s="289">
        <v>2</v>
      </c>
      <c r="AH281" s="289">
        <v>519</v>
      </c>
      <c r="AI281" s="289">
        <v>1.7397691254784777</v>
      </c>
      <c r="AJ281" s="289">
        <v>2323</v>
      </c>
      <c r="AK281" s="289">
        <v>261</v>
      </c>
      <c r="AL281" s="289">
        <v>1.147310024745553</v>
      </c>
      <c r="AM281" s="289">
        <v>2.01563690549752</v>
      </c>
      <c r="AN281" s="289">
        <v>0.05</v>
      </c>
      <c r="AO281" s="289">
        <v>0</v>
      </c>
      <c r="AP281" s="289">
        <f t="shared" si="3"/>
        <v>0.05</v>
      </c>
      <c r="AQ281" s="289">
        <v>-60032.6572009027</v>
      </c>
      <c r="AR281" s="289">
        <v>623616.480253163</v>
      </c>
      <c r="AS281" s="289">
        <v>1</v>
      </c>
      <c r="AT281" s="289">
        <v>5849</v>
      </c>
      <c r="AU281" s="289">
        <v>0</v>
      </c>
      <c r="AV281" s="289">
        <v>0</v>
      </c>
      <c r="AW281" s="289">
        <v>0</v>
      </c>
      <c r="AX281" s="289">
        <v>0.9002333333333332</v>
      </c>
      <c r="AY281" s="289">
        <v>1311</v>
      </c>
      <c r="AZ281" s="289">
        <v>4.461479786422578</v>
      </c>
      <c r="BA281" s="289">
        <v>3163</v>
      </c>
      <c r="BB281" s="289">
        <v>0.5407762010600102</v>
      </c>
      <c r="BC281" s="289">
        <v>0</v>
      </c>
      <c r="BD281" s="289">
        <v>0</v>
      </c>
      <c r="BE281" s="289">
        <v>6001</v>
      </c>
      <c r="BF281" s="289">
        <v>5849</v>
      </c>
      <c r="BG281" s="289">
        <v>-0.02532911181469755</v>
      </c>
      <c r="BH281" s="289">
        <v>0</v>
      </c>
      <c r="BI281" s="289">
        <v>0</v>
      </c>
      <c r="BJ281" s="289">
        <v>0</v>
      </c>
      <c r="BK281" s="289">
        <v>1265423.3802086224</v>
      </c>
      <c r="BL281" s="289">
        <v>7453.54</v>
      </c>
      <c r="BM281" s="301">
        <v>1691</v>
      </c>
    </row>
    <row r="282" spans="6:65" s="289" customFormat="1" ht="12.75">
      <c r="F282" s="289">
        <v>630</v>
      </c>
      <c r="G282" s="289" t="s">
        <v>325</v>
      </c>
      <c r="H282" s="289">
        <v>137</v>
      </c>
      <c r="I282" s="289">
        <v>20</v>
      </c>
      <c r="J282" s="289">
        <v>133</v>
      </c>
      <c r="K282" s="289">
        <v>79</v>
      </c>
      <c r="L282" s="289">
        <v>1157</v>
      </c>
      <c r="M282" s="289">
        <v>151</v>
      </c>
      <c r="N282" s="289">
        <v>88</v>
      </c>
      <c r="O282" s="289">
        <v>33</v>
      </c>
      <c r="P282" s="289">
        <v>1566</v>
      </c>
      <c r="Q282" s="289">
        <v>0</v>
      </c>
      <c r="R282" s="289">
        <v>0</v>
      </c>
      <c r="S282" s="289">
        <v>810.73</v>
      </c>
      <c r="T282" s="289">
        <v>1.931592515387367</v>
      </c>
      <c r="U282" s="289">
        <v>0</v>
      </c>
      <c r="V282" s="289">
        <v>0</v>
      </c>
      <c r="W282" s="289">
        <v>580</v>
      </c>
      <c r="X282" s="289">
        <v>84</v>
      </c>
      <c r="Y282" s="289">
        <v>10</v>
      </c>
      <c r="Z282" s="289">
        <v>0.8805119102899986</v>
      </c>
      <c r="AA282" s="289">
        <v>1</v>
      </c>
      <c r="AB282" s="289">
        <v>2</v>
      </c>
      <c r="AC282" s="289">
        <v>0.7683292534051709</v>
      </c>
      <c r="AD282" s="289">
        <v>97</v>
      </c>
      <c r="AE282" s="289">
        <v>13</v>
      </c>
      <c r="AF282" s="289">
        <v>3</v>
      </c>
      <c r="AG282" s="289">
        <v>0</v>
      </c>
      <c r="AH282" s="289">
        <v>113</v>
      </c>
      <c r="AI282" s="289">
        <v>1.4147919130344098</v>
      </c>
      <c r="AJ282" s="289">
        <v>684</v>
      </c>
      <c r="AK282" s="289">
        <v>77</v>
      </c>
      <c r="AL282" s="289">
        <v>1.1495400698856277</v>
      </c>
      <c r="AM282" s="289">
        <v>1.893671656534701</v>
      </c>
      <c r="AN282" s="289">
        <v>0.0800000000000001</v>
      </c>
      <c r="AO282" s="289">
        <v>0</v>
      </c>
      <c r="AP282" s="289">
        <f t="shared" si="3"/>
        <v>0.0800000000000001</v>
      </c>
      <c r="AQ282" s="289">
        <v>-38762.769205734134</v>
      </c>
      <c r="AR282" s="289">
        <v>1231860.635949367</v>
      </c>
      <c r="AS282" s="289">
        <v>1</v>
      </c>
      <c r="AT282" s="289">
        <v>1566</v>
      </c>
      <c r="AU282" s="289">
        <v>0</v>
      </c>
      <c r="AV282" s="289">
        <v>0</v>
      </c>
      <c r="AW282" s="289">
        <v>0</v>
      </c>
      <c r="AX282" s="289">
        <v>1.3702833333333333</v>
      </c>
      <c r="AY282" s="289">
        <v>810.77</v>
      </c>
      <c r="AZ282" s="289">
        <v>1.931497218693341</v>
      </c>
      <c r="BA282" s="289">
        <v>839</v>
      </c>
      <c r="BB282" s="289">
        <v>0.5357598978288634</v>
      </c>
      <c r="BC282" s="289">
        <v>0</v>
      </c>
      <c r="BD282" s="289">
        <v>0</v>
      </c>
      <c r="BE282" s="289">
        <v>1648</v>
      </c>
      <c r="BF282" s="289">
        <v>1566</v>
      </c>
      <c r="BG282" s="289">
        <v>-0.04975728155339806</v>
      </c>
      <c r="BH282" s="289">
        <v>0</v>
      </c>
      <c r="BI282" s="289">
        <v>0</v>
      </c>
      <c r="BJ282" s="289">
        <v>0</v>
      </c>
      <c r="BK282" s="289">
        <v>350337.6594538477</v>
      </c>
      <c r="BL282" s="289">
        <v>8360.1</v>
      </c>
      <c r="BM282" s="301">
        <v>594</v>
      </c>
    </row>
    <row r="283" spans="6:65" s="289" customFormat="1" ht="12.75">
      <c r="F283" s="289">
        <v>631</v>
      </c>
      <c r="G283" s="289" t="s">
        <v>326</v>
      </c>
      <c r="H283" s="289">
        <v>151</v>
      </c>
      <c r="I283" s="289">
        <v>25</v>
      </c>
      <c r="J283" s="289">
        <v>150</v>
      </c>
      <c r="K283" s="289">
        <v>82</v>
      </c>
      <c r="L283" s="289">
        <v>1550</v>
      </c>
      <c r="M283" s="289">
        <v>291</v>
      </c>
      <c r="N283" s="289">
        <v>164</v>
      </c>
      <c r="O283" s="289">
        <v>43</v>
      </c>
      <c r="P283" s="289">
        <v>2199</v>
      </c>
      <c r="Q283" s="289">
        <v>2</v>
      </c>
      <c r="R283" s="289">
        <v>0</v>
      </c>
      <c r="S283" s="289">
        <v>143.27</v>
      </c>
      <c r="T283" s="289">
        <v>15.348642423396383</v>
      </c>
      <c r="U283" s="289">
        <v>0</v>
      </c>
      <c r="V283" s="289">
        <v>0</v>
      </c>
      <c r="W283" s="289">
        <v>962</v>
      </c>
      <c r="X283" s="289">
        <v>52</v>
      </c>
      <c r="Y283" s="289">
        <v>15</v>
      </c>
      <c r="Z283" s="289">
        <v>0.9776309057594738</v>
      </c>
      <c r="AA283" s="289">
        <v>0</v>
      </c>
      <c r="AB283" s="289">
        <v>2</v>
      </c>
      <c r="AC283" s="289">
        <v>0.5471594410334232</v>
      </c>
      <c r="AD283" s="289">
        <v>95</v>
      </c>
      <c r="AE283" s="289">
        <v>19</v>
      </c>
      <c r="AF283" s="289">
        <v>4</v>
      </c>
      <c r="AG283" s="289">
        <v>2</v>
      </c>
      <c r="AH283" s="289">
        <v>120</v>
      </c>
      <c r="AI283" s="289">
        <v>1.0699460989807366</v>
      </c>
      <c r="AJ283" s="289">
        <v>1072</v>
      </c>
      <c r="AK283" s="289">
        <v>79</v>
      </c>
      <c r="AL283" s="289">
        <v>0.7525264975811662</v>
      </c>
      <c r="AM283" s="289">
        <v>0.856560412303693</v>
      </c>
      <c r="AN283" s="289">
        <v>0</v>
      </c>
      <c r="AO283" s="289">
        <v>0</v>
      </c>
      <c r="AP283" s="289">
        <f t="shared" si="3"/>
        <v>0</v>
      </c>
      <c r="AQ283" s="289">
        <v>125422.74595760088</v>
      </c>
      <c r="AR283" s="289">
        <v>117323.05769230798</v>
      </c>
      <c r="AS283" s="289">
        <v>0</v>
      </c>
      <c r="AT283" s="289">
        <v>2199</v>
      </c>
      <c r="AU283" s="289">
        <v>0</v>
      </c>
      <c r="AV283" s="289">
        <v>0</v>
      </c>
      <c r="AW283" s="289">
        <v>0</v>
      </c>
      <c r="AX283" s="289">
        <v>0</v>
      </c>
      <c r="AY283" s="289">
        <v>143.26</v>
      </c>
      <c r="AZ283" s="289">
        <v>15.34971380706408</v>
      </c>
      <c r="BA283" s="289">
        <v>897</v>
      </c>
      <c r="BB283" s="289">
        <v>0.40791268758526605</v>
      </c>
      <c r="BC283" s="289">
        <v>0</v>
      </c>
      <c r="BD283" s="289">
        <v>0</v>
      </c>
      <c r="BE283" s="289">
        <v>2233</v>
      </c>
      <c r="BF283" s="289">
        <v>2199</v>
      </c>
      <c r="BG283" s="289">
        <v>-0.01522615315718764</v>
      </c>
      <c r="BH283" s="289">
        <v>0</v>
      </c>
      <c r="BI283" s="289">
        <v>0</v>
      </c>
      <c r="BJ283" s="289">
        <v>0</v>
      </c>
      <c r="BK283" s="289">
        <v>364573.83790455176</v>
      </c>
      <c r="BL283" s="289">
        <v>6602.92</v>
      </c>
      <c r="BM283" s="301">
        <v>621</v>
      </c>
    </row>
    <row r="284" spans="6:65" s="289" customFormat="1" ht="12.75">
      <c r="F284" s="289">
        <v>635</v>
      </c>
      <c r="G284" s="289" t="s">
        <v>327</v>
      </c>
      <c r="H284" s="289">
        <v>481</v>
      </c>
      <c r="I284" s="289">
        <v>82</v>
      </c>
      <c r="J284" s="289">
        <v>484</v>
      </c>
      <c r="K284" s="289">
        <v>241</v>
      </c>
      <c r="L284" s="289">
        <v>4677</v>
      </c>
      <c r="M284" s="289">
        <v>884</v>
      </c>
      <c r="N284" s="289">
        <v>557</v>
      </c>
      <c r="O284" s="289">
        <v>239</v>
      </c>
      <c r="P284" s="289">
        <v>6838</v>
      </c>
      <c r="Q284" s="289">
        <v>4</v>
      </c>
      <c r="R284" s="289">
        <v>13</v>
      </c>
      <c r="S284" s="289">
        <v>560.48</v>
      </c>
      <c r="T284" s="289">
        <v>12.200256922637738</v>
      </c>
      <c r="U284" s="289">
        <v>0</v>
      </c>
      <c r="V284" s="289">
        <v>0</v>
      </c>
      <c r="W284" s="289">
        <v>2765</v>
      </c>
      <c r="X284" s="289">
        <v>317</v>
      </c>
      <c r="Y284" s="289">
        <v>44</v>
      </c>
      <c r="Z284" s="289">
        <v>0.9136214488540255</v>
      </c>
      <c r="AA284" s="289">
        <v>5</v>
      </c>
      <c r="AB284" s="289">
        <v>5</v>
      </c>
      <c r="AC284" s="289">
        <v>0.43989602618912604</v>
      </c>
      <c r="AD284" s="289">
        <v>377</v>
      </c>
      <c r="AE284" s="289">
        <v>38</v>
      </c>
      <c r="AF284" s="289">
        <v>15</v>
      </c>
      <c r="AG284" s="289">
        <v>0</v>
      </c>
      <c r="AH284" s="289">
        <v>430</v>
      </c>
      <c r="AI284" s="289">
        <v>1.2329493672774874</v>
      </c>
      <c r="AJ284" s="289">
        <v>3118</v>
      </c>
      <c r="AK284" s="289">
        <v>262</v>
      </c>
      <c r="AL284" s="289">
        <v>0.8580541007974791</v>
      </c>
      <c r="AM284" s="289">
        <v>1.0019200068666412</v>
      </c>
      <c r="AN284" s="289">
        <v>0</v>
      </c>
      <c r="AO284" s="289">
        <v>0</v>
      </c>
      <c r="AP284" s="289">
        <f t="shared" si="3"/>
        <v>0</v>
      </c>
      <c r="AQ284" s="289">
        <v>-12804.24278062582</v>
      </c>
      <c r="AR284" s="289">
        <v>3585799.245125001</v>
      </c>
      <c r="AS284" s="289">
        <v>1</v>
      </c>
      <c r="AT284" s="289">
        <v>6838</v>
      </c>
      <c r="AU284" s="289">
        <v>0</v>
      </c>
      <c r="AV284" s="289">
        <v>0</v>
      </c>
      <c r="AW284" s="289">
        <v>0</v>
      </c>
      <c r="AX284" s="289">
        <v>0</v>
      </c>
      <c r="AY284" s="289">
        <v>560.5</v>
      </c>
      <c r="AZ284" s="289">
        <v>12.199821587867975</v>
      </c>
      <c r="BA284" s="289">
        <v>3717</v>
      </c>
      <c r="BB284" s="289">
        <v>0.5435799941503363</v>
      </c>
      <c r="BC284" s="289">
        <v>0</v>
      </c>
      <c r="BD284" s="289">
        <v>0</v>
      </c>
      <c r="BE284" s="289">
        <v>7012</v>
      </c>
      <c r="BF284" s="289">
        <v>6838</v>
      </c>
      <c r="BG284" s="289">
        <v>-0.02481460353679407</v>
      </c>
      <c r="BH284" s="289">
        <v>0</v>
      </c>
      <c r="BI284" s="289">
        <v>0</v>
      </c>
      <c r="BJ284" s="289">
        <v>0</v>
      </c>
      <c r="BK284" s="289">
        <v>1221605.504046903</v>
      </c>
      <c r="BL284" s="289">
        <v>6781.86</v>
      </c>
      <c r="BM284" s="301">
        <v>1959</v>
      </c>
    </row>
    <row r="285" spans="6:65" s="289" customFormat="1" ht="12.75">
      <c r="F285" s="289">
        <v>636</v>
      </c>
      <c r="G285" s="289" t="s">
        <v>328</v>
      </c>
      <c r="H285" s="289">
        <v>754</v>
      </c>
      <c r="I285" s="289">
        <v>90</v>
      </c>
      <c r="J285" s="289">
        <v>608</v>
      </c>
      <c r="K285" s="289">
        <v>317</v>
      </c>
      <c r="L285" s="289">
        <v>5978</v>
      </c>
      <c r="M285" s="289">
        <v>947</v>
      </c>
      <c r="N285" s="289">
        <v>587</v>
      </c>
      <c r="O285" s="289">
        <v>303</v>
      </c>
      <c r="P285" s="289">
        <v>8569</v>
      </c>
      <c r="Q285" s="289">
        <v>2</v>
      </c>
      <c r="R285" s="289">
        <v>22</v>
      </c>
      <c r="S285" s="289">
        <v>750.0500000000001</v>
      </c>
      <c r="T285" s="289">
        <v>11.424571695220317</v>
      </c>
      <c r="U285" s="289">
        <v>0</v>
      </c>
      <c r="V285" s="289">
        <v>0</v>
      </c>
      <c r="W285" s="289">
        <v>3640</v>
      </c>
      <c r="X285" s="289">
        <v>467</v>
      </c>
      <c r="Y285" s="289">
        <v>53</v>
      </c>
      <c r="Z285" s="289">
        <v>0.9007000140532614</v>
      </c>
      <c r="AA285" s="289">
        <v>4</v>
      </c>
      <c r="AB285" s="289">
        <v>2</v>
      </c>
      <c r="AC285" s="289">
        <v>0.14041353843301407</v>
      </c>
      <c r="AD285" s="289">
        <v>474</v>
      </c>
      <c r="AE285" s="289">
        <v>70</v>
      </c>
      <c r="AF285" s="289">
        <v>16</v>
      </c>
      <c r="AG285" s="289">
        <v>9</v>
      </c>
      <c r="AH285" s="289">
        <v>569</v>
      </c>
      <c r="AI285" s="289">
        <v>1.3019311154294222</v>
      </c>
      <c r="AJ285" s="289">
        <v>3916</v>
      </c>
      <c r="AK285" s="289">
        <v>281</v>
      </c>
      <c r="AL285" s="289">
        <v>0.7327454452339957</v>
      </c>
      <c r="AM285" s="289">
        <v>1.0832199129256082</v>
      </c>
      <c r="AN285" s="289">
        <v>0</v>
      </c>
      <c r="AO285" s="289">
        <v>0</v>
      </c>
      <c r="AP285" s="289">
        <f t="shared" si="3"/>
        <v>0</v>
      </c>
      <c r="AQ285" s="289">
        <v>4699.763645730913</v>
      </c>
      <c r="AR285" s="289">
        <v>4706583.687625003</v>
      </c>
      <c r="AS285" s="289">
        <v>1</v>
      </c>
      <c r="AT285" s="289">
        <v>8569</v>
      </c>
      <c r="AU285" s="289">
        <v>0</v>
      </c>
      <c r="AV285" s="289">
        <v>0</v>
      </c>
      <c r="AW285" s="289">
        <v>0</v>
      </c>
      <c r="AX285" s="289">
        <v>0</v>
      </c>
      <c r="AY285" s="289">
        <v>750.04</v>
      </c>
      <c r="AZ285" s="289">
        <v>11.424724014719216</v>
      </c>
      <c r="BA285" s="289">
        <v>4186</v>
      </c>
      <c r="BB285" s="289">
        <v>0.4885050764383242</v>
      </c>
      <c r="BC285" s="289">
        <v>0</v>
      </c>
      <c r="BD285" s="289">
        <v>0</v>
      </c>
      <c r="BE285" s="289">
        <v>8459</v>
      </c>
      <c r="BF285" s="289">
        <v>8569</v>
      </c>
      <c r="BG285" s="289">
        <v>0.013003901170351105</v>
      </c>
      <c r="BH285" s="289">
        <v>0</v>
      </c>
      <c r="BI285" s="289">
        <v>0</v>
      </c>
      <c r="BJ285" s="289">
        <v>0</v>
      </c>
      <c r="BK285" s="289">
        <v>1595060.116902902</v>
      </c>
      <c r="BL285" s="289">
        <v>6831.71</v>
      </c>
      <c r="BM285" s="301">
        <v>2726</v>
      </c>
    </row>
    <row r="286" spans="6:65" s="289" customFormat="1" ht="12.75">
      <c r="F286" s="289">
        <v>638</v>
      </c>
      <c r="G286" s="289" t="s">
        <v>315</v>
      </c>
      <c r="H286" s="289">
        <v>3924</v>
      </c>
      <c r="I286" s="289">
        <v>593</v>
      </c>
      <c r="J286" s="289">
        <v>3607</v>
      </c>
      <c r="K286" s="289">
        <v>1782</v>
      </c>
      <c r="L286" s="289">
        <v>36657</v>
      </c>
      <c r="M286" s="289">
        <v>5042</v>
      </c>
      <c r="N286" s="289">
        <v>2485</v>
      </c>
      <c r="O286" s="289">
        <v>920</v>
      </c>
      <c r="P286" s="289">
        <v>49028</v>
      </c>
      <c r="Q286" s="289">
        <v>1708</v>
      </c>
      <c r="R286" s="289">
        <v>301</v>
      </c>
      <c r="S286" s="289">
        <v>654.51</v>
      </c>
      <c r="T286" s="289">
        <v>74.90794640265237</v>
      </c>
      <c r="U286" s="289">
        <v>1</v>
      </c>
      <c r="V286" s="289">
        <v>1</v>
      </c>
      <c r="W286" s="289">
        <v>22490</v>
      </c>
      <c r="X286" s="289">
        <v>320</v>
      </c>
      <c r="Y286" s="289">
        <v>247</v>
      </c>
      <c r="Z286" s="289">
        <v>1.0243243282690644</v>
      </c>
      <c r="AA286" s="289">
        <v>71</v>
      </c>
      <c r="AB286" s="289">
        <v>71</v>
      </c>
      <c r="AC286" s="289">
        <v>0.8712109036581884</v>
      </c>
      <c r="AD286" s="289">
        <v>1533</v>
      </c>
      <c r="AE286" s="289">
        <v>275</v>
      </c>
      <c r="AF286" s="289">
        <v>77</v>
      </c>
      <c r="AG286" s="289">
        <v>9</v>
      </c>
      <c r="AH286" s="289">
        <v>1894</v>
      </c>
      <c r="AI286" s="289">
        <v>0.7574285658741712</v>
      </c>
      <c r="AJ286" s="289">
        <v>24551</v>
      </c>
      <c r="AK286" s="289">
        <v>1903</v>
      </c>
      <c r="AL286" s="289">
        <v>0.7915148963947124</v>
      </c>
      <c r="AM286" s="289">
        <v>0.7596392395660582</v>
      </c>
      <c r="AN286" s="289">
        <v>0</v>
      </c>
      <c r="AO286" s="289">
        <v>0</v>
      </c>
      <c r="AP286" s="289">
        <f t="shared" si="3"/>
        <v>0</v>
      </c>
      <c r="AQ286" s="289">
        <v>-441406.7972930819</v>
      </c>
      <c r="AR286" s="289">
        <v>-12983995.144899996</v>
      </c>
      <c r="AS286" s="289">
        <v>1</v>
      </c>
      <c r="AT286" s="289">
        <v>49028</v>
      </c>
      <c r="AU286" s="289">
        <v>1</v>
      </c>
      <c r="AV286" s="289">
        <v>1826</v>
      </c>
      <c r="AW286" s="289">
        <v>0.03724402382312148</v>
      </c>
      <c r="AX286" s="289">
        <v>0</v>
      </c>
      <c r="AY286" s="289">
        <v>654.52</v>
      </c>
      <c r="AZ286" s="289">
        <v>74.90680193118621</v>
      </c>
      <c r="BA286" s="289">
        <v>40671</v>
      </c>
      <c r="BB286" s="289">
        <v>0.8295463816594599</v>
      </c>
      <c r="BC286" s="289">
        <v>1</v>
      </c>
      <c r="BD286" s="289">
        <v>0</v>
      </c>
      <c r="BE286" s="289">
        <v>48599</v>
      </c>
      <c r="BF286" s="289">
        <v>49028</v>
      </c>
      <c r="BG286" s="289">
        <v>0.0088273421263812</v>
      </c>
      <c r="BH286" s="289">
        <v>0</v>
      </c>
      <c r="BI286" s="289">
        <v>1</v>
      </c>
      <c r="BJ286" s="289">
        <v>2.039650811781023E-05</v>
      </c>
      <c r="BK286" s="289">
        <v>7427106.169970079</v>
      </c>
      <c r="BL286" s="289">
        <v>6518.01</v>
      </c>
      <c r="BM286" s="301">
        <v>16570</v>
      </c>
    </row>
    <row r="287" spans="6:65" s="289" customFormat="1" ht="12.75">
      <c r="F287" s="289">
        <v>678</v>
      </c>
      <c r="G287" s="289" t="s">
        <v>329</v>
      </c>
      <c r="H287" s="289">
        <v>2404</v>
      </c>
      <c r="I287" s="289">
        <v>323</v>
      </c>
      <c r="J287" s="289">
        <v>1931</v>
      </c>
      <c r="K287" s="289">
        <v>978</v>
      </c>
      <c r="L287" s="289">
        <v>18619</v>
      </c>
      <c r="M287" s="289">
        <v>2791</v>
      </c>
      <c r="N287" s="289">
        <v>1375</v>
      </c>
      <c r="O287" s="289">
        <v>470</v>
      </c>
      <c r="P287" s="289">
        <v>25659</v>
      </c>
      <c r="Q287" s="289">
        <v>1</v>
      </c>
      <c r="R287" s="289">
        <v>68</v>
      </c>
      <c r="S287" s="289">
        <v>1014.1400000000001</v>
      </c>
      <c r="T287" s="289">
        <v>25.301240459897052</v>
      </c>
      <c r="U287" s="289">
        <v>0</v>
      </c>
      <c r="V287" s="289">
        <v>0</v>
      </c>
      <c r="W287" s="289">
        <v>10117</v>
      </c>
      <c r="X287" s="289">
        <v>275</v>
      </c>
      <c r="Y287" s="289">
        <v>123</v>
      </c>
      <c r="Z287" s="289">
        <v>1.0094778434991523</v>
      </c>
      <c r="AA287" s="289">
        <v>33</v>
      </c>
      <c r="AB287" s="289">
        <v>33</v>
      </c>
      <c r="AC287" s="289">
        <v>0.7737191464490514</v>
      </c>
      <c r="AD287" s="289">
        <v>1284</v>
      </c>
      <c r="AE287" s="289">
        <v>168</v>
      </c>
      <c r="AF287" s="289">
        <v>47</v>
      </c>
      <c r="AG287" s="289">
        <v>0</v>
      </c>
      <c r="AH287" s="289">
        <v>1499</v>
      </c>
      <c r="AI287" s="289">
        <v>1.145427983688732</v>
      </c>
      <c r="AJ287" s="289">
        <v>11219</v>
      </c>
      <c r="AK287" s="289">
        <v>1093</v>
      </c>
      <c r="AL287" s="289">
        <v>0.9948451904148389</v>
      </c>
      <c r="AM287" s="289">
        <v>1.5097327961303646</v>
      </c>
      <c r="AN287" s="289">
        <v>0</v>
      </c>
      <c r="AO287" s="289">
        <v>0</v>
      </c>
      <c r="AP287" s="289">
        <f t="shared" si="3"/>
        <v>0</v>
      </c>
      <c r="AQ287" s="289">
        <v>-262736.8353430629</v>
      </c>
      <c r="AR287" s="289">
        <v>3379919.4908633875</v>
      </c>
      <c r="AS287" s="289">
        <v>1</v>
      </c>
      <c r="AT287" s="289">
        <v>25659</v>
      </c>
      <c r="AU287" s="289">
        <v>0</v>
      </c>
      <c r="AV287" s="289">
        <v>0</v>
      </c>
      <c r="AW287" s="289">
        <v>0</v>
      </c>
      <c r="AX287" s="289">
        <v>0.05503333333333333</v>
      </c>
      <c r="AY287" s="289">
        <v>1014</v>
      </c>
      <c r="AZ287" s="289">
        <v>25.30473372781065</v>
      </c>
      <c r="BA287" s="289">
        <v>21912</v>
      </c>
      <c r="BB287" s="289">
        <v>0.8539693674734011</v>
      </c>
      <c r="BC287" s="289">
        <v>0</v>
      </c>
      <c r="BD287" s="289">
        <v>0</v>
      </c>
      <c r="BE287" s="289">
        <v>25674</v>
      </c>
      <c r="BF287" s="289">
        <v>25659</v>
      </c>
      <c r="BG287" s="289">
        <v>-0.0005842486562280906</v>
      </c>
      <c r="BH287" s="289">
        <v>0</v>
      </c>
      <c r="BI287" s="289">
        <v>2</v>
      </c>
      <c r="BJ287" s="289">
        <v>7.7945360302428E-05</v>
      </c>
      <c r="BK287" s="289">
        <v>4192814.905533317</v>
      </c>
      <c r="BL287" s="289">
        <v>6281.51</v>
      </c>
      <c r="BM287" s="301">
        <v>8144</v>
      </c>
    </row>
    <row r="288" spans="6:65" s="289" customFormat="1" ht="12.75">
      <c r="F288" s="289">
        <v>680</v>
      </c>
      <c r="G288" s="289" t="s">
        <v>331</v>
      </c>
      <c r="H288" s="289">
        <v>1823</v>
      </c>
      <c r="I288" s="289">
        <v>249</v>
      </c>
      <c r="J288" s="289">
        <v>1555</v>
      </c>
      <c r="K288" s="289">
        <v>960</v>
      </c>
      <c r="L288" s="289">
        <v>18158</v>
      </c>
      <c r="M288" s="289">
        <v>2554</v>
      </c>
      <c r="N288" s="289">
        <v>1535</v>
      </c>
      <c r="O288" s="289">
        <v>492</v>
      </c>
      <c r="P288" s="289">
        <v>24562</v>
      </c>
      <c r="Q288" s="289">
        <v>58</v>
      </c>
      <c r="R288" s="289">
        <v>178</v>
      </c>
      <c r="S288" s="289">
        <v>48.760000000000005</v>
      </c>
      <c r="T288" s="289">
        <v>503.7325676784249</v>
      </c>
      <c r="U288" s="289">
        <v>0</v>
      </c>
      <c r="V288" s="289">
        <v>0</v>
      </c>
      <c r="W288" s="289">
        <v>11107</v>
      </c>
      <c r="X288" s="289">
        <v>44</v>
      </c>
      <c r="Y288" s="289">
        <v>123</v>
      </c>
      <c r="Z288" s="289">
        <v>1.0350170624560902</v>
      </c>
      <c r="AA288" s="289">
        <v>39</v>
      </c>
      <c r="AB288" s="289">
        <v>39</v>
      </c>
      <c r="AC288" s="289">
        <v>0.9552345253331855</v>
      </c>
      <c r="AD288" s="289">
        <v>1029</v>
      </c>
      <c r="AE288" s="289">
        <v>170</v>
      </c>
      <c r="AF288" s="289">
        <v>69</v>
      </c>
      <c r="AG288" s="289">
        <v>3</v>
      </c>
      <c r="AH288" s="289">
        <v>1271</v>
      </c>
      <c r="AI288" s="289">
        <v>1.0145832927822556</v>
      </c>
      <c r="AJ288" s="289">
        <v>12069</v>
      </c>
      <c r="AK288" s="289">
        <v>961</v>
      </c>
      <c r="AL288" s="289">
        <v>0.8130955629561842</v>
      </c>
      <c r="AM288" s="289">
        <v>1.0308849662308248</v>
      </c>
      <c r="AN288" s="289">
        <v>0</v>
      </c>
      <c r="AO288" s="289">
        <v>0</v>
      </c>
      <c r="AP288" s="289">
        <f t="shared" si="3"/>
        <v>0</v>
      </c>
      <c r="AQ288" s="289">
        <v>-208527.08328069</v>
      </c>
      <c r="AR288" s="289">
        <v>-3211427.683805556</v>
      </c>
      <c r="AS288" s="289">
        <v>1</v>
      </c>
      <c r="AT288" s="289">
        <v>24562</v>
      </c>
      <c r="AU288" s="289">
        <v>0</v>
      </c>
      <c r="AV288" s="289">
        <v>0</v>
      </c>
      <c r="AW288" s="289">
        <v>0</v>
      </c>
      <c r="AX288" s="289">
        <v>0</v>
      </c>
      <c r="AY288" s="289">
        <v>48.76</v>
      </c>
      <c r="AZ288" s="289">
        <v>503.73256767842497</v>
      </c>
      <c r="BA288" s="289">
        <v>24003</v>
      </c>
      <c r="BB288" s="289">
        <v>0.9772412669978014</v>
      </c>
      <c r="BC288" s="289">
        <v>0</v>
      </c>
      <c r="BD288" s="289">
        <v>0</v>
      </c>
      <c r="BE288" s="289">
        <v>24191</v>
      </c>
      <c r="BF288" s="289">
        <v>24562</v>
      </c>
      <c r="BG288" s="289">
        <v>0.015336282088379977</v>
      </c>
      <c r="BH288" s="289">
        <v>0</v>
      </c>
      <c r="BI288" s="289">
        <v>6</v>
      </c>
      <c r="BJ288" s="289">
        <v>0.0002442797817767283</v>
      </c>
      <c r="BK288" s="289">
        <v>2721525.6415716796</v>
      </c>
      <c r="BL288" s="289">
        <v>6049.35</v>
      </c>
      <c r="BM288" s="301">
        <v>7863</v>
      </c>
    </row>
    <row r="289" spans="6:65" s="289" customFormat="1" ht="12.75">
      <c r="F289" s="289">
        <v>681</v>
      </c>
      <c r="G289" s="289" t="s">
        <v>332</v>
      </c>
      <c r="H289" s="289">
        <v>212</v>
      </c>
      <c r="I289" s="289">
        <v>27</v>
      </c>
      <c r="J289" s="289">
        <v>222</v>
      </c>
      <c r="K289" s="289">
        <v>111</v>
      </c>
      <c r="L289" s="289">
        <v>2603</v>
      </c>
      <c r="M289" s="289">
        <v>536</v>
      </c>
      <c r="N289" s="289">
        <v>400</v>
      </c>
      <c r="O289" s="289">
        <v>170</v>
      </c>
      <c r="P289" s="289">
        <v>3921</v>
      </c>
      <c r="Q289" s="289">
        <v>0</v>
      </c>
      <c r="R289" s="289">
        <v>5</v>
      </c>
      <c r="S289" s="289">
        <v>559.16</v>
      </c>
      <c r="T289" s="289">
        <v>7.012304170541527</v>
      </c>
      <c r="U289" s="289">
        <v>0</v>
      </c>
      <c r="V289" s="289">
        <v>0</v>
      </c>
      <c r="W289" s="289">
        <v>1431</v>
      </c>
      <c r="X289" s="289">
        <v>307</v>
      </c>
      <c r="Y289" s="289">
        <v>32</v>
      </c>
      <c r="Z289" s="289">
        <v>0.8018810747056988</v>
      </c>
      <c r="AA289" s="289">
        <v>8</v>
      </c>
      <c r="AB289" s="289">
        <v>8</v>
      </c>
      <c r="AC289" s="289">
        <v>1.2274456626702346</v>
      </c>
      <c r="AD289" s="289">
        <v>266</v>
      </c>
      <c r="AE289" s="289">
        <v>13</v>
      </c>
      <c r="AF289" s="289">
        <v>1</v>
      </c>
      <c r="AG289" s="289">
        <v>0</v>
      </c>
      <c r="AH289" s="289">
        <v>280</v>
      </c>
      <c r="AI289" s="289">
        <v>1.4001258438842539</v>
      </c>
      <c r="AJ289" s="289">
        <v>1714</v>
      </c>
      <c r="AK289" s="289">
        <v>230</v>
      </c>
      <c r="AL289" s="289">
        <v>1.370271134540658</v>
      </c>
      <c r="AM289" s="289">
        <v>1.295917936427731</v>
      </c>
      <c r="AN289" s="289">
        <v>0.05</v>
      </c>
      <c r="AO289" s="289">
        <v>0</v>
      </c>
      <c r="AP289" s="289">
        <f t="shared" si="3"/>
        <v>0.05</v>
      </c>
      <c r="AQ289" s="289">
        <v>78566.64100998268</v>
      </c>
      <c r="AR289" s="289">
        <v>3231661.015875</v>
      </c>
      <c r="AS289" s="289">
        <v>1</v>
      </c>
      <c r="AT289" s="289">
        <v>3921</v>
      </c>
      <c r="AU289" s="289">
        <v>0</v>
      </c>
      <c r="AV289" s="289">
        <v>0</v>
      </c>
      <c r="AW289" s="289">
        <v>0</v>
      </c>
      <c r="AX289" s="289">
        <v>0.5338666666666667</v>
      </c>
      <c r="AY289" s="289">
        <v>559.16</v>
      </c>
      <c r="AZ289" s="289">
        <v>7.012304170541527</v>
      </c>
      <c r="BA289" s="289">
        <v>1558</v>
      </c>
      <c r="BB289" s="289">
        <v>0.39734761540423363</v>
      </c>
      <c r="BC289" s="289">
        <v>0</v>
      </c>
      <c r="BD289" s="289">
        <v>0</v>
      </c>
      <c r="BE289" s="289">
        <v>4076</v>
      </c>
      <c r="BF289" s="289">
        <v>3921</v>
      </c>
      <c r="BG289" s="289">
        <v>-0.03802747791952895</v>
      </c>
      <c r="BH289" s="289">
        <v>0</v>
      </c>
      <c r="BI289" s="289">
        <v>0</v>
      </c>
      <c r="BJ289" s="289">
        <v>0</v>
      </c>
      <c r="BK289" s="289">
        <v>855180.0153791984</v>
      </c>
      <c r="BL289" s="289">
        <v>7156.7</v>
      </c>
      <c r="BM289" s="301">
        <v>963</v>
      </c>
    </row>
    <row r="290" spans="6:65" s="289" customFormat="1" ht="12.75">
      <c r="F290" s="289">
        <v>683</v>
      </c>
      <c r="G290" s="289" t="s">
        <v>333</v>
      </c>
      <c r="H290" s="289">
        <v>349</v>
      </c>
      <c r="I290" s="289">
        <v>60</v>
      </c>
      <c r="J290" s="289">
        <v>350</v>
      </c>
      <c r="K290" s="289">
        <v>215</v>
      </c>
      <c r="L290" s="289">
        <v>3000</v>
      </c>
      <c r="M290" s="289">
        <v>445</v>
      </c>
      <c r="N290" s="289">
        <v>327</v>
      </c>
      <c r="O290" s="289">
        <v>106</v>
      </c>
      <c r="P290" s="289">
        <v>4227</v>
      </c>
      <c r="Q290" s="289">
        <v>0</v>
      </c>
      <c r="R290" s="289">
        <v>0</v>
      </c>
      <c r="S290" s="289">
        <v>3453.71</v>
      </c>
      <c r="T290" s="289">
        <v>1.2239012540137997</v>
      </c>
      <c r="U290" s="289">
        <v>0</v>
      </c>
      <c r="V290" s="289">
        <v>0</v>
      </c>
      <c r="W290" s="289">
        <v>1366</v>
      </c>
      <c r="X290" s="289">
        <v>269</v>
      </c>
      <c r="Y290" s="289">
        <v>23</v>
      </c>
      <c r="Z290" s="289">
        <v>0.8261911549112274</v>
      </c>
      <c r="AA290" s="289">
        <v>7</v>
      </c>
      <c r="AB290" s="289">
        <v>7</v>
      </c>
      <c r="AC290" s="289">
        <v>0.99626511424503</v>
      </c>
      <c r="AD290" s="289">
        <v>295</v>
      </c>
      <c r="AE290" s="289">
        <v>53</v>
      </c>
      <c r="AF290" s="289">
        <v>12</v>
      </c>
      <c r="AG290" s="289">
        <v>2</v>
      </c>
      <c r="AH290" s="289">
        <v>362</v>
      </c>
      <c r="AI290" s="289">
        <v>1.6791218215054562</v>
      </c>
      <c r="AJ290" s="289">
        <v>1676</v>
      </c>
      <c r="AK290" s="289">
        <v>240</v>
      </c>
      <c r="AL290" s="289">
        <v>1.46226713164015</v>
      </c>
      <c r="AM290" s="289">
        <v>1.835333639156866</v>
      </c>
      <c r="AN290" s="289">
        <v>0.17</v>
      </c>
      <c r="AO290" s="289">
        <v>0</v>
      </c>
      <c r="AP290" s="289">
        <f t="shared" si="3"/>
        <v>0.17</v>
      </c>
      <c r="AQ290" s="289">
        <v>26685.365200374275</v>
      </c>
      <c r="AR290" s="289">
        <v>4609840.770000001</v>
      </c>
      <c r="AS290" s="289">
        <v>1</v>
      </c>
      <c r="AT290" s="289">
        <v>4227</v>
      </c>
      <c r="AU290" s="289">
        <v>0</v>
      </c>
      <c r="AV290" s="289">
        <v>0</v>
      </c>
      <c r="AW290" s="289">
        <v>0</v>
      </c>
      <c r="AX290" s="289">
        <v>1.6410166666666668</v>
      </c>
      <c r="AY290" s="289">
        <v>3453.73</v>
      </c>
      <c r="AZ290" s="289">
        <v>1.223894166596694</v>
      </c>
      <c r="BA290" s="289">
        <v>2026</v>
      </c>
      <c r="BB290" s="289">
        <v>0.4792997397681571</v>
      </c>
      <c r="BC290" s="289">
        <v>0</v>
      </c>
      <c r="BD290" s="289">
        <v>0</v>
      </c>
      <c r="BE290" s="289">
        <v>4407</v>
      </c>
      <c r="BF290" s="289">
        <v>4227</v>
      </c>
      <c r="BG290" s="289">
        <v>-0.04084411164057182</v>
      </c>
      <c r="BH290" s="289">
        <v>0</v>
      </c>
      <c r="BI290" s="289">
        <v>0</v>
      </c>
      <c r="BJ290" s="289">
        <v>0</v>
      </c>
      <c r="BK290" s="289">
        <v>1159200.5370205597</v>
      </c>
      <c r="BL290" s="289">
        <v>8720.64</v>
      </c>
      <c r="BM290" s="301">
        <v>1495</v>
      </c>
    </row>
    <row r="291" spans="6:65" s="289" customFormat="1" ht="12.75">
      <c r="F291" s="289">
        <v>684</v>
      </c>
      <c r="G291" s="289" t="s">
        <v>334</v>
      </c>
      <c r="H291" s="289">
        <v>2896</v>
      </c>
      <c r="I291" s="289">
        <v>419</v>
      </c>
      <c r="J291" s="289">
        <v>2292</v>
      </c>
      <c r="K291" s="289">
        <v>1252</v>
      </c>
      <c r="L291" s="289">
        <v>28387</v>
      </c>
      <c r="M291" s="289">
        <v>4582</v>
      </c>
      <c r="N291" s="289">
        <v>2855</v>
      </c>
      <c r="O291" s="289">
        <v>1122</v>
      </c>
      <c r="P291" s="289">
        <v>39842</v>
      </c>
      <c r="Q291" s="289">
        <v>7</v>
      </c>
      <c r="R291" s="289">
        <v>94</v>
      </c>
      <c r="S291" s="289">
        <v>495.5999999999999</v>
      </c>
      <c r="T291" s="289">
        <v>80.39144471347862</v>
      </c>
      <c r="U291" s="289">
        <v>0</v>
      </c>
      <c r="V291" s="289">
        <v>0</v>
      </c>
      <c r="W291" s="289">
        <v>17089</v>
      </c>
      <c r="X291" s="289">
        <v>228</v>
      </c>
      <c r="Y291" s="289">
        <v>186</v>
      </c>
      <c r="Z291" s="289">
        <v>1.025359482126582</v>
      </c>
      <c r="AA291" s="289">
        <v>63</v>
      </c>
      <c r="AB291" s="289">
        <v>63</v>
      </c>
      <c r="AC291" s="289">
        <v>0.9512804011149961</v>
      </c>
      <c r="AD291" s="289">
        <v>1778</v>
      </c>
      <c r="AE291" s="289">
        <v>215</v>
      </c>
      <c r="AF291" s="289">
        <v>70</v>
      </c>
      <c r="AG291" s="289">
        <v>6</v>
      </c>
      <c r="AH291" s="289">
        <v>2069</v>
      </c>
      <c r="AI291" s="289">
        <v>1.018181595398015</v>
      </c>
      <c r="AJ291" s="289">
        <v>19070</v>
      </c>
      <c r="AK291" s="289">
        <v>1971</v>
      </c>
      <c r="AL291" s="289">
        <v>1.055420248556097</v>
      </c>
      <c r="AM291" s="289">
        <v>0.9450411991232833</v>
      </c>
      <c r="AN291" s="289">
        <v>0</v>
      </c>
      <c r="AO291" s="289">
        <v>0</v>
      </c>
      <c r="AP291" s="289">
        <f t="shared" si="3"/>
        <v>0</v>
      </c>
      <c r="AQ291" s="289">
        <v>441723.179392606</v>
      </c>
      <c r="AR291" s="289">
        <v>-12414577.858356947</v>
      </c>
      <c r="AS291" s="289">
        <v>1</v>
      </c>
      <c r="AT291" s="289">
        <v>39842</v>
      </c>
      <c r="AU291" s="289">
        <v>0</v>
      </c>
      <c r="AV291" s="289">
        <v>0</v>
      </c>
      <c r="AW291" s="289">
        <v>0</v>
      </c>
      <c r="AX291" s="289">
        <v>0</v>
      </c>
      <c r="AY291" s="289">
        <v>495.62</v>
      </c>
      <c r="AZ291" s="289">
        <v>80.38820063758524</v>
      </c>
      <c r="BA291" s="289">
        <v>36351</v>
      </c>
      <c r="BB291" s="289">
        <v>0.9123788966417349</v>
      </c>
      <c r="BC291" s="289">
        <v>0</v>
      </c>
      <c r="BD291" s="289">
        <v>0</v>
      </c>
      <c r="BE291" s="289">
        <v>39793</v>
      </c>
      <c r="BF291" s="289">
        <v>39842</v>
      </c>
      <c r="BG291" s="289">
        <v>0.0012313723519211922</v>
      </c>
      <c r="BH291" s="289">
        <v>0</v>
      </c>
      <c r="BI291" s="289">
        <v>0</v>
      </c>
      <c r="BJ291" s="289">
        <v>0</v>
      </c>
      <c r="BK291" s="289">
        <v>6708682.282448956</v>
      </c>
      <c r="BL291" s="289">
        <v>5972.39</v>
      </c>
      <c r="BM291" s="301">
        <v>12580</v>
      </c>
    </row>
    <row r="292" spans="6:65" s="289" customFormat="1" ht="12.75">
      <c r="F292" s="289">
        <v>686</v>
      </c>
      <c r="G292" s="289" t="s">
        <v>335</v>
      </c>
      <c r="H292" s="289">
        <v>199</v>
      </c>
      <c r="I292" s="289">
        <v>36</v>
      </c>
      <c r="J292" s="289">
        <v>210</v>
      </c>
      <c r="K292" s="289">
        <v>94</v>
      </c>
      <c r="L292" s="289">
        <v>2239</v>
      </c>
      <c r="M292" s="289">
        <v>496</v>
      </c>
      <c r="N292" s="289">
        <v>360</v>
      </c>
      <c r="O292" s="289">
        <v>150</v>
      </c>
      <c r="P292" s="289">
        <v>3444</v>
      </c>
      <c r="Q292" s="289">
        <v>0</v>
      </c>
      <c r="R292" s="289">
        <v>4</v>
      </c>
      <c r="S292" s="289">
        <v>538.98</v>
      </c>
      <c r="T292" s="289">
        <v>6.389847489702771</v>
      </c>
      <c r="U292" s="289">
        <v>0</v>
      </c>
      <c r="V292" s="289">
        <v>0</v>
      </c>
      <c r="W292" s="289">
        <v>1192</v>
      </c>
      <c r="X292" s="289">
        <v>213</v>
      </c>
      <c r="Y292" s="289">
        <v>22</v>
      </c>
      <c r="Z292" s="289">
        <v>0.8436506423577739</v>
      </c>
      <c r="AA292" s="289">
        <v>3</v>
      </c>
      <c r="AB292" s="289">
        <v>2</v>
      </c>
      <c r="AC292" s="289">
        <v>0.349362256339285</v>
      </c>
      <c r="AD292" s="289">
        <v>281</v>
      </c>
      <c r="AE292" s="289">
        <v>21</v>
      </c>
      <c r="AF292" s="289">
        <v>4</v>
      </c>
      <c r="AG292" s="289">
        <v>3</v>
      </c>
      <c r="AH292" s="289">
        <v>309</v>
      </c>
      <c r="AI292" s="289">
        <v>1.7591433041582454</v>
      </c>
      <c r="AJ292" s="289">
        <v>1368</v>
      </c>
      <c r="AK292" s="289">
        <v>161</v>
      </c>
      <c r="AL292" s="289">
        <v>1.2017918912440653</v>
      </c>
      <c r="AM292" s="289">
        <v>1.8948353499771937</v>
      </c>
      <c r="AN292" s="289">
        <v>0</v>
      </c>
      <c r="AO292" s="289">
        <v>0</v>
      </c>
      <c r="AP292" s="289">
        <f t="shared" si="3"/>
        <v>0</v>
      </c>
      <c r="AQ292" s="289">
        <v>44659.95051725209</v>
      </c>
      <c r="AR292" s="289">
        <v>3091249.044146342</v>
      </c>
      <c r="AS292" s="289">
        <v>0</v>
      </c>
      <c r="AT292" s="289">
        <v>3444</v>
      </c>
      <c r="AU292" s="289">
        <v>0</v>
      </c>
      <c r="AV292" s="289">
        <v>0</v>
      </c>
      <c r="AW292" s="289">
        <v>0</v>
      </c>
      <c r="AX292" s="289">
        <v>0.17226666666666668</v>
      </c>
      <c r="AY292" s="289">
        <v>538.98</v>
      </c>
      <c r="AZ292" s="289">
        <v>6.389847489702771</v>
      </c>
      <c r="BA292" s="289">
        <v>1642</v>
      </c>
      <c r="BB292" s="289">
        <v>0.47677119628339143</v>
      </c>
      <c r="BC292" s="289">
        <v>0</v>
      </c>
      <c r="BD292" s="289">
        <v>0</v>
      </c>
      <c r="BE292" s="289">
        <v>3520</v>
      </c>
      <c r="BF292" s="289">
        <v>3444</v>
      </c>
      <c r="BG292" s="289">
        <v>-0.02159090909090909</v>
      </c>
      <c r="BH292" s="289">
        <v>0</v>
      </c>
      <c r="BI292" s="289">
        <v>0</v>
      </c>
      <c r="BJ292" s="289">
        <v>0</v>
      </c>
      <c r="BK292" s="289">
        <v>869094.1046983493</v>
      </c>
      <c r="BL292" s="289">
        <v>7223.33</v>
      </c>
      <c r="BM292" s="301">
        <v>864</v>
      </c>
    </row>
    <row r="293" spans="6:65" s="289" customFormat="1" ht="12.75">
      <c r="F293" s="289">
        <v>687</v>
      </c>
      <c r="G293" s="289" t="s">
        <v>336</v>
      </c>
      <c r="H293" s="289">
        <v>89</v>
      </c>
      <c r="I293" s="289">
        <v>14</v>
      </c>
      <c r="J293" s="289">
        <v>89</v>
      </c>
      <c r="K293" s="289">
        <v>42</v>
      </c>
      <c r="L293" s="289">
        <v>1138</v>
      </c>
      <c r="M293" s="289">
        <v>298</v>
      </c>
      <c r="N293" s="289">
        <v>222</v>
      </c>
      <c r="O293" s="289">
        <v>66</v>
      </c>
      <c r="P293" s="289">
        <v>1813</v>
      </c>
      <c r="Q293" s="289">
        <v>0</v>
      </c>
      <c r="R293" s="289">
        <v>3</v>
      </c>
      <c r="S293" s="289">
        <v>1150.93</v>
      </c>
      <c r="T293" s="289">
        <v>1.575247843048665</v>
      </c>
      <c r="U293" s="289">
        <v>0</v>
      </c>
      <c r="V293" s="289">
        <v>0</v>
      </c>
      <c r="W293" s="289">
        <v>582</v>
      </c>
      <c r="X293" s="289">
        <v>120</v>
      </c>
      <c r="Y293" s="289">
        <v>9</v>
      </c>
      <c r="Z293" s="289">
        <v>0.8179037069194994</v>
      </c>
      <c r="AA293" s="289">
        <v>9</v>
      </c>
      <c r="AB293" s="289">
        <v>9</v>
      </c>
      <c r="AC293" s="289">
        <v>2.98644029164161</v>
      </c>
      <c r="AD293" s="289">
        <v>156</v>
      </c>
      <c r="AE293" s="289">
        <v>7</v>
      </c>
      <c r="AF293" s="289">
        <v>3</v>
      </c>
      <c r="AG293" s="289">
        <v>1</v>
      </c>
      <c r="AH293" s="289">
        <v>167</v>
      </c>
      <c r="AI293" s="289">
        <v>1.8060282945715798</v>
      </c>
      <c r="AJ293" s="289">
        <v>681</v>
      </c>
      <c r="AK293" s="289">
        <v>82</v>
      </c>
      <c r="AL293" s="289">
        <v>1.2295784167619257</v>
      </c>
      <c r="AM293" s="289">
        <v>2.564751694244401</v>
      </c>
      <c r="AN293" s="289">
        <v>0.0800000000000001</v>
      </c>
      <c r="AO293" s="289">
        <v>0</v>
      </c>
      <c r="AP293" s="289">
        <f t="shared" si="3"/>
        <v>0.0800000000000001</v>
      </c>
      <c r="AQ293" s="289">
        <v>78279.17512978334</v>
      </c>
      <c r="AR293" s="289">
        <v>1490733.8987500006</v>
      </c>
      <c r="AS293" s="289">
        <v>1</v>
      </c>
      <c r="AT293" s="289">
        <v>1813</v>
      </c>
      <c r="AU293" s="289">
        <v>0</v>
      </c>
      <c r="AV293" s="289">
        <v>0</v>
      </c>
      <c r="AW293" s="289">
        <v>0</v>
      </c>
      <c r="AX293" s="289">
        <v>1.0983666666666667</v>
      </c>
      <c r="AY293" s="289">
        <v>1150.93</v>
      </c>
      <c r="AZ293" s="289">
        <v>1.575247843048665</v>
      </c>
      <c r="BA293" s="289">
        <v>788</v>
      </c>
      <c r="BB293" s="289">
        <v>0.43463872035300605</v>
      </c>
      <c r="BC293" s="289">
        <v>0</v>
      </c>
      <c r="BD293" s="289">
        <v>0</v>
      </c>
      <c r="BE293" s="289">
        <v>1918</v>
      </c>
      <c r="BF293" s="289">
        <v>1813</v>
      </c>
      <c r="BG293" s="289">
        <v>-0.05474452554744526</v>
      </c>
      <c r="BH293" s="289">
        <v>0</v>
      </c>
      <c r="BI293" s="289">
        <v>0</v>
      </c>
      <c r="BJ293" s="289">
        <v>0</v>
      </c>
      <c r="BK293" s="289">
        <v>551289.7796590858</v>
      </c>
      <c r="BL293" s="289">
        <v>8583.66</v>
      </c>
      <c r="BM293" s="301">
        <v>382</v>
      </c>
    </row>
    <row r="294" spans="6:65" s="289" customFormat="1" ht="12.75">
      <c r="F294" s="289">
        <v>689</v>
      </c>
      <c r="G294" s="289" t="s">
        <v>337</v>
      </c>
      <c r="H294" s="289">
        <v>179</v>
      </c>
      <c r="I294" s="289">
        <v>38</v>
      </c>
      <c r="J294" s="289">
        <v>171</v>
      </c>
      <c r="K294" s="289">
        <v>135</v>
      </c>
      <c r="L294" s="289">
        <v>2446</v>
      </c>
      <c r="M294" s="289">
        <v>579</v>
      </c>
      <c r="N294" s="289">
        <v>427</v>
      </c>
      <c r="O294" s="289">
        <v>153</v>
      </c>
      <c r="P294" s="289">
        <v>3784</v>
      </c>
      <c r="Q294" s="289">
        <v>0</v>
      </c>
      <c r="R294" s="289">
        <v>4</v>
      </c>
      <c r="S294" s="289">
        <v>351.64</v>
      </c>
      <c r="T294" s="289">
        <v>10.76100557388238</v>
      </c>
      <c r="U294" s="289">
        <v>0</v>
      </c>
      <c r="V294" s="289">
        <v>0</v>
      </c>
      <c r="W294" s="289">
        <v>1293</v>
      </c>
      <c r="X294" s="289">
        <v>106</v>
      </c>
      <c r="Y294" s="289">
        <v>19</v>
      </c>
      <c r="Z294" s="289">
        <v>0.9492296100669587</v>
      </c>
      <c r="AA294" s="289">
        <v>6</v>
      </c>
      <c r="AB294" s="289">
        <v>6</v>
      </c>
      <c r="AC294" s="289">
        <v>0.9539140677847496</v>
      </c>
      <c r="AD294" s="289">
        <v>242</v>
      </c>
      <c r="AE294" s="289">
        <v>22</v>
      </c>
      <c r="AF294" s="289">
        <v>6</v>
      </c>
      <c r="AG294" s="289">
        <v>3</v>
      </c>
      <c r="AH294" s="289">
        <v>273</v>
      </c>
      <c r="AI294" s="289">
        <v>1.4145470660738386</v>
      </c>
      <c r="AJ294" s="289">
        <v>1552</v>
      </c>
      <c r="AK294" s="289">
        <v>185</v>
      </c>
      <c r="AL294" s="289">
        <v>1.2172211845907028</v>
      </c>
      <c r="AM294" s="289">
        <v>1.9731561477181099</v>
      </c>
      <c r="AN294" s="289">
        <v>0.05</v>
      </c>
      <c r="AO294" s="289">
        <v>0</v>
      </c>
      <c r="AP294" s="289">
        <f t="shared" si="3"/>
        <v>0.05</v>
      </c>
      <c r="AQ294" s="289">
        <v>-30003.020192259923</v>
      </c>
      <c r="AR294" s="289">
        <v>1302490.2310526331</v>
      </c>
      <c r="AS294" s="289">
        <v>1</v>
      </c>
      <c r="AT294" s="289">
        <v>3784</v>
      </c>
      <c r="AU294" s="289">
        <v>0</v>
      </c>
      <c r="AV294" s="289">
        <v>0</v>
      </c>
      <c r="AW294" s="289">
        <v>0</v>
      </c>
      <c r="AX294" s="289">
        <v>0.5586</v>
      </c>
      <c r="AY294" s="289">
        <v>351.64</v>
      </c>
      <c r="AZ294" s="289">
        <v>10.76100557388238</v>
      </c>
      <c r="BA294" s="289">
        <v>2136</v>
      </c>
      <c r="BB294" s="289">
        <v>0.5644820295983086</v>
      </c>
      <c r="BC294" s="289">
        <v>0</v>
      </c>
      <c r="BD294" s="289">
        <v>0</v>
      </c>
      <c r="BE294" s="289">
        <v>4037</v>
      </c>
      <c r="BF294" s="289">
        <v>3784</v>
      </c>
      <c r="BG294" s="289">
        <v>-0.06267029972752043</v>
      </c>
      <c r="BH294" s="289">
        <v>1</v>
      </c>
      <c r="BI294" s="289">
        <v>0</v>
      </c>
      <c r="BJ294" s="289">
        <v>0</v>
      </c>
      <c r="BK294" s="289">
        <v>746793.5451431618</v>
      </c>
      <c r="BL294" s="289">
        <v>6846.66</v>
      </c>
      <c r="BM294" s="301">
        <v>816</v>
      </c>
    </row>
    <row r="295" spans="6:65" s="289" customFormat="1" ht="12.75">
      <c r="F295" s="289">
        <v>691</v>
      </c>
      <c r="G295" s="289" t="s">
        <v>338</v>
      </c>
      <c r="H295" s="289">
        <v>249</v>
      </c>
      <c r="I295" s="289">
        <v>35</v>
      </c>
      <c r="J295" s="289">
        <v>259</v>
      </c>
      <c r="K295" s="289">
        <v>122</v>
      </c>
      <c r="L295" s="289">
        <v>2066</v>
      </c>
      <c r="M295" s="289">
        <v>341</v>
      </c>
      <c r="N295" s="289">
        <v>223</v>
      </c>
      <c r="O295" s="289">
        <v>82</v>
      </c>
      <c r="P295" s="289">
        <v>2961</v>
      </c>
      <c r="Q295" s="289">
        <v>1</v>
      </c>
      <c r="R295" s="289">
        <v>0</v>
      </c>
      <c r="S295" s="289">
        <v>474.42</v>
      </c>
      <c r="T295" s="289">
        <v>6.241305172631845</v>
      </c>
      <c r="U295" s="289">
        <v>0</v>
      </c>
      <c r="V295" s="289">
        <v>0</v>
      </c>
      <c r="W295" s="289">
        <v>1157</v>
      </c>
      <c r="X295" s="289">
        <v>300</v>
      </c>
      <c r="Y295" s="289">
        <v>25</v>
      </c>
      <c r="Z295" s="289">
        <v>0.755643457482886</v>
      </c>
      <c r="AA295" s="289">
        <v>7</v>
      </c>
      <c r="AB295" s="289">
        <v>7</v>
      </c>
      <c r="AC295" s="289">
        <v>1.4222264903457418</v>
      </c>
      <c r="AD295" s="289">
        <v>215</v>
      </c>
      <c r="AE295" s="289">
        <v>19</v>
      </c>
      <c r="AF295" s="289">
        <v>7</v>
      </c>
      <c r="AG295" s="289">
        <v>1</v>
      </c>
      <c r="AH295" s="289">
        <v>242</v>
      </c>
      <c r="AI295" s="289">
        <v>1.6024439269992987</v>
      </c>
      <c r="AJ295" s="289">
        <v>1219</v>
      </c>
      <c r="AK295" s="289">
        <v>74</v>
      </c>
      <c r="AL295" s="289">
        <v>0.6198941028662086</v>
      </c>
      <c r="AM295" s="289">
        <v>1.935104645603358</v>
      </c>
      <c r="AN295" s="289">
        <v>0</v>
      </c>
      <c r="AO295" s="289">
        <v>0</v>
      </c>
      <c r="AP295" s="289">
        <f t="shared" si="3"/>
        <v>0</v>
      </c>
      <c r="AQ295" s="289">
        <v>17542.227682605386</v>
      </c>
      <c r="AR295" s="289">
        <v>2667812.7666666675</v>
      </c>
      <c r="AS295" s="289">
        <v>0</v>
      </c>
      <c r="AT295" s="289">
        <v>2961</v>
      </c>
      <c r="AU295" s="289">
        <v>0</v>
      </c>
      <c r="AV295" s="289">
        <v>0</v>
      </c>
      <c r="AW295" s="289">
        <v>0</v>
      </c>
      <c r="AX295" s="289">
        <v>0.49546666666666667</v>
      </c>
      <c r="AY295" s="289">
        <v>474.36</v>
      </c>
      <c r="AZ295" s="289">
        <v>6.2420946116873255</v>
      </c>
      <c r="BA295" s="289">
        <v>1224</v>
      </c>
      <c r="BB295" s="289">
        <v>0.4133738601823708</v>
      </c>
      <c r="BC295" s="289">
        <v>0</v>
      </c>
      <c r="BD295" s="289">
        <v>0</v>
      </c>
      <c r="BE295" s="289">
        <v>3020</v>
      </c>
      <c r="BF295" s="289">
        <v>2961</v>
      </c>
      <c r="BG295" s="289">
        <v>-0.0195364238410596</v>
      </c>
      <c r="BH295" s="289">
        <v>0</v>
      </c>
      <c r="BI295" s="289">
        <v>0</v>
      </c>
      <c r="BJ295" s="289">
        <v>0</v>
      </c>
      <c r="BK295" s="289">
        <v>652977.9985627844</v>
      </c>
      <c r="BL295" s="289">
        <v>7222.67</v>
      </c>
      <c r="BM295" s="301">
        <v>1084</v>
      </c>
    </row>
    <row r="296" spans="6:65" s="289" customFormat="1" ht="12.75">
      <c r="F296" s="289">
        <v>694</v>
      </c>
      <c r="G296" s="289" t="s">
        <v>339</v>
      </c>
      <c r="H296" s="289">
        <v>2404</v>
      </c>
      <c r="I296" s="289">
        <v>361</v>
      </c>
      <c r="J296" s="289">
        <v>1937</v>
      </c>
      <c r="K296" s="289">
        <v>950</v>
      </c>
      <c r="L296" s="289">
        <v>21650</v>
      </c>
      <c r="M296" s="289">
        <v>2856</v>
      </c>
      <c r="N296" s="289">
        <v>1627</v>
      </c>
      <c r="O296" s="289">
        <v>678</v>
      </c>
      <c r="P296" s="289">
        <v>29215</v>
      </c>
      <c r="Q296" s="289">
        <v>22</v>
      </c>
      <c r="R296" s="289">
        <v>106</v>
      </c>
      <c r="S296" s="289">
        <v>121.03</v>
      </c>
      <c r="T296" s="289">
        <v>241.38643311575643</v>
      </c>
      <c r="U296" s="289">
        <v>0</v>
      </c>
      <c r="V296" s="289">
        <v>0</v>
      </c>
      <c r="W296" s="289">
        <v>13020</v>
      </c>
      <c r="X296" s="289">
        <v>87</v>
      </c>
      <c r="Y296" s="289">
        <v>140</v>
      </c>
      <c r="Z296" s="289">
        <v>1.0324959928121302</v>
      </c>
      <c r="AA296" s="289">
        <v>66</v>
      </c>
      <c r="AB296" s="289">
        <v>66</v>
      </c>
      <c r="AC296" s="289">
        <v>1.359086741655739</v>
      </c>
      <c r="AD296" s="289">
        <v>1149</v>
      </c>
      <c r="AE296" s="289">
        <v>185</v>
      </c>
      <c r="AF296" s="289">
        <v>46</v>
      </c>
      <c r="AG296" s="289">
        <v>1</v>
      </c>
      <c r="AH296" s="289">
        <v>1381</v>
      </c>
      <c r="AI296" s="289">
        <v>0.9268163164928351</v>
      </c>
      <c r="AJ296" s="289">
        <v>14344</v>
      </c>
      <c r="AK296" s="289">
        <v>1361</v>
      </c>
      <c r="AL296" s="289">
        <v>0.9688963936395941</v>
      </c>
      <c r="AM296" s="289">
        <v>0.9388909700528077</v>
      </c>
      <c r="AN296" s="289">
        <v>0</v>
      </c>
      <c r="AO296" s="289">
        <v>0</v>
      </c>
      <c r="AP296" s="289">
        <f t="shared" si="3"/>
        <v>0</v>
      </c>
      <c r="AQ296" s="289">
        <v>-40213.59984558821</v>
      </c>
      <c r="AR296" s="289">
        <v>-3291708.3251291104</v>
      </c>
      <c r="AS296" s="289">
        <v>1</v>
      </c>
      <c r="AT296" s="289">
        <v>29215</v>
      </c>
      <c r="AU296" s="289">
        <v>0</v>
      </c>
      <c r="AV296" s="289">
        <v>0</v>
      </c>
      <c r="AW296" s="289">
        <v>0</v>
      </c>
      <c r="AX296" s="289">
        <v>0</v>
      </c>
      <c r="AY296" s="289">
        <v>121.03</v>
      </c>
      <c r="AZ296" s="289">
        <v>241.38643311575643</v>
      </c>
      <c r="BA296" s="289">
        <v>27986</v>
      </c>
      <c r="BB296" s="289">
        <v>0.9579325688858463</v>
      </c>
      <c r="BC296" s="289">
        <v>0</v>
      </c>
      <c r="BD296" s="289">
        <v>0</v>
      </c>
      <c r="BE296" s="289">
        <v>28587</v>
      </c>
      <c r="BF296" s="289">
        <v>29215</v>
      </c>
      <c r="BG296" s="289">
        <v>0.021968027425053344</v>
      </c>
      <c r="BH296" s="289">
        <v>0</v>
      </c>
      <c r="BI296" s="289">
        <v>0</v>
      </c>
      <c r="BJ296" s="289">
        <v>0</v>
      </c>
      <c r="BK296" s="289">
        <v>4705298.650822093</v>
      </c>
      <c r="BL296" s="289">
        <v>5984.79</v>
      </c>
      <c r="BM296" s="301">
        <v>9931</v>
      </c>
    </row>
    <row r="297" spans="6:65" s="289" customFormat="1" ht="12.75">
      <c r="F297" s="289">
        <v>697</v>
      </c>
      <c r="G297" s="289" t="s">
        <v>340</v>
      </c>
      <c r="H297" s="289">
        <v>62</v>
      </c>
      <c r="I297" s="289">
        <v>5</v>
      </c>
      <c r="J297" s="289">
        <v>65</v>
      </c>
      <c r="K297" s="289">
        <v>32</v>
      </c>
      <c r="L297" s="289">
        <v>933</v>
      </c>
      <c r="M297" s="289">
        <v>197</v>
      </c>
      <c r="N297" s="289">
        <v>186</v>
      </c>
      <c r="O297" s="289">
        <v>72</v>
      </c>
      <c r="P297" s="289">
        <v>1450</v>
      </c>
      <c r="Q297" s="289">
        <v>0</v>
      </c>
      <c r="R297" s="289">
        <v>0</v>
      </c>
      <c r="S297" s="289">
        <v>835.6199999999999</v>
      </c>
      <c r="T297" s="289">
        <v>1.7352385055407962</v>
      </c>
      <c r="U297" s="289">
        <v>0</v>
      </c>
      <c r="V297" s="289">
        <v>0</v>
      </c>
      <c r="W297" s="289">
        <v>546</v>
      </c>
      <c r="X297" s="289">
        <v>95</v>
      </c>
      <c r="Y297" s="289">
        <v>14</v>
      </c>
      <c r="Z297" s="289">
        <v>0.841038260985631</v>
      </c>
      <c r="AA297" s="289">
        <v>3</v>
      </c>
      <c r="AB297" s="289">
        <v>2</v>
      </c>
      <c r="AC297" s="289">
        <v>0.8297955936775845</v>
      </c>
      <c r="AD297" s="289">
        <v>133</v>
      </c>
      <c r="AE297" s="289">
        <v>10</v>
      </c>
      <c r="AF297" s="289">
        <v>3</v>
      </c>
      <c r="AG297" s="289">
        <v>0</v>
      </c>
      <c r="AH297" s="289">
        <v>146</v>
      </c>
      <c r="AI297" s="289">
        <v>1.9741981313917323</v>
      </c>
      <c r="AJ297" s="289">
        <v>594</v>
      </c>
      <c r="AK297" s="289">
        <v>54</v>
      </c>
      <c r="AL297" s="289">
        <v>0.9283180729654893</v>
      </c>
      <c r="AM297" s="289">
        <v>1.5408500050266798</v>
      </c>
      <c r="AN297" s="289">
        <v>0.05</v>
      </c>
      <c r="AO297" s="289">
        <v>0</v>
      </c>
      <c r="AP297" s="289">
        <f t="shared" si="3"/>
        <v>0.05</v>
      </c>
      <c r="AQ297" s="289">
        <v>104403.79041090794</v>
      </c>
      <c r="AR297" s="289">
        <v>1245973.0245569616</v>
      </c>
      <c r="AS297" s="289">
        <v>0</v>
      </c>
      <c r="AT297" s="289">
        <v>1450</v>
      </c>
      <c r="AU297" s="289">
        <v>0</v>
      </c>
      <c r="AV297" s="289">
        <v>0</v>
      </c>
      <c r="AW297" s="289">
        <v>0</v>
      </c>
      <c r="AX297" s="289">
        <v>0.6009833333333333</v>
      </c>
      <c r="AY297" s="289">
        <v>835.61</v>
      </c>
      <c r="AZ297" s="289">
        <v>1.735259271669798</v>
      </c>
      <c r="BA297" s="289">
        <v>626</v>
      </c>
      <c r="BB297" s="289">
        <v>0.4317241379310345</v>
      </c>
      <c r="BC297" s="289">
        <v>0</v>
      </c>
      <c r="BD297" s="289">
        <v>0</v>
      </c>
      <c r="BE297" s="289">
        <v>1521</v>
      </c>
      <c r="BF297" s="289">
        <v>1450</v>
      </c>
      <c r="BG297" s="289">
        <v>-0.04667981591058514</v>
      </c>
      <c r="BH297" s="289">
        <v>0</v>
      </c>
      <c r="BI297" s="289">
        <v>0</v>
      </c>
      <c r="BJ297" s="289">
        <v>0</v>
      </c>
      <c r="BK297" s="289">
        <v>370485.61760775396</v>
      </c>
      <c r="BL297" s="289">
        <v>8465.03</v>
      </c>
      <c r="BM297" s="301">
        <v>334</v>
      </c>
    </row>
    <row r="298" spans="6:65" s="289" customFormat="1" ht="12.75">
      <c r="F298" s="289">
        <v>698</v>
      </c>
      <c r="G298" s="289" t="s">
        <v>341</v>
      </c>
      <c r="H298" s="289">
        <v>5114</v>
      </c>
      <c r="I298" s="289">
        <v>671</v>
      </c>
      <c r="J298" s="289">
        <v>3861</v>
      </c>
      <c r="K298" s="289">
        <v>1995</v>
      </c>
      <c r="L298" s="289">
        <v>45958</v>
      </c>
      <c r="M298" s="289">
        <v>5381</v>
      </c>
      <c r="N298" s="289">
        <v>3338</v>
      </c>
      <c r="O298" s="289">
        <v>1086</v>
      </c>
      <c r="P298" s="289">
        <v>60877</v>
      </c>
      <c r="Q298" s="289">
        <v>9</v>
      </c>
      <c r="R298" s="289">
        <v>162</v>
      </c>
      <c r="S298" s="289">
        <v>7582.06</v>
      </c>
      <c r="T298" s="289">
        <v>8.029084444069289</v>
      </c>
      <c r="U298" s="289">
        <v>0</v>
      </c>
      <c r="V298" s="289">
        <v>0</v>
      </c>
      <c r="W298" s="289">
        <v>25529</v>
      </c>
      <c r="X298" s="289">
        <v>653</v>
      </c>
      <c r="Y298" s="289">
        <v>307</v>
      </c>
      <c r="Z298" s="289">
        <v>1.0113014644582115</v>
      </c>
      <c r="AA298" s="289">
        <v>77</v>
      </c>
      <c r="AB298" s="289">
        <v>77</v>
      </c>
      <c r="AC298" s="289">
        <v>0.7609333412791556</v>
      </c>
      <c r="AD298" s="289">
        <v>2641</v>
      </c>
      <c r="AE298" s="289">
        <v>465</v>
      </c>
      <c r="AF298" s="289">
        <v>175</v>
      </c>
      <c r="AG298" s="289">
        <v>22</v>
      </c>
      <c r="AH298" s="289">
        <v>3303</v>
      </c>
      <c r="AI298" s="289">
        <v>1.0638030086470105</v>
      </c>
      <c r="AJ298" s="289">
        <v>28626</v>
      </c>
      <c r="AK298" s="289">
        <v>3725</v>
      </c>
      <c r="AL298" s="289">
        <v>1.3287861747977685</v>
      </c>
      <c r="AM298" s="289">
        <v>1.086933234462533</v>
      </c>
      <c r="AN298" s="289">
        <v>0</v>
      </c>
      <c r="AO298" s="289">
        <v>0</v>
      </c>
      <c r="AP298" s="289">
        <f t="shared" si="3"/>
        <v>0</v>
      </c>
      <c r="AQ298" s="289">
        <v>-851137.8510162681</v>
      </c>
      <c r="AR298" s="289">
        <v>7195989.217875022</v>
      </c>
      <c r="AS298" s="289">
        <v>1</v>
      </c>
      <c r="AT298" s="289">
        <v>60877</v>
      </c>
      <c r="AU298" s="289">
        <v>0</v>
      </c>
      <c r="AV298" s="289">
        <v>0</v>
      </c>
      <c r="AW298" s="289">
        <v>0</v>
      </c>
      <c r="AX298" s="289">
        <v>0</v>
      </c>
      <c r="AY298" s="289">
        <v>7581.96</v>
      </c>
      <c r="AZ298" s="289">
        <v>8.029190341283783</v>
      </c>
      <c r="BA298" s="289">
        <v>53689</v>
      </c>
      <c r="BB298" s="289">
        <v>0.881925850485405</v>
      </c>
      <c r="BC298" s="289">
        <v>0</v>
      </c>
      <c r="BD298" s="289">
        <v>0</v>
      </c>
      <c r="BE298" s="289">
        <v>59848</v>
      </c>
      <c r="BF298" s="289">
        <v>60877</v>
      </c>
      <c r="BG298" s="289">
        <v>0.017193557011094773</v>
      </c>
      <c r="BH298" s="289">
        <v>0</v>
      </c>
      <c r="BI298" s="289">
        <v>126</v>
      </c>
      <c r="BJ298" s="289">
        <v>0.0020697471951640193</v>
      </c>
      <c r="BK298" s="289">
        <v>10189560.26062257</v>
      </c>
      <c r="BL298" s="289">
        <v>7078.42</v>
      </c>
      <c r="BM298" s="301">
        <v>22840</v>
      </c>
    </row>
    <row r="299" spans="6:65" s="289" customFormat="1" ht="12.75">
      <c r="F299" s="289">
        <v>700</v>
      </c>
      <c r="G299" s="289" t="s">
        <v>342</v>
      </c>
      <c r="H299" s="289">
        <v>327</v>
      </c>
      <c r="I299" s="289">
        <v>53</v>
      </c>
      <c r="J299" s="289">
        <v>331</v>
      </c>
      <c r="K299" s="289">
        <v>178</v>
      </c>
      <c r="L299" s="289">
        <v>3708</v>
      </c>
      <c r="M299" s="289">
        <v>770</v>
      </c>
      <c r="N299" s="289">
        <v>584</v>
      </c>
      <c r="O299" s="289">
        <v>188</v>
      </c>
      <c r="P299" s="289">
        <v>5577</v>
      </c>
      <c r="Q299" s="289">
        <v>1</v>
      </c>
      <c r="R299" s="289">
        <v>3</v>
      </c>
      <c r="S299" s="289">
        <v>943.4299999999998</v>
      </c>
      <c r="T299" s="289">
        <v>5.911408371580299</v>
      </c>
      <c r="U299" s="289">
        <v>1</v>
      </c>
      <c r="V299" s="289">
        <v>0</v>
      </c>
      <c r="W299" s="289">
        <v>2085</v>
      </c>
      <c r="X299" s="289">
        <v>175</v>
      </c>
      <c r="Y299" s="289">
        <v>41</v>
      </c>
      <c r="Z299" s="289">
        <v>0.9419550986298018</v>
      </c>
      <c r="AA299" s="289">
        <v>8</v>
      </c>
      <c r="AB299" s="289">
        <v>8</v>
      </c>
      <c r="AC299" s="289">
        <v>0.8629755143141457</v>
      </c>
      <c r="AD299" s="289">
        <v>330</v>
      </c>
      <c r="AE299" s="289">
        <v>24</v>
      </c>
      <c r="AF299" s="289">
        <v>14</v>
      </c>
      <c r="AG299" s="289">
        <v>6</v>
      </c>
      <c r="AH299" s="289">
        <v>374</v>
      </c>
      <c r="AI299" s="289">
        <v>1.314851907238556</v>
      </c>
      <c r="AJ299" s="289">
        <v>2376</v>
      </c>
      <c r="AK299" s="289">
        <v>250</v>
      </c>
      <c r="AL299" s="289">
        <v>1.0744422140804275</v>
      </c>
      <c r="AM299" s="289">
        <v>1.2018678790345034</v>
      </c>
      <c r="AN299" s="289">
        <v>0</v>
      </c>
      <c r="AO299" s="289">
        <v>0</v>
      </c>
      <c r="AP299" s="289">
        <f t="shared" si="3"/>
        <v>0</v>
      </c>
      <c r="AQ299" s="289">
        <v>-18757.48855673708</v>
      </c>
      <c r="AR299" s="289">
        <v>584578.8860810811</v>
      </c>
      <c r="AS299" s="289">
        <v>1</v>
      </c>
      <c r="AT299" s="289">
        <v>5577</v>
      </c>
      <c r="AU299" s="289">
        <v>1</v>
      </c>
      <c r="AV299" s="289">
        <v>412</v>
      </c>
      <c r="AW299" s="289">
        <v>0.07387484310561233</v>
      </c>
      <c r="AX299" s="289">
        <v>0</v>
      </c>
      <c r="AY299" s="289">
        <v>943.49</v>
      </c>
      <c r="AZ299" s="289">
        <v>5.911032443375128</v>
      </c>
      <c r="BA299" s="289">
        <v>3306</v>
      </c>
      <c r="BB299" s="289">
        <v>0.5927918235610543</v>
      </c>
      <c r="BC299" s="289">
        <v>0</v>
      </c>
      <c r="BD299" s="289">
        <v>0</v>
      </c>
      <c r="BE299" s="289">
        <v>5733</v>
      </c>
      <c r="BF299" s="289">
        <v>5577</v>
      </c>
      <c r="BG299" s="289">
        <v>-0.027210884353741496</v>
      </c>
      <c r="BH299" s="289">
        <v>0</v>
      </c>
      <c r="BI299" s="289">
        <v>0</v>
      </c>
      <c r="BJ299" s="289">
        <v>0</v>
      </c>
      <c r="BK299" s="289">
        <v>957405.4465156934</v>
      </c>
      <c r="BL299" s="289">
        <v>7260.67</v>
      </c>
      <c r="BM299" s="301">
        <v>1341</v>
      </c>
    </row>
    <row r="300" spans="6:65" s="289" customFormat="1" ht="12.75">
      <c r="F300" s="289">
        <v>702</v>
      </c>
      <c r="G300" s="289" t="s">
        <v>343</v>
      </c>
      <c r="H300" s="289">
        <v>244</v>
      </c>
      <c r="I300" s="289">
        <v>43</v>
      </c>
      <c r="J300" s="289">
        <v>277</v>
      </c>
      <c r="K300" s="289">
        <v>164</v>
      </c>
      <c r="L300" s="289">
        <v>3151</v>
      </c>
      <c r="M300" s="289">
        <v>738</v>
      </c>
      <c r="N300" s="289">
        <v>522</v>
      </c>
      <c r="O300" s="289">
        <v>213</v>
      </c>
      <c r="P300" s="289">
        <v>4868</v>
      </c>
      <c r="Q300" s="289">
        <v>0</v>
      </c>
      <c r="R300" s="289">
        <v>4</v>
      </c>
      <c r="S300" s="289">
        <v>776.76</v>
      </c>
      <c r="T300" s="289">
        <v>6.267058035944179</v>
      </c>
      <c r="U300" s="289">
        <v>0</v>
      </c>
      <c r="V300" s="289">
        <v>0</v>
      </c>
      <c r="W300" s="289">
        <v>1798</v>
      </c>
      <c r="X300" s="289">
        <v>240</v>
      </c>
      <c r="Y300" s="289">
        <v>25</v>
      </c>
      <c r="Z300" s="289">
        <v>0.8959410317765618</v>
      </c>
      <c r="AA300" s="289">
        <v>4</v>
      </c>
      <c r="AB300" s="289">
        <v>2</v>
      </c>
      <c r="AC300" s="289">
        <v>0.2471659019787382</v>
      </c>
      <c r="AD300" s="289">
        <v>341</v>
      </c>
      <c r="AE300" s="289">
        <v>23</v>
      </c>
      <c r="AF300" s="289">
        <v>9</v>
      </c>
      <c r="AG300" s="289">
        <v>2</v>
      </c>
      <c r="AH300" s="289">
        <v>375</v>
      </c>
      <c r="AI300" s="289">
        <v>1.5103812343741267</v>
      </c>
      <c r="AJ300" s="289">
        <v>2081</v>
      </c>
      <c r="AK300" s="289">
        <v>191</v>
      </c>
      <c r="AL300" s="289">
        <v>0.9372399189334419</v>
      </c>
      <c r="AM300" s="289">
        <v>1.1944910221554683</v>
      </c>
      <c r="AN300" s="289">
        <v>0</v>
      </c>
      <c r="AO300" s="289">
        <v>0</v>
      </c>
      <c r="AP300" s="289">
        <f t="shared" si="3"/>
        <v>0</v>
      </c>
      <c r="AQ300" s="289">
        <v>-42497.95249035582</v>
      </c>
      <c r="AR300" s="289">
        <v>2620349.222926829</v>
      </c>
      <c r="AS300" s="289">
        <v>1</v>
      </c>
      <c r="AT300" s="289">
        <v>4868</v>
      </c>
      <c r="AU300" s="289">
        <v>0</v>
      </c>
      <c r="AV300" s="289">
        <v>0</v>
      </c>
      <c r="AW300" s="289">
        <v>0</v>
      </c>
      <c r="AX300" s="289">
        <v>0.23</v>
      </c>
      <c r="AY300" s="289">
        <v>776.53</v>
      </c>
      <c r="AZ300" s="289">
        <v>6.268914272468546</v>
      </c>
      <c r="BA300" s="289">
        <v>2420</v>
      </c>
      <c r="BB300" s="289">
        <v>0.4971240755957272</v>
      </c>
      <c r="BC300" s="289">
        <v>0</v>
      </c>
      <c r="BD300" s="289">
        <v>0</v>
      </c>
      <c r="BE300" s="289">
        <v>5101</v>
      </c>
      <c r="BF300" s="289">
        <v>4868</v>
      </c>
      <c r="BG300" s="289">
        <v>-0.04567731817290727</v>
      </c>
      <c r="BH300" s="289">
        <v>0</v>
      </c>
      <c r="BI300" s="289">
        <v>0</v>
      </c>
      <c r="BJ300" s="289">
        <v>0</v>
      </c>
      <c r="BK300" s="289">
        <v>1035505.0025896227</v>
      </c>
      <c r="BL300" s="289">
        <v>7218.36</v>
      </c>
      <c r="BM300" s="301">
        <v>1219</v>
      </c>
    </row>
    <row r="301" spans="6:65" s="289" customFormat="1" ht="12.75">
      <c r="F301" s="289">
        <v>704</v>
      </c>
      <c r="G301" s="289" t="s">
        <v>344</v>
      </c>
      <c r="H301" s="289">
        <v>484</v>
      </c>
      <c r="I301" s="289">
        <v>71</v>
      </c>
      <c r="J301" s="289">
        <v>545</v>
      </c>
      <c r="K301" s="289">
        <v>309</v>
      </c>
      <c r="L301" s="289">
        <v>4543</v>
      </c>
      <c r="M301" s="289">
        <v>521</v>
      </c>
      <c r="N301" s="289">
        <v>268</v>
      </c>
      <c r="O301" s="289">
        <v>91</v>
      </c>
      <c r="P301" s="289">
        <v>5907</v>
      </c>
      <c r="Q301" s="289">
        <v>12</v>
      </c>
      <c r="R301" s="289">
        <v>8</v>
      </c>
      <c r="S301" s="289">
        <v>127.12</v>
      </c>
      <c r="T301" s="289">
        <v>46.46790434235368</v>
      </c>
      <c r="U301" s="289">
        <v>0</v>
      </c>
      <c r="V301" s="289">
        <v>0</v>
      </c>
      <c r="W301" s="289">
        <v>2784</v>
      </c>
      <c r="X301" s="289">
        <v>104</v>
      </c>
      <c r="Y301" s="289">
        <v>31</v>
      </c>
      <c r="Z301" s="289">
        <v>0.9998611326981337</v>
      </c>
      <c r="AA301" s="289">
        <v>7</v>
      </c>
      <c r="AB301" s="289">
        <v>7</v>
      </c>
      <c r="AC301" s="289">
        <v>0.7129190177609178</v>
      </c>
      <c r="AD301" s="289">
        <v>152</v>
      </c>
      <c r="AE301" s="289">
        <v>74</v>
      </c>
      <c r="AF301" s="289">
        <v>2</v>
      </c>
      <c r="AG301" s="289">
        <v>1</v>
      </c>
      <c r="AH301" s="289">
        <v>229</v>
      </c>
      <c r="AI301" s="289">
        <v>0.7601064090765597</v>
      </c>
      <c r="AJ301" s="289">
        <v>2927</v>
      </c>
      <c r="AK301" s="289">
        <v>153</v>
      </c>
      <c r="AL301" s="289">
        <v>0.5337749630341367</v>
      </c>
      <c r="AM301" s="289">
        <v>0.6860920971725977</v>
      </c>
      <c r="AN301" s="289">
        <v>0</v>
      </c>
      <c r="AO301" s="289">
        <v>0</v>
      </c>
      <c r="AP301" s="289">
        <f t="shared" si="3"/>
        <v>0</v>
      </c>
      <c r="AQ301" s="289">
        <v>-138690.0078582205</v>
      </c>
      <c r="AR301" s="289">
        <v>-224848.27383698514</v>
      </c>
      <c r="AS301" s="289">
        <v>1</v>
      </c>
      <c r="AT301" s="289">
        <v>5907</v>
      </c>
      <c r="AU301" s="289">
        <v>0</v>
      </c>
      <c r="AV301" s="289">
        <v>0</v>
      </c>
      <c r="AW301" s="289">
        <v>0</v>
      </c>
      <c r="AX301" s="289">
        <v>0</v>
      </c>
      <c r="AY301" s="289">
        <v>127.12</v>
      </c>
      <c r="AZ301" s="289">
        <v>46.46790434235368</v>
      </c>
      <c r="BA301" s="289">
        <v>4210</v>
      </c>
      <c r="BB301" s="289">
        <v>0.712713729473506</v>
      </c>
      <c r="BC301" s="289">
        <v>0</v>
      </c>
      <c r="BD301" s="289">
        <v>0</v>
      </c>
      <c r="BE301" s="289">
        <v>5822</v>
      </c>
      <c r="BF301" s="289">
        <v>5907</v>
      </c>
      <c r="BG301" s="289">
        <v>0.014599793885262797</v>
      </c>
      <c r="BH301" s="289">
        <v>0</v>
      </c>
      <c r="BI301" s="289">
        <v>0</v>
      </c>
      <c r="BJ301" s="289">
        <v>0</v>
      </c>
      <c r="BK301" s="289">
        <v>826429.1926489418</v>
      </c>
      <c r="BL301" s="289">
        <v>5965.56</v>
      </c>
      <c r="BM301" s="301">
        <v>2057</v>
      </c>
    </row>
    <row r="302" spans="6:65" s="289" customFormat="1" ht="12.75">
      <c r="F302" s="289">
        <v>707</v>
      </c>
      <c r="G302" s="289" t="s">
        <v>345</v>
      </c>
      <c r="H302" s="289">
        <v>111</v>
      </c>
      <c r="I302" s="289">
        <v>20</v>
      </c>
      <c r="J302" s="289">
        <v>139</v>
      </c>
      <c r="K302" s="289">
        <v>71</v>
      </c>
      <c r="L302" s="289">
        <v>1647</v>
      </c>
      <c r="M302" s="289">
        <v>377</v>
      </c>
      <c r="N302" s="289">
        <v>251</v>
      </c>
      <c r="O302" s="289">
        <v>104</v>
      </c>
      <c r="P302" s="289">
        <v>2490</v>
      </c>
      <c r="Q302" s="289">
        <v>0</v>
      </c>
      <c r="R302" s="289">
        <v>16</v>
      </c>
      <c r="S302" s="289">
        <v>427.66999999999996</v>
      </c>
      <c r="T302" s="289">
        <v>5.822246124348213</v>
      </c>
      <c r="U302" s="289">
        <v>1</v>
      </c>
      <c r="V302" s="289">
        <v>0</v>
      </c>
      <c r="W302" s="289">
        <v>823</v>
      </c>
      <c r="X302" s="289">
        <v>206</v>
      </c>
      <c r="Y302" s="289">
        <v>16</v>
      </c>
      <c r="Z302" s="289">
        <v>0.7673643092592286</v>
      </c>
      <c r="AA302" s="289">
        <v>1</v>
      </c>
      <c r="AB302" s="289">
        <v>2</v>
      </c>
      <c r="AC302" s="289">
        <v>0.4832143015391557</v>
      </c>
      <c r="AD302" s="289">
        <v>190</v>
      </c>
      <c r="AE302" s="289">
        <v>13</v>
      </c>
      <c r="AF302" s="289">
        <v>2</v>
      </c>
      <c r="AG302" s="289">
        <v>1</v>
      </c>
      <c r="AH302" s="289">
        <v>206</v>
      </c>
      <c r="AI302" s="289">
        <v>1.6220855527499325</v>
      </c>
      <c r="AJ302" s="289">
        <v>1001</v>
      </c>
      <c r="AK302" s="289">
        <v>150</v>
      </c>
      <c r="AL302" s="289">
        <v>1.53019462576729</v>
      </c>
      <c r="AM302" s="289">
        <v>1.878128249717141</v>
      </c>
      <c r="AN302" s="289">
        <v>0</v>
      </c>
      <c r="AO302" s="289">
        <v>0</v>
      </c>
      <c r="AP302" s="289">
        <f t="shared" si="3"/>
        <v>0</v>
      </c>
      <c r="AQ302" s="289">
        <v>152966.38367605582</v>
      </c>
      <c r="AR302" s="289">
        <v>3012302.851666667</v>
      </c>
      <c r="AS302" s="289">
        <v>0</v>
      </c>
      <c r="AT302" s="289">
        <v>2490</v>
      </c>
      <c r="AU302" s="289">
        <v>1</v>
      </c>
      <c r="AV302" s="289">
        <v>429</v>
      </c>
      <c r="AW302" s="289">
        <v>0.172289156626506</v>
      </c>
      <c r="AX302" s="289">
        <v>0.36293333333333333</v>
      </c>
      <c r="AY302" s="289">
        <v>427.68</v>
      </c>
      <c r="AZ302" s="289">
        <v>5.822109988776655</v>
      </c>
      <c r="BA302" s="289">
        <v>686</v>
      </c>
      <c r="BB302" s="289">
        <v>0.2755020080321285</v>
      </c>
      <c r="BC302" s="289">
        <v>0</v>
      </c>
      <c r="BD302" s="289">
        <v>0</v>
      </c>
      <c r="BE302" s="289">
        <v>2625</v>
      </c>
      <c r="BF302" s="289">
        <v>2490</v>
      </c>
      <c r="BG302" s="289">
        <v>-0.05142857142857143</v>
      </c>
      <c r="BH302" s="289">
        <v>0</v>
      </c>
      <c r="BI302" s="289">
        <v>0</v>
      </c>
      <c r="BJ302" s="289">
        <v>0</v>
      </c>
      <c r="BK302" s="289">
        <v>879872.8928719329</v>
      </c>
      <c r="BL302" s="289">
        <v>7360.54</v>
      </c>
      <c r="BM302" s="301">
        <v>552</v>
      </c>
    </row>
    <row r="303" spans="6:65" s="289" customFormat="1" ht="12.75">
      <c r="F303" s="289">
        <v>710</v>
      </c>
      <c r="G303" s="289" t="s">
        <v>330</v>
      </c>
      <c r="H303" s="289">
        <v>2065</v>
      </c>
      <c r="I303" s="289">
        <v>297</v>
      </c>
      <c r="J303" s="289">
        <v>1830</v>
      </c>
      <c r="K303" s="289">
        <v>1012</v>
      </c>
      <c r="L303" s="289">
        <v>20229</v>
      </c>
      <c r="M303" s="289">
        <v>3584</v>
      </c>
      <c r="N303" s="289">
        <v>2104</v>
      </c>
      <c r="O303" s="289">
        <v>847</v>
      </c>
      <c r="P303" s="289">
        <v>28829</v>
      </c>
      <c r="Q303" s="289">
        <v>1998</v>
      </c>
      <c r="R303" s="289">
        <v>121</v>
      </c>
      <c r="S303" s="289">
        <v>1147.9900000000002</v>
      </c>
      <c r="T303" s="289">
        <v>25.112588088746413</v>
      </c>
      <c r="U303" s="289">
        <v>1</v>
      </c>
      <c r="V303" s="289">
        <v>3</v>
      </c>
      <c r="W303" s="289">
        <v>12610</v>
      </c>
      <c r="X303" s="289">
        <v>457</v>
      </c>
      <c r="Y303" s="289">
        <v>161</v>
      </c>
      <c r="Z303" s="289">
        <v>0.999317499070671</v>
      </c>
      <c r="AA303" s="289">
        <v>35</v>
      </c>
      <c r="AB303" s="289">
        <v>35</v>
      </c>
      <c r="AC303" s="289">
        <v>0.7303778552696488</v>
      </c>
      <c r="AD303" s="289">
        <v>1083</v>
      </c>
      <c r="AE303" s="289">
        <v>155</v>
      </c>
      <c r="AF303" s="289">
        <v>41</v>
      </c>
      <c r="AG303" s="289">
        <v>9</v>
      </c>
      <c r="AH303" s="289">
        <v>1288</v>
      </c>
      <c r="AI303" s="289">
        <v>0.8759759199348827</v>
      </c>
      <c r="AJ303" s="289">
        <v>13651</v>
      </c>
      <c r="AK303" s="289">
        <v>1021</v>
      </c>
      <c r="AL303" s="289">
        <v>0.7637491962109303</v>
      </c>
      <c r="AM303" s="289">
        <v>0.9137191730298272</v>
      </c>
      <c r="AN303" s="289">
        <v>0</v>
      </c>
      <c r="AO303" s="289">
        <v>0</v>
      </c>
      <c r="AP303" s="289">
        <f t="shared" si="3"/>
        <v>0</v>
      </c>
      <c r="AQ303" s="289">
        <v>100751.36435972154</v>
      </c>
      <c r="AR303" s="289">
        <v>1722409.7908333314</v>
      </c>
      <c r="AS303" s="289">
        <v>1</v>
      </c>
      <c r="AT303" s="289">
        <v>28829</v>
      </c>
      <c r="AU303" s="289">
        <v>1</v>
      </c>
      <c r="AV303" s="289">
        <v>2020</v>
      </c>
      <c r="AW303" s="289">
        <v>0.07006833396926705</v>
      </c>
      <c r="AX303" s="289">
        <v>0</v>
      </c>
      <c r="AY303" s="289">
        <v>1147.7</v>
      </c>
      <c r="AZ303" s="289">
        <v>25.118933519212337</v>
      </c>
      <c r="BA303" s="289">
        <v>21928</v>
      </c>
      <c r="BB303" s="289">
        <v>0.7606229838010337</v>
      </c>
      <c r="BC303" s="289">
        <v>3</v>
      </c>
      <c r="BD303" s="289">
        <v>0</v>
      </c>
      <c r="BE303" s="289">
        <v>28944</v>
      </c>
      <c r="BF303" s="289">
        <v>28829</v>
      </c>
      <c r="BG303" s="289">
        <v>-0.003973189607517966</v>
      </c>
      <c r="BH303" s="289">
        <v>0</v>
      </c>
      <c r="BI303" s="289">
        <v>0</v>
      </c>
      <c r="BJ303" s="289">
        <v>0</v>
      </c>
      <c r="BK303" s="289">
        <v>4966703.119004459</v>
      </c>
      <c r="BL303" s="289">
        <v>7109.58</v>
      </c>
      <c r="BM303" s="301">
        <v>9003</v>
      </c>
    </row>
    <row r="304" spans="6:65" s="289" customFormat="1" ht="12.75">
      <c r="F304" s="289">
        <v>729</v>
      </c>
      <c r="G304" s="289" t="s">
        <v>346</v>
      </c>
      <c r="H304" s="289">
        <v>679</v>
      </c>
      <c r="I304" s="289">
        <v>114</v>
      </c>
      <c r="J304" s="289">
        <v>625</v>
      </c>
      <c r="K304" s="289">
        <v>307</v>
      </c>
      <c r="L304" s="289">
        <v>6984</v>
      </c>
      <c r="M304" s="289">
        <v>1299</v>
      </c>
      <c r="N304" s="289">
        <v>942</v>
      </c>
      <c r="O304" s="289">
        <v>354</v>
      </c>
      <c r="P304" s="289">
        <v>10258</v>
      </c>
      <c r="Q304" s="289">
        <v>1</v>
      </c>
      <c r="R304" s="289">
        <v>4</v>
      </c>
      <c r="S304" s="289">
        <v>1251.88</v>
      </c>
      <c r="T304" s="289">
        <v>8.194076109531265</v>
      </c>
      <c r="U304" s="289">
        <v>0</v>
      </c>
      <c r="V304" s="289">
        <v>0</v>
      </c>
      <c r="W304" s="289">
        <v>3784</v>
      </c>
      <c r="X304" s="289">
        <v>428</v>
      </c>
      <c r="Y304" s="289">
        <v>63</v>
      </c>
      <c r="Z304" s="289">
        <v>0.9144659982356294</v>
      </c>
      <c r="AA304" s="289">
        <v>20</v>
      </c>
      <c r="AB304" s="289">
        <v>20</v>
      </c>
      <c r="AC304" s="289">
        <v>1.1729417145959227</v>
      </c>
      <c r="AD304" s="289">
        <v>603</v>
      </c>
      <c r="AE304" s="289">
        <v>62</v>
      </c>
      <c r="AF304" s="289">
        <v>20</v>
      </c>
      <c r="AG304" s="289">
        <v>17</v>
      </c>
      <c r="AH304" s="289">
        <v>702</v>
      </c>
      <c r="AI304" s="289">
        <v>1.3417768677327981</v>
      </c>
      <c r="AJ304" s="289">
        <v>4536</v>
      </c>
      <c r="AK304" s="289">
        <v>666</v>
      </c>
      <c r="AL304" s="289">
        <v>1.4993073638768022</v>
      </c>
      <c r="AM304" s="289">
        <v>1.2630097695297577</v>
      </c>
      <c r="AN304" s="289">
        <v>0</v>
      </c>
      <c r="AO304" s="289">
        <v>0</v>
      </c>
      <c r="AP304" s="289">
        <f t="shared" si="3"/>
        <v>0</v>
      </c>
      <c r="AQ304" s="289">
        <v>251383.7136722952</v>
      </c>
      <c r="AR304" s="289">
        <v>7742441.318875003</v>
      </c>
      <c r="AS304" s="289">
        <v>1</v>
      </c>
      <c r="AT304" s="289">
        <v>10258</v>
      </c>
      <c r="AU304" s="289">
        <v>0</v>
      </c>
      <c r="AV304" s="289">
        <v>0</v>
      </c>
      <c r="AW304" s="289">
        <v>0</v>
      </c>
      <c r="AX304" s="289">
        <v>0.0918</v>
      </c>
      <c r="AY304" s="289">
        <v>1251.94</v>
      </c>
      <c r="AZ304" s="289">
        <v>8.193683403357989</v>
      </c>
      <c r="BA304" s="289">
        <v>5827</v>
      </c>
      <c r="BB304" s="289">
        <v>0.568044453109768</v>
      </c>
      <c r="BC304" s="289">
        <v>0</v>
      </c>
      <c r="BD304" s="289">
        <v>0</v>
      </c>
      <c r="BE304" s="289">
        <v>10666</v>
      </c>
      <c r="BF304" s="289">
        <v>10258</v>
      </c>
      <c r="BG304" s="289">
        <v>-0.038252390774423405</v>
      </c>
      <c r="BH304" s="289">
        <v>0</v>
      </c>
      <c r="BI304" s="289">
        <v>0</v>
      </c>
      <c r="BJ304" s="289">
        <v>0</v>
      </c>
      <c r="BK304" s="289">
        <v>2460760.9605281525</v>
      </c>
      <c r="BL304" s="289">
        <v>7036.9</v>
      </c>
      <c r="BM304" s="301">
        <v>2907</v>
      </c>
    </row>
    <row r="305" spans="6:65" s="289" customFormat="1" ht="12.75">
      <c r="F305" s="289">
        <v>732</v>
      </c>
      <c r="G305" s="289" t="s">
        <v>347</v>
      </c>
      <c r="H305" s="289">
        <v>151</v>
      </c>
      <c r="I305" s="289">
        <v>22</v>
      </c>
      <c r="J305" s="289">
        <v>168</v>
      </c>
      <c r="K305" s="289">
        <v>95</v>
      </c>
      <c r="L305" s="289">
        <v>2612</v>
      </c>
      <c r="M305" s="289">
        <v>547</v>
      </c>
      <c r="N305" s="289">
        <v>518</v>
      </c>
      <c r="O305" s="289">
        <v>151</v>
      </c>
      <c r="P305" s="289">
        <v>3979</v>
      </c>
      <c r="Q305" s="289">
        <v>0</v>
      </c>
      <c r="R305" s="289">
        <v>4</v>
      </c>
      <c r="S305" s="289">
        <v>5729.85</v>
      </c>
      <c r="T305" s="289">
        <v>0.6944335366545371</v>
      </c>
      <c r="U305" s="289">
        <v>0</v>
      </c>
      <c r="V305" s="289">
        <v>0</v>
      </c>
      <c r="W305" s="289">
        <v>1258</v>
      </c>
      <c r="X305" s="289">
        <v>198</v>
      </c>
      <c r="Y305" s="289">
        <v>29</v>
      </c>
      <c r="Z305" s="289">
        <v>0.8612019079785888</v>
      </c>
      <c r="AA305" s="289">
        <v>2</v>
      </c>
      <c r="AB305" s="289">
        <v>2</v>
      </c>
      <c r="AC305" s="289">
        <v>0.3023884420287754</v>
      </c>
      <c r="AD305" s="289">
        <v>345</v>
      </c>
      <c r="AE305" s="289">
        <v>21</v>
      </c>
      <c r="AF305" s="289">
        <v>7</v>
      </c>
      <c r="AG305" s="289">
        <v>3</v>
      </c>
      <c r="AH305" s="289">
        <v>376</v>
      </c>
      <c r="AI305" s="289">
        <v>1.8527626567471907</v>
      </c>
      <c r="AJ305" s="289">
        <v>1698</v>
      </c>
      <c r="AK305" s="289">
        <v>352</v>
      </c>
      <c r="AL305" s="289">
        <v>2.1168713654430946</v>
      </c>
      <c r="AM305" s="289">
        <v>1.489289794146271</v>
      </c>
      <c r="AN305" s="289">
        <v>0.17</v>
      </c>
      <c r="AO305" s="289">
        <v>0</v>
      </c>
      <c r="AP305" s="289">
        <f t="shared" si="3"/>
        <v>0.17</v>
      </c>
      <c r="AQ305" s="289">
        <v>501435.70851542056</v>
      </c>
      <c r="AR305" s="289">
        <v>3139223.7482051286</v>
      </c>
      <c r="AS305" s="289">
        <v>0</v>
      </c>
      <c r="AT305" s="289">
        <v>3979</v>
      </c>
      <c r="AU305" s="289">
        <v>0</v>
      </c>
      <c r="AV305" s="289">
        <v>0</v>
      </c>
      <c r="AW305" s="289">
        <v>0</v>
      </c>
      <c r="AX305" s="289">
        <v>1.6931666666666667</v>
      </c>
      <c r="AY305" s="289">
        <v>5729.33</v>
      </c>
      <c r="AZ305" s="289">
        <v>0.6944965641706796</v>
      </c>
      <c r="BA305" s="289">
        <v>1790</v>
      </c>
      <c r="BB305" s="289">
        <v>0.44986177431515456</v>
      </c>
      <c r="BC305" s="289">
        <v>0</v>
      </c>
      <c r="BD305" s="289">
        <v>0</v>
      </c>
      <c r="BE305" s="289">
        <v>4231</v>
      </c>
      <c r="BF305" s="289">
        <v>3979</v>
      </c>
      <c r="BG305" s="289">
        <v>-0.059560387615220985</v>
      </c>
      <c r="BH305" s="289">
        <v>0</v>
      </c>
      <c r="BI305" s="289">
        <v>3</v>
      </c>
      <c r="BJ305" s="289">
        <v>0.0007539582809751194</v>
      </c>
      <c r="BK305" s="289">
        <v>1184112.059957272</v>
      </c>
      <c r="BL305" s="289">
        <v>9201.84</v>
      </c>
      <c r="BM305" s="301">
        <v>846</v>
      </c>
    </row>
    <row r="306" spans="6:65" s="289" customFormat="1" ht="12.75">
      <c r="F306" s="289">
        <v>734</v>
      </c>
      <c r="G306" s="289" t="s">
        <v>348</v>
      </c>
      <c r="H306" s="289">
        <v>4168</v>
      </c>
      <c r="I306" s="289">
        <v>607</v>
      </c>
      <c r="J306" s="289">
        <v>3711</v>
      </c>
      <c r="K306" s="289">
        <v>1887</v>
      </c>
      <c r="L306" s="289">
        <v>39074</v>
      </c>
      <c r="M306" s="289">
        <v>6307</v>
      </c>
      <c r="N306" s="289">
        <v>3838</v>
      </c>
      <c r="O306" s="289">
        <v>1471</v>
      </c>
      <c r="P306" s="289">
        <v>54858</v>
      </c>
      <c r="Q306" s="289">
        <v>68</v>
      </c>
      <c r="R306" s="289">
        <v>354</v>
      </c>
      <c r="S306" s="289">
        <v>1986.52</v>
      </c>
      <c r="T306" s="289">
        <v>27.615125948895557</v>
      </c>
      <c r="U306" s="289">
        <v>1</v>
      </c>
      <c r="V306" s="289">
        <v>0</v>
      </c>
      <c r="W306" s="289">
        <v>23055</v>
      </c>
      <c r="X306" s="289">
        <v>1158</v>
      </c>
      <c r="Y306" s="289">
        <v>329</v>
      </c>
      <c r="Z306" s="289">
        <v>0.9830411719923747</v>
      </c>
      <c r="AA306" s="289">
        <v>111</v>
      </c>
      <c r="AB306" s="289">
        <v>111</v>
      </c>
      <c r="AC306" s="289">
        <v>1.217284633074549</v>
      </c>
      <c r="AD306" s="289">
        <v>2527</v>
      </c>
      <c r="AE306" s="289">
        <v>455</v>
      </c>
      <c r="AF306" s="289">
        <v>103</v>
      </c>
      <c r="AG306" s="289">
        <v>19</v>
      </c>
      <c r="AH306" s="289">
        <v>3104</v>
      </c>
      <c r="AI306" s="289">
        <v>1.1093986304076613</v>
      </c>
      <c r="AJ306" s="289">
        <v>26158</v>
      </c>
      <c r="AK306" s="289">
        <v>3388</v>
      </c>
      <c r="AL306" s="289">
        <v>1.3225995084975095</v>
      </c>
      <c r="AM306" s="289">
        <v>0.9606992477892544</v>
      </c>
      <c r="AN306" s="289">
        <v>0</v>
      </c>
      <c r="AO306" s="289">
        <v>0</v>
      </c>
      <c r="AP306" s="289">
        <f t="shared" si="3"/>
        <v>0</v>
      </c>
      <c r="AQ306" s="289">
        <v>825981.7808151245</v>
      </c>
      <c r="AR306" s="289">
        <v>-107983.81583206587</v>
      </c>
      <c r="AS306" s="289">
        <v>1</v>
      </c>
      <c r="AT306" s="289">
        <v>54858</v>
      </c>
      <c r="AU306" s="289">
        <v>1</v>
      </c>
      <c r="AV306" s="289">
        <v>672</v>
      </c>
      <c r="AW306" s="289">
        <v>0.012249808596740675</v>
      </c>
      <c r="AX306" s="289">
        <v>0</v>
      </c>
      <c r="AY306" s="289">
        <v>1986.48</v>
      </c>
      <c r="AZ306" s="289">
        <v>27.615682010390238</v>
      </c>
      <c r="BA306" s="289">
        <v>40646</v>
      </c>
      <c r="BB306" s="289">
        <v>0.740931131284407</v>
      </c>
      <c r="BC306" s="289">
        <v>0</v>
      </c>
      <c r="BD306" s="289">
        <v>0</v>
      </c>
      <c r="BE306" s="289">
        <v>54889</v>
      </c>
      <c r="BF306" s="289">
        <v>54858</v>
      </c>
      <c r="BG306" s="289">
        <v>-0.0005647761846635938</v>
      </c>
      <c r="BH306" s="289">
        <v>0</v>
      </c>
      <c r="BI306" s="289">
        <v>0</v>
      </c>
      <c r="BJ306" s="289">
        <v>0</v>
      </c>
      <c r="BK306" s="289">
        <v>8423921.365863018</v>
      </c>
      <c r="BL306" s="289">
        <v>6279.86</v>
      </c>
      <c r="BM306" s="301">
        <v>17303</v>
      </c>
    </row>
    <row r="307" spans="6:65" s="289" customFormat="1" ht="12.75">
      <c r="F307" s="289">
        <v>738</v>
      </c>
      <c r="G307" s="289" t="s">
        <v>350</v>
      </c>
      <c r="H307" s="289">
        <v>235</v>
      </c>
      <c r="I307" s="289">
        <v>30</v>
      </c>
      <c r="J307" s="289">
        <v>216</v>
      </c>
      <c r="K307" s="289">
        <v>101</v>
      </c>
      <c r="L307" s="289">
        <v>2193</v>
      </c>
      <c r="M307" s="289">
        <v>340</v>
      </c>
      <c r="N307" s="289">
        <v>179</v>
      </c>
      <c r="O307" s="289">
        <v>86</v>
      </c>
      <c r="P307" s="289">
        <v>3033</v>
      </c>
      <c r="Q307" s="289">
        <v>9</v>
      </c>
      <c r="R307" s="289">
        <v>8</v>
      </c>
      <c r="S307" s="289">
        <v>252.47</v>
      </c>
      <c r="T307" s="289">
        <v>12.013308511902403</v>
      </c>
      <c r="U307" s="289">
        <v>0</v>
      </c>
      <c r="V307" s="289">
        <v>0</v>
      </c>
      <c r="W307" s="289">
        <v>1355</v>
      </c>
      <c r="X307" s="289">
        <v>182</v>
      </c>
      <c r="Y307" s="289">
        <v>25</v>
      </c>
      <c r="Z307" s="289">
        <v>0.8902860163508005</v>
      </c>
      <c r="AA307" s="289">
        <v>2</v>
      </c>
      <c r="AB307" s="289">
        <v>2</v>
      </c>
      <c r="AC307" s="289">
        <v>0.39670412490356005</v>
      </c>
      <c r="AD307" s="289">
        <v>144</v>
      </c>
      <c r="AE307" s="289">
        <v>31</v>
      </c>
      <c r="AF307" s="289">
        <v>4</v>
      </c>
      <c r="AG307" s="289">
        <v>10</v>
      </c>
      <c r="AH307" s="289">
        <v>189</v>
      </c>
      <c r="AI307" s="289">
        <v>1.2217863725230325</v>
      </c>
      <c r="AJ307" s="289">
        <v>1416</v>
      </c>
      <c r="AK307" s="289">
        <v>73</v>
      </c>
      <c r="AL307" s="289">
        <v>0.5264402631294406</v>
      </c>
      <c r="AM307" s="289">
        <v>0.791792917945107</v>
      </c>
      <c r="AN307" s="289">
        <v>0</v>
      </c>
      <c r="AO307" s="289">
        <v>0</v>
      </c>
      <c r="AP307" s="289">
        <f t="shared" si="3"/>
        <v>0</v>
      </c>
      <c r="AQ307" s="289">
        <v>-25972.495480962098</v>
      </c>
      <c r="AR307" s="289">
        <v>1136049.592179488</v>
      </c>
      <c r="AS307" s="289">
        <v>1</v>
      </c>
      <c r="AT307" s="289">
        <v>3033</v>
      </c>
      <c r="AU307" s="289">
        <v>0</v>
      </c>
      <c r="AV307" s="289">
        <v>0</v>
      </c>
      <c r="AW307" s="289">
        <v>0</v>
      </c>
      <c r="AX307" s="289">
        <v>0</v>
      </c>
      <c r="AY307" s="289">
        <v>252.49</v>
      </c>
      <c r="AZ307" s="289">
        <v>12.012356925026733</v>
      </c>
      <c r="BA307" s="289">
        <v>1251</v>
      </c>
      <c r="BB307" s="289">
        <v>0.4124629080118694</v>
      </c>
      <c r="BC307" s="289">
        <v>0</v>
      </c>
      <c r="BD307" s="289">
        <v>0</v>
      </c>
      <c r="BE307" s="289">
        <v>3040</v>
      </c>
      <c r="BF307" s="289">
        <v>3033</v>
      </c>
      <c r="BG307" s="289">
        <v>-0.002302631578947368</v>
      </c>
      <c r="BH307" s="289">
        <v>0</v>
      </c>
      <c r="BI307" s="289">
        <v>0</v>
      </c>
      <c r="BJ307" s="289">
        <v>0</v>
      </c>
      <c r="BK307" s="289">
        <v>473750.9821960793</v>
      </c>
      <c r="BL307" s="289">
        <v>6821.19</v>
      </c>
      <c r="BM307" s="301">
        <v>898</v>
      </c>
    </row>
    <row r="308" spans="6:65" s="289" customFormat="1" ht="12.75">
      <c r="F308" s="289">
        <v>739</v>
      </c>
      <c r="G308" s="289" t="s">
        <v>351</v>
      </c>
      <c r="H308" s="289">
        <v>189</v>
      </c>
      <c r="I308" s="289">
        <v>31</v>
      </c>
      <c r="J308" s="289">
        <v>185</v>
      </c>
      <c r="K308" s="289">
        <v>112</v>
      </c>
      <c r="L308" s="289">
        <v>2350</v>
      </c>
      <c r="M308" s="289">
        <v>569</v>
      </c>
      <c r="N308" s="289">
        <v>482</v>
      </c>
      <c r="O308" s="289">
        <v>174</v>
      </c>
      <c r="P308" s="289">
        <v>3764</v>
      </c>
      <c r="Q308" s="289">
        <v>0</v>
      </c>
      <c r="R308" s="289">
        <v>5</v>
      </c>
      <c r="S308" s="289">
        <v>539.74</v>
      </c>
      <c r="T308" s="289">
        <v>6.97372809130322</v>
      </c>
      <c r="U308" s="289">
        <v>0</v>
      </c>
      <c r="V308" s="289">
        <v>0</v>
      </c>
      <c r="W308" s="289">
        <v>1346</v>
      </c>
      <c r="X308" s="289">
        <v>204</v>
      </c>
      <c r="Y308" s="289">
        <v>22</v>
      </c>
      <c r="Z308" s="289">
        <v>0.8743794093830572</v>
      </c>
      <c r="AA308" s="289">
        <v>5</v>
      </c>
      <c r="AB308" s="289">
        <v>5</v>
      </c>
      <c r="AC308" s="289">
        <v>0.7991522388632423</v>
      </c>
      <c r="AD308" s="289">
        <v>259</v>
      </c>
      <c r="AE308" s="289">
        <v>15</v>
      </c>
      <c r="AF308" s="289">
        <v>6</v>
      </c>
      <c r="AG308" s="289">
        <v>0</v>
      </c>
      <c r="AH308" s="289">
        <v>280</v>
      </c>
      <c r="AI308" s="289">
        <v>1.4585264170749628</v>
      </c>
      <c r="AJ308" s="289">
        <v>1605</v>
      </c>
      <c r="AK308" s="289">
        <v>195</v>
      </c>
      <c r="AL308" s="289">
        <v>1.2406493872342519</v>
      </c>
      <c r="AM308" s="289">
        <v>0.9444684933552512</v>
      </c>
      <c r="AN308" s="289">
        <v>0</v>
      </c>
      <c r="AO308" s="289">
        <v>0</v>
      </c>
      <c r="AP308" s="289">
        <f t="shared" si="3"/>
        <v>0</v>
      </c>
      <c r="AQ308" s="289">
        <v>17385.44724056311</v>
      </c>
      <c r="AR308" s="289">
        <v>2112255.331625</v>
      </c>
      <c r="AS308" s="289">
        <v>1</v>
      </c>
      <c r="AT308" s="289">
        <v>3764</v>
      </c>
      <c r="AU308" s="289">
        <v>0</v>
      </c>
      <c r="AV308" s="289">
        <v>0</v>
      </c>
      <c r="AW308" s="289">
        <v>0</v>
      </c>
      <c r="AX308" s="289">
        <v>0.1582</v>
      </c>
      <c r="AY308" s="289">
        <v>539.74</v>
      </c>
      <c r="AZ308" s="289">
        <v>6.97372809130322</v>
      </c>
      <c r="BA308" s="289">
        <v>1935</v>
      </c>
      <c r="BB308" s="289">
        <v>0.5140807651434643</v>
      </c>
      <c r="BC308" s="289">
        <v>0</v>
      </c>
      <c r="BD308" s="289">
        <v>0</v>
      </c>
      <c r="BE308" s="289">
        <v>3957</v>
      </c>
      <c r="BF308" s="289">
        <v>3764</v>
      </c>
      <c r="BG308" s="289">
        <v>-0.04877432398281526</v>
      </c>
      <c r="BH308" s="289">
        <v>0</v>
      </c>
      <c r="BI308" s="289">
        <v>0</v>
      </c>
      <c r="BJ308" s="289">
        <v>0</v>
      </c>
      <c r="BK308" s="289">
        <v>959376.925407406</v>
      </c>
      <c r="BL308" s="289">
        <v>7154.09</v>
      </c>
      <c r="BM308" s="301">
        <v>909</v>
      </c>
    </row>
    <row r="309" spans="6:65" s="289" customFormat="1" ht="12.75">
      <c r="F309" s="289">
        <v>740</v>
      </c>
      <c r="G309" s="289" t="s">
        <v>352</v>
      </c>
      <c r="H309" s="289">
        <v>2130</v>
      </c>
      <c r="I309" s="289">
        <v>319</v>
      </c>
      <c r="J309" s="289">
        <v>2005</v>
      </c>
      <c r="K309" s="289">
        <v>1112</v>
      </c>
      <c r="L309" s="289">
        <v>25213</v>
      </c>
      <c r="M309" s="289">
        <v>4954</v>
      </c>
      <c r="N309" s="289">
        <v>3146</v>
      </c>
      <c r="O309" s="289">
        <v>1141</v>
      </c>
      <c r="P309" s="289">
        <v>36584</v>
      </c>
      <c r="Q309" s="289">
        <v>1</v>
      </c>
      <c r="R309" s="289">
        <v>120</v>
      </c>
      <c r="S309" s="289">
        <v>2239.5</v>
      </c>
      <c r="T309" s="289">
        <v>16.335789238669346</v>
      </c>
      <c r="U309" s="289">
        <v>1</v>
      </c>
      <c r="V309" s="289">
        <v>0</v>
      </c>
      <c r="W309" s="289">
        <v>13991</v>
      </c>
      <c r="X309" s="289">
        <v>825</v>
      </c>
      <c r="Y309" s="289">
        <v>269</v>
      </c>
      <c r="Z309" s="289">
        <v>0.9686500437032662</v>
      </c>
      <c r="AA309" s="289">
        <v>63</v>
      </c>
      <c r="AB309" s="289">
        <v>63</v>
      </c>
      <c r="AC309" s="289">
        <v>1.0359969861475966</v>
      </c>
      <c r="AD309" s="289">
        <v>1973</v>
      </c>
      <c r="AE309" s="289">
        <v>158</v>
      </c>
      <c r="AF309" s="289">
        <v>52</v>
      </c>
      <c r="AG309" s="289">
        <v>17</v>
      </c>
      <c r="AH309" s="289">
        <v>2200</v>
      </c>
      <c r="AI309" s="289">
        <v>1.1790639891867591</v>
      </c>
      <c r="AJ309" s="289">
        <v>16351</v>
      </c>
      <c r="AK309" s="289">
        <v>2218</v>
      </c>
      <c r="AL309" s="289">
        <v>1.3851816001597461</v>
      </c>
      <c r="AM309" s="289">
        <v>1.1312589506084754</v>
      </c>
      <c r="AN309" s="289">
        <v>0</v>
      </c>
      <c r="AO309" s="289">
        <v>0</v>
      </c>
      <c r="AP309" s="289">
        <f t="shared" si="3"/>
        <v>0</v>
      </c>
      <c r="AQ309" s="289">
        <v>224198.56074189395</v>
      </c>
      <c r="AR309" s="289">
        <v>11671879.455369782</v>
      </c>
      <c r="AS309" s="289">
        <v>1</v>
      </c>
      <c r="AT309" s="289">
        <v>36584</v>
      </c>
      <c r="AU309" s="289">
        <v>1</v>
      </c>
      <c r="AV309" s="289">
        <v>1846</v>
      </c>
      <c r="AW309" s="289">
        <v>0.05045921714410671</v>
      </c>
      <c r="AX309" s="289">
        <v>0.10373333333333333</v>
      </c>
      <c r="AY309" s="289">
        <v>2239.42</v>
      </c>
      <c r="AZ309" s="289">
        <v>16.336372810817085</v>
      </c>
      <c r="BA309" s="289">
        <v>27994</v>
      </c>
      <c r="BB309" s="289">
        <v>0.765197900721627</v>
      </c>
      <c r="BC309" s="289">
        <v>0</v>
      </c>
      <c r="BD309" s="289">
        <v>0</v>
      </c>
      <c r="BE309" s="289">
        <v>37204</v>
      </c>
      <c r="BF309" s="289">
        <v>36584</v>
      </c>
      <c r="BG309" s="289">
        <v>-0.01666487474465111</v>
      </c>
      <c r="BH309" s="289">
        <v>0</v>
      </c>
      <c r="BI309" s="289">
        <v>0</v>
      </c>
      <c r="BJ309" s="289">
        <v>0</v>
      </c>
      <c r="BK309" s="289">
        <v>7195363.297265303</v>
      </c>
      <c r="BL309" s="289">
        <v>6602.01</v>
      </c>
      <c r="BM309" s="301">
        <v>8155</v>
      </c>
    </row>
    <row r="310" spans="6:65" s="289" customFormat="1" ht="12.75">
      <c r="F310" s="289">
        <v>742</v>
      </c>
      <c r="G310" s="289" t="s">
        <v>353</v>
      </c>
      <c r="H310" s="289">
        <v>49</v>
      </c>
      <c r="I310" s="289">
        <v>8</v>
      </c>
      <c r="J310" s="289">
        <v>59</v>
      </c>
      <c r="K310" s="289">
        <v>30</v>
      </c>
      <c r="L310" s="289">
        <v>773</v>
      </c>
      <c r="M310" s="289">
        <v>171</v>
      </c>
      <c r="N310" s="289">
        <v>94</v>
      </c>
      <c r="O310" s="289">
        <v>40</v>
      </c>
      <c r="P310" s="289">
        <v>1127</v>
      </c>
      <c r="Q310" s="289">
        <v>0</v>
      </c>
      <c r="R310" s="289">
        <v>0</v>
      </c>
      <c r="S310" s="289">
        <v>6438.33</v>
      </c>
      <c r="T310" s="289">
        <v>0.1750453922057428</v>
      </c>
      <c r="U310" s="289">
        <v>0</v>
      </c>
      <c r="V310" s="289">
        <v>0</v>
      </c>
      <c r="W310" s="289">
        <v>422</v>
      </c>
      <c r="X310" s="289">
        <v>130</v>
      </c>
      <c r="Y310" s="289">
        <v>1</v>
      </c>
      <c r="Z310" s="289">
        <v>0.7246152956660716</v>
      </c>
      <c r="AA310" s="289">
        <v>1</v>
      </c>
      <c r="AB310" s="289">
        <v>2</v>
      </c>
      <c r="AC310" s="289">
        <v>1.0676163361424114</v>
      </c>
      <c r="AD310" s="289">
        <v>75</v>
      </c>
      <c r="AE310" s="289">
        <v>1</v>
      </c>
      <c r="AF310" s="289">
        <v>3</v>
      </c>
      <c r="AG310" s="289">
        <v>2</v>
      </c>
      <c r="AH310" s="289">
        <v>81</v>
      </c>
      <c r="AI310" s="289">
        <v>1.4091816711353877</v>
      </c>
      <c r="AJ310" s="289">
        <v>543</v>
      </c>
      <c r="AK310" s="289">
        <v>99</v>
      </c>
      <c r="AL310" s="289">
        <v>1.8617649750633845</v>
      </c>
      <c r="AM310" s="289">
        <v>1.2195310301490874</v>
      </c>
      <c r="AN310" s="289">
        <v>0.17</v>
      </c>
      <c r="AO310" s="289">
        <v>0</v>
      </c>
      <c r="AP310" s="289">
        <f t="shared" si="3"/>
        <v>0.17</v>
      </c>
      <c r="AQ310" s="289">
        <v>106604.61965460237</v>
      </c>
      <c r="AR310" s="289">
        <v>443931.1904938278</v>
      </c>
      <c r="AS310" s="289">
        <v>1</v>
      </c>
      <c r="AT310" s="289">
        <v>1127</v>
      </c>
      <c r="AU310" s="289">
        <v>0</v>
      </c>
      <c r="AV310" s="289">
        <v>0</v>
      </c>
      <c r="AW310" s="289">
        <v>0</v>
      </c>
      <c r="AX310" s="289">
        <v>1.8854833333333332</v>
      </c>
      <c r="AY310" s="289">
        <v>6438.26</v>
      </c>
      <c r="AZ310" s="289">
        <v>0.17504729538726302</v>
      </c>
      <c r="BA310" s="289">
        <v>446</v>
      </c>
      <c r="BB310" s="289">
        <v>0.39574090505767523</v>
      </c>
      <c r="BC310" s="289">
        <v>0</v>
      </c>
      <c r="BD310" s="289">
        <v>0</v>
      </c>
      <c r="BE310" s="289">
        <v>1181</v>
      </c>
      <c r="BF310" s="289">
        <v>1127</v>
      </c>
      <c r="BG310" s="289">
        <v>-0.04572396274343776</v>
      </c>
      <c r="BH310" s="289">
        <v>0</v>
      </c>
      <c r="BI310" s="289">
        <v>1</v>
      </c>
      <c r="BJ310" s="289">
        <v>0.0008873114463176575</v>
      </c>
      <c r="BK310" s="289">
        <v>371133.0631853306</v>
      </c>
      <c r="BL310" s="289">
        <v>10312.5</v>
      </c>
      <c r="BM310" s="301">
        <v>266</v>
      </c>
    </row>
    <row r="311" spans="6:65" s="289" customFormat="1" ht="12.75">
      <c r="F311" s="289">
        <v>743</v>
      </c>
      <c r="G311" s="289" t="s">
        <v>354</v>
      </c>
      <c r="H311" s="289">
        <v>5300</v>
      </c>
      <c r="I311" s="289">
        <v>711</v>
      </c>
      <c r="J311" s="289">
        <v>4254</v>
      </c>
      <c r="K311" s="289">
        <v>2014</v>
      </c>
      <c r="L311" s="289">
        <v>44394</v>
      </c>
      <c r="M311" s="289">
        <v>5545</v>
      </c>
      <c r="N311" s="289">
        <v>3093</v>
      </c>
      <c r="O311" s="289">
        <v>1224</v>
      </c>
      <c r="P311" s="289">
        <v>59556</v>
      </c>
      <c r="Q311" s="289">
        <v>7</v>
      </c>
      <c r="R311" s="289">
        <v>121</v>
      </c>
      <c r="S311" s="289">
        <v>1431.64</v>
      </c>
      <c r="T311" s="289">
        <v>41.599843536084485</v>
      </c>
      <c r="U311" s="289">
        <v>0</v>
      </c>
      <c r="V311" s="289">
        <v>0</v>
      </c>
      <c r="W311" s="289">
        <v>26776</v>
      </c>
      <c r="X311" s="289">
        <v>879</v>
      </c>
      <c r="Y311" s="289">
        <v>329</v>
      </c>
      <c r="Z311" s="289">
        <v>1.003409058579801</v>
      </c>
      <c r="AA311" s="289">
        <v>83</v>
      </c>
      <c r="AB311" s="289">
        <v>83</v>
      </c>
      <c r="AC311" s="289">
        <v>0.8384201398607806</v>
      </c>
      <c r="AD311" s="289">
        <v>2622</v>
      </c>
      <c r="AE311" s="289">
        <v>479</v>
      </c>
      <c r="AF311" s="289">
        <v>172</v>
      </c>
      <c r="AG311" s="289">
        <v>23</v>
      </c>
      <c r="AH311" s="289">
        <v>3296</v>
      </c>
      <c r="AI311" s="289">
        <v>1.0850945063731163</v>
      </c>
      <c r="AJ311" s="289">
        <v>28681</v>
      </c>
      <c r="AK311" s="289">
        <v>2392</v>
      </c>
      <c r="AL311" s="289">
        <v>0.8516406379089974</v>
      </c>
      <c r="AM311" s="289">
        <v>0.9673539315807257</v>
      </c>
      <c r="AN311" s="289">
        <v>0</v>
      </c>
      <c r="AO311" s="289">
        <v>0</v>
      </c>
      <c r="AP311" s="289">
        <f t="shared" si="3"/>
        <v>0</v>
      </c>
      <c r="AQ311" s="289">
        <v>89519.31668151915</v>
      </c>
      <c r="AR311" s="289">
        <v>-2022542.0181784676</v>
      </c>
      <c r="AS311" s="289">
        <v>1</v>
      </c>
      <c r="AT311" s="289">
        <v>59556</v>
      </c>
      <c r="AU311" s="289">
        <v>0</v>
      </c>
      <c r="AV311" s="289">
        <v>0</v>
      </c>
      <c r="AW311" s="289">
        <v>0</v>
      </c>
      <c r="AX311" s="289">
        <v>0</v>
      </c>
      <c r="AY311" s="289">
        <v>1431.64</v>
      </c>
      <c r="AZ311" s="289">
        <v>41.599843536084485</v>
      </c>
      <c r="BA311" s="289">
        <v>53147</v>
      </c>
      <c r="BB311" s="289">
        <v>0.8923869971119619</v>
      </c>
      <c r="BC311" s="289">
        <v>0</v>
      </c>
      <c r="BD311" s="289">
        <v>0</v>
      </c>
      <c r="BE311" s="289">
        <v>57024</v>
      </c>
      <c r="BF311" s="289">
        <v>59556</v>
      </c>
      <c r="BG311" s="289">
        <v>0.0444023569023569</v>
      </c>
      <c r="BH311" s="289">
        <v>0</v>
      </c>
      <c r="BI311" s="289">
        <v>4</v>
      </c>
      <c r="BJ311" s="289">
        <v>6.716367788300088E-05</v>
      </c>
      <c r="BK311" s="289">
        <v>9398080.292671025</v>
      </c>
      <c r="BL311" s="289">
        <v>5958.65</v>
      </c>
      <c r="BM311" s="301">
        <v>22090</v>
      </c>
    </row>
    <row r="312" spans="6:65" s="289" customFormat="1" ht="12.75">
      <c r="F312" s="289">
        <v>746</v>
      </c>
      <c r="G312" s="289" t="s">
        <v>355</v>
      </c>
      <c r="H312" s="289">
        <v>673</v>
      </c>
      <c r="I312" s="289">
        <v>92</v>
      </c>
      <c r="J312" s="289">
        <v>554</v>
      </c>
      <c r="K312" s="289">
        <v>287</v>
      </c>
      <c r="L312" s="289">
        <v>3743</v>
      </c>
      <c r="M312" s="289">
        <v>420</v>
      </c>
      <c r="N312" s="289">
        <v>283</v>
      </c>
      <c r="O312" s="289">
        <v>122</v>
      </c>
      <c r="P312" s="289">
        <v>5241</v>
      </c>
      <c r="Q312" s="289">
        <v>1</v>
      </c>
      <c r="R312" s="289">
        <v>7</v>
      </c>
      <c r="S312" s="289">
        <v>787.33</v>
      </c>
      <c r="T312" s="289">
        <v>6.656675091765841</v>
      </c>
      <c r="U312" s="289">
        <v>0</v>
      </c>
      <c r="V312" s="289">
        <v>0</v>
      </c>
      <c r="W312" s="289">
        <v>1919</v>
      </c>
      <c r="X312" s="289">
        <v>306</v>
      </c>
      <c r="Y312" s="289">
        <v>27</v>
      </c>
      <c r="Z312" s="289">
        <v>0.8684706927235807</v>
      </c>
      <c r="AA312" s="289">
        <v>8</v>
      </c>
      <c r="AB312" s="289">
        <v>8</v>
      </c>
      <c r="AC312" s="289">
        <v>0.9183007905609597</v>
      </c>
      <c r="AD312" s="289">
        <v>286</v>
      </c>
      <c r="AE312" s="289">
        <v>63</v>
      </c>
      <c r="AF312" s="289">
        <v>16</v>
      </c>
      <c r="AG312" s="289">
        <v>2</v>
      </c>
      <c r="AH312" s="289">
        <v>367</v>
      </c>
      <c r="AI312" s="289">
        <v>1.3729596929636851</v>
      </c>
      <c r="AJ312" s="289">
        <v>2107</v>
      </c>
      <c r="AK312" s="289">
        <v>182</v>
      </c>
      <c r="AL312" s="289">
        <v>0.8820563749771758</v>
      </c>
      <c r="AM312" s="289">
        <v>1.5945757585874873</v>
      </c>
      <c r="AN312" s="289">
        <v>0</v>
      </c>
      <c r="AO312" s="289">
        <v>0</v>
      </c>
      <c r="AP312" s="289">
        <f t="shared" si="3"/>
        <v>0</v>
      </c>
      <c r="AQ312" s="289">
        <v>-93567.0326451771</v>
      </c>
      <c r="AR312" s="289">
        <v>4169819.3732941183</v>
      </c>
      <c r="AS312" s="289">
        <v>0</v>
      </c>
      <c r="AT312" s="289">
        <v>5241</v>
      </c>
      <c r="AU312" s="289">
        <v>0</v>
      </c>
      <c r="AV312" s="289">
        <v>0</v>
      </c>
      <c r="AW312" s="289">
        <v>0</v>
      </c>
      <c r="AX312" s="289">
        <v>0</v>
      </c>
      <c r="AY312" s="289">
        <v>787.32</v>
      </c>
      <c r="AZ312" s="289">
        <v>6.656759640298734</v>
      </c>
      <c r="BA312" s="289">
        <v>2746</v>
      </c>
      <c r="BB312" s="289">
        <v>0.5239458118679642</v>
      </c>
      <c r="BC312" s="289">
        <v>0</v>
      </c>
      <c r="BD312" s="289">
        <v>0</v>
      </c>
      <c r="BE312" s="289">
        <v>5278</v>
      </c>
      <c r="BF312" s="289">
        <v>5241</v>
      </c>
      <c r="BG312" s="289">
        <v>-0.007010231148162183</v>
      </c>
      <c r="BH312" s="289">
        <v>0</v>
      </c>
      <c r="BI312" s="289">
        <v>1</v>
      </c>
      <c r="BJ312" s="289">
        <v>0.00019080328181644724</v>
      </c>
      <c r="BK312" s="289">
        <v>900289.9239436163</v>
      </c>
      <c r="BL312" s="289">
        <v>7183.28</v>
      </c>
      <c r="BM312" s="301">
        <v>2389</v>
      </c>
    </row>
    <row r="313" spans="6:65" s="289" customFormat="1" ht="12.75">
      <c r="F313" s="289">
        <v>747</v>
      </c>
      <c r="G313" s="289" t="s">
        <v>356</v>
      </c>
      <c r="H313" s="289">
        <v>85</v>
      </c>
      <c r="I313" s="289">
        <v>15</v>
      </c>
      <c r="J313" s="289">
        <v>103</v>
      </c>
      <c r="K313" s="289">
        <v>66</v>
      </c>
      <c r="L313" s="289">
        <v>1071</v>
      </c>
      <c r="M313" s="289">
        <v>234</v>
      </c>
      <c r="N313" s="289">
        <v>187</v>
      </c>
      <c r="O313" s="289">
        <v>64</v>
      </c>
      <c r="P313" s="289">
        <v>1641</v>
      </c>
      <c r="Q313" s="289">
        <v>0</v>
      </c>
      <c r="R313" s="289">
        <v>3</v>
      </c>
      <c r="S313" s="289">
        <v>463.19</v>
      </c>
      <c r="T313" s="289">
        <v>3.5428225997970597</v>
      </c>
      <c r="U313" s="289">
        <v>0</v>
      </c>
      <c r="V313" s="289">
        <v>0</v>
      </c>
      <c r="W313" s="289">
        <v>565</v>
      </c>
      <c r="X313" s="289">
        <v>113</v>
      </c>
      <c r="Y313" s="289">
        <v>5</v>
      </c>
      <c r="Z313" s="289">
        <v>0.8313540837677449</v>
      </c>
      <c r="AA313" s="289">
        <v>1</v>
      </c>
      <c r="AB313" s="289">
        <v>2</v>
      </c>
      <c r="AC313" s="289">
        <v>0.733213656814441</v>
      </c>
      <c r="AD313" s="289">
        <v>117</v>
      </c>
      <c r="AE313" s="289">
        <v>11</v>
      </c>
      <c r="AF313" s="289">
        <v>2</v>
      </c>
      <c r="AG313" s="289">
        <v>0</v>
      </c>
      <c r="AH313" s="289">
        <v>130</v>
      </c>
      <c r="AI313" s="289">
        <v>1.55324746757883</v>
      </c>
      <c r="AJ313" s="289">
        <v>671</v>
      </c>
      <c r="AK313" s="289">
        <v>90</v>
      </c>
      <c r="AL313" s="289">
        <v>1.3696496158507219</v>
      </c>
      <c r="AM313" s="289">
        <v>1.3196998016088148</v>
      </c>
      <c r="AN313" s="289">
        <v>0</v>
      </c>
      <c r="AO313" s="289">
        <v>0</v>
      </c>
      <c r="AP313" s="289">
        <f t="shared" si="3"/>
        <v>0</v>
      </c>
      <c r="AQ313" s="289">
        <v>109608.27899000607</v>
      </c>
      <c r="AR313" s="289">
        <v>1633140.1653749994</v>
      </c>
      <c r="AS313" s="289">
        <v>1</v>
      </c>
      <c r="AT313" s="289">
        <v>1641</v>
      </c>
      <c r="AU313" s="289">
        <v>0</v>
      </c>
      <c r="AV313" s="289">
        <v>0</v>
      </c>
      <c r="AW313" s="289">
        <v>0</v>
      </c>
      <c r="AX313" s="289">
        <v>0.24446666666666667</v>
      </c>
      <c r="AY313" s="289">
        <v>463.19</v>
      </c>
      <c r="AZ313" s="289">
        <v>3.5428225997970597</v>
      </c>
      <c r="BA313" s="289">
        <v>504</v>
      </c>
      <c r="BB313" s="289">
        <v>0.3071297989031079</v>
      </c>
      <c r="BC313" s="289">
        <v>0</v>
      </c>
      <c r="BD313" s="289">
        <v>0</v>
      </c>
      <c r="BE313" s="289">
        <v>1686</v>
      </c>
      <c r="BF313" s="289">
        <v>1641</v>
      </c>
      <c r="BG313" s="289">
        <v>-0.026690391459074734</v>
      </c>
      <c r="BH313" s="289">
        <v>0</v>
      </c>
      <c r="BI313" s="289">
        <v>0</v>
      </c>
      <c r="BJ313" s="289">
        <v>0</v>
      </c>
      <c r="BK313" s="289">
        <v>478851.9120624946</v>
      </c>
      <c r="BL313" s="289">
        <v>7739.46</v>
      </c>
      <c r="BM313" s="301">
        <v>393</v>
      </c>
    </row>
    <row r="314" spans="6:65" s="289" customFormat="1" ht="12.75">
      <c r="F314" s="289">
        <v>748</v>
      </c>
      <c r="G314" s="289" t="s">
        <v>357</v>
      </c>
      <c r="H314" s="289">
        <v>585</v>
      </c>
      <c r="I314" s="289">
        <v>90</v>
      </c>
      <c r="J314" s="289">
        <v>508</v>
      </c>
      <c r="K314" s="289">
        <v>257</v>
      </c>
      <c r="L314" s="289">
        <v>4035</v>
      </c>
      <c r="M314" s="289">
        <v>495</v>
      </c>
      <c r="N314" s="289">
        <v>335</v>
      </c>
      <c r="O314" s="289">
        <v>147</v>
      </c>
      <c r="P314" s="289">
        <v>5597</v>
      </c>
      <c r="Q314" s="289">
        <v>0</v>
      </c>
      <c r="R314" s="289">
        <v>15</v>
      </c>
      <c r="S314" s="289">
        <v>1052.3000000000002</v>
      </c>
      <c r="T314" s="289">
        <v>5.3188254300104525</v>
      </c>
      <c r="U314" s="289">
        <v>0</v>
      </c>
      <c r="V314" s="289">
        <v>0</v>
      </c>
      <c r="W314" s="289">
        <v>2111</v>
      </c>
      <c r="X314" s="289">
        <v>374</v>
      </c>
      <c r="Y314" s="289">
        <v>43</v>
      </c>
      <c r="Z314" s="289">
        <v>0.843241810093445</v>
      </c>
      <c r="AA314" s="289">
        <v>9</v>
      </c>
      <c r="AB314" s="289">
        <v>9</v>
      </c>
      <c r="AC314" s="289">
        <v>0.9673782827847488</v>
      </c>
      <c r="AD314" s="289">
        <v>351</v>
      </c>
      <c r="AE314" s="289">
        <v>56</v>
      </c>
      <c r="AF314" s="289">
        <v>16</v>
      </c>
      <c r="AG314" s="289">
        <v>1</v>
      </c>
      <c r="AH314" s="289">
        <v>424</v>
      </c>
      <c r="AI314" s="289">
        <v>1.485307700528949</v>
      </c>
      <c r="AJ314" s="289">
        <v>2341</v>
      </c>
      <c r="AK314" s="289">
        <v>236</v>
      </c>
      <c r="AL314" s="289">
        <v>1.0294377263641221</v>
      </c>
      <c r="AM314" s="289">
        <v>1.702134519486565</v>
      </c>
      <c r="AN314" s="289">
        <v>0</v>
      </c>
      <c r="AO314" s="289">
        <v>0</v>
      </c>
      <c r="AP314" s="289">
        <f t="shared" si="3"/>
        <v>0</v>
      </c>
      <c r="AQ314" s="289">
        <v>-83113.75313581899</v>
      </c>
      <c r="AR314" s="289">
        <v>4064474.9100000006</v>
      </c>
      <c r="AS314" s="289">
        <v>1</v>
      </c>
      <c r="AT314" s="289">
        <v>5597</v>
      </c>
      <c r="AU314" s="289">
        <v>0</v>
      </c>
      <c r="AV314" s="289">
        <v>0</v>
      </c>
      <c r="AW314" s="289">
        <v>0</v>
      </c>
      <c r="AX314" s="289">
        <v>0</v>
      </c>
      <c r="AY314" s="289">
        <v>1052.02</v>
      </c>
      <c r="AZ314" s="289">
        <v>5.320241060055893</v>
      </c>
      <c r="BA314" s="289">
        <v>2605</v>
      </c>
      <c r="BB314" s="289">
        <v>0.46542790780775417</v>
      </c>
      <c r="BC314" s="289">
        <v>0</v>
      </c>
      <c r="BD314" s="289">
        <v>0</v>
      </c>
      <c r="BE314" s="289">
        <v>5776</v>
      </c>
      <c r="BF314" s="289">
        <v>5597</v>
      </c>
      <c r="BG314" s="289">
        <v>-0.030990304709141273</v>
      </c>
      <c r="BH314" s="289">
        <v>0</v>
      </c>
      <c r="BI314" s="289">
        <v>0</v>
      </c>
      <c r="BJ314" s="289">
        <v>0</v>
      </c>
      <c r="BK314" s="289">
        <v>1132793.8311366125</v>
      </c>
      <c r="BL314" s="289">
        <v>7352.22</v>
      </c>
      <c r="BM314" s="301">
        <v>2097</v>
      </c>
    </row>
    <row r="315" spans="6:65" s="289" customFormat="1" ht="12.75">
      <c r="F315" s="289">
        <v>749</v>
      </c>
      <c r="G315" s="289" t="s">
        <v>359</v>
      </c>
      <c r="H315" s="289">
        <v>1991</v>
      </c>
      <c r="I315" s="289">
        <v>299</v>
      </c>
      <c r="J315" s="289">
        <v>1811</v>
      </c>
      <c r="K315" s="289">
        <v>927</v>
      </c>
      <c r="L315" s="289">
        <v>16088</v>
      </c>
      <c r="M315" s="289">
        <v>2038</v>
      </c>
      <c r="N315" s="289">
        <v>1035</v>
      </c>
      <c r="O315" s="289">
        <v>279</v>
      </c>
      <c r="P315" s="289">
        <v>21431</v>
      </c>
      <c r="Q315" s="289">
        <v>1</v>
      </c>
      <c r="R315" s="289">
        <v>17</v>
      </c>
      <c r="S315" s="289">
        <v>400.96000000000004</v>
      </c>
      <c r="T315" s="289">
        <v>53.44922186751795</v>
      </c>
      <c r="U315" s="289">
        <v>0</v>
      </c>
      <c r="V315" s="289">
        <v>0</v>
      </c>
      <c r="W315" s="289">
        <v>9453</v>
      </c>
      <c r="X315" s="289">
        <v>384</v>
      </c>
      <c r="Y315" s="289">
        <v>121</v>
      </c>
      <c r="Z315" s="289">
        <v>0.9946797503480391</v>
      </c>
      <c r="AA315" s="289">
        <v>36</v>
      </c>
      <c r="AB315" s="289">
        <v>36</v>
      </c>
      <c r="AC315" s="289">
        <v>1.0105765010958403</v>
      </c>
      <c r="AD315" s="289">
        <v>757</v>
      </c>
      <c r="AE315" s="289">
        <v>115</v>
      </c>
      <c r="AF315" s="289">
        <v>35</v>
      </c>
      <c r="AG315" s="289">
        <v>2</v>
      </c>
      <c r="AH315" s="289">
        <v>909</v>
      </c>
      <c r="AI315" s="289">
        <v>0.8316246044428257</v>
      </c>
      <c r="AJ315" s="289">
        <v>10064</v>
      </c>
      <c r="AK315" s="289">
        <v>739</v>
      </c>
      <c r="AL315" s="289">
        <v>0.7498308441113336</v>
      </c>
      <c r="AM315" s="289">
        <v>1.0227223111061177</v>
      </c>
      <c r="AN315" s="289">
        <v>0</v>
      </c>
      <c r="AO315" s="289">
        <v>0</v>
      </c>
      <c r="AP315" s="289">
        <f t="shared" si="3"/>
        <v>0</v>
      </c>
      <c r="AQ315" s="289">
        <v>-59214.694434806705</v>
      </c>
      <c r="AR315" s="289">
        <v>410669.77604938264</v>
      </c>
      <c r="AS315" s="289">
        <v>1</v>
      </c>
      <c r="AT315" s="289">
        <v>21431</v>
      </c>
      <c r="AU315" s="289">
        <v>0</v>
      </c>
      <c r="AV315" s="289">
        <v>0</v>
      </c>
      <c r="AW315" s="289">
        <v>0</v>
      </c>
      <c r="AX315" s="289">
        <v>0</v>
      </c>
      <c r="AY315" s="289">
        <v>400.96</v>
      </c>
      <c r="AZ315" s="289">
        <v>53.44922186751796</v>
      </c>
      <c r="BA315" s="289">
        <v>17231</v>
      </c>
      <c r="BB315" s="289">
        <v>0.8040222108161075</v>
      </c>
      <c r="BC315" s="289">
        <v>0</v>
      </c>
      <c r="BD315" s="289">
        <v>0</v>
      </c>
      <c r="BE315" s="289">
        <v>20964</v>
      </c>
      <c r="BF315" s="289">
        <v>21431</v>
      </c>
      <c r="BG315" s="289">
        <v>0.022276283152070215</v>
      </c>
      <c r="BH315" s="289">
        <v>0</v>
      </c>
      <c r="BI315" s="289">
        <v>1</v>
      </c>
      <c r="BJ315" s="289">
        <v>4.666137837711726E-05</v>
      </c>
      <c r="BK315" s="289">
        <v>2807851.9662303636</v>
      </c>
      <c r="BL315" s="289">
        <v>5944.88</v>
      </c>
      <c r="BM315" s="301">
        <v>7608</v>
      </c>
    </row>
    <row r="316" spans="6:65" s="289" customFormat="1" ht="12.75">
      <c r="F316" s="289">
        <v>751</v>
      </c>
      <c r="G316" s="289" t="s">
        <v>360</v>
      </c>
      <c r="H316" s="289">
        <v>248</v>
      </c>
      <c r="I316" s="289">
        <v>42</v>
      </c>
      <c r="J316" s="289">
        <v>267</v>
      </c>
      <c r="K316" s="289">
        <v>124</v>
      </c>
      <c r="L316" s="289">
        <v>2372</v>
      </c>
      <c r="M316" s="289">
        <v>452</v>
      </c>
      <c r="N316" s="289">
        <v>278</v>
      </c>
      <c r="O316" s="289">
        <v>79</v>
      </c>
      <c r="P316" s="289">
        <v>3429</v>
      </c>
      <c r="Q316" s="289">
        <v>0</v>
      </c>
      <c r="R316" s="289">
        <v>0</v>
      </c>
      <c r="S316" s="289">
        <v>1446.81</v>
      </c>
      <c r="T316" s="289">
        <v>2.3700416778982727</v>
      </c>
      <c r="U316" s="289">
        <v>0</v>
      </c>
      <c r="V316" s="289">
        <v>0</v>
      </c>
      <c r="W316" s="289">
        <v>1218</v>
      </c>
      <c r="X316" s="289">
        <v>92</v>
      </c>
      <c r="Y316" s="289">
        <v>24</v>
      </c>
      <c r="Z316" s="289">
        <v>0.950738903722887</v>
      </c>
      <c r="AA316" s="289">
        <v>10</v>
      </c>
      <c r="AB316" s="289">
        <v>10</v>
      </c>
      <c r="AC316" s="289">
        <v>1.7544526258858233</v>
      </c>
      <c r="AD316" s="289">
        <v>209</v>
      </c>
      <c r="AE316" s="289">
        <v>26</v>
      </c>
      <c r="AF316" s="289">
        <v>5</v>
      </c>
      <c r="AG316" s="289">
        <v>0</v>
      </c>
      <c r="AH316" s="289">
        <v>240</v>
      </c>
      <c r="AI316" s="289">
        <v>1.3723018207399476</v>
      </c>
      <c r="AJ316" s="289">
        <v>1423</v>
      </c>
      <c r="AK316" s="289">
        <v>169</v>
      </c>
      <c r="AL316" s="289">
        <v>1.2127500334805654</v>
      </c>
      <c r="AM316" s="289">
        <v>1.547139078024446</v>
      </c>
      <c r="AN316" s="289">
        <v>0</v>
      </c>
      <c r="AO316" s="289">
        <v>0</v>
      </c>
      <c r="AP316" s="289">
        <f t="shared" si="3"/>
        <v>0</v>
      </c>
      <c r="AQ316" s="289">
        <v>-78985.75758260861</v>
      </c>
      <c r="AR316" s="289">
        <v>1329025.926746988</v>
      </c>
      <c r="AS316" s="289">
        <v>1</v>
      </c>
      <c r="AT316" s="289">
        <v>3429</v>
      </c>
      <c r="AU316" s="289">
        <v>0</v>
      </c>
      <c r="AV316" s="289">
        <v>0</v>
      </c>
      <c r="AW316" s="289">
        <v>0</v>
      </c>
      <c r="AX316" s="289">
        <v>0</v>
      </c>
      <c r="AY316" s="289">
        <v>1446.03</v>
      </c>
      <c r="AZ316" s="289">
        <v>2.371320097093421</v>
      </c>
      <c r="BA316" s="289">
        <v>1787</v>
      </c>
      <c r="BB316" s="289">
        <v>0.5211431904345291</v>
      </c>
      <c r="BC316" s="289">
        <v>0</v>
      </c>
      <c r="BD316" s="289">
        <v>0</v>
      </c>
      <c r="BE316" s="289">
        <v>3496</v>
      </c>
      <c r="BF316" s="289">
        <v>3429</v>
      </c>
      <c r="BG316" s="289">
        <v>-0.01916475972540046</v>
      </c>
      <c r="BH316" s="289">
        <v>0</v>
      </c>
      <c r="BI316" s="289">
        <v>0</v>
      </c>
      <c r="BJ316" s="289">
        <v>0</v>
      </c>
      <c r="BK316" s="289">
        <v>664184.5518244725</v>
      </c>
      <c r="BL316" s="289">
        <v>8225.82</v>
      </c>
      <c r="BM316" s="301">
        <v>988</v>
      </c>
    </row>
    <row r="317" spans="6:65" s="289" customFormat="1" ht="12.75">
      <c r="F317" s="289">
        <v>753</v>
      </c>
      <c r="G317" s="289" t="s">
        <v>361</v>
      </c>
      <c r="H317" s="289">
        <v>1720</v>
      </c>
      <c r="I317" s="289">
        <v>262</v>
      </c>
      <c r="J317" s="289">
        <v>1591</v>
      </c>
      <c r="K317" s="289">
        <v>822</v>
      </c>
      <c r="L317" s="289">
        <v>14143</v>
      </c>
      <c r="M317" s="289">
        <v>1707</v>
      </c>
      <c r="N317" s="289">
        <v>872</v>
      </c>
      <c r="O317" s="289">
        <v>297</v>
      </c>
      <c r="P317" s="289">
        <v>18739</v>
      </c>
      <c r="Q317" s="289">
        <v>901</v>
      </c>
      <c r="R317" s="289">
        <v>52</v>
      </c>
      <c r="S317" s="289">
        <v>339.62</v>
      </c>
      <c r="T317" s="289">
        <v>55.176373594016844</v>
      </c>
      <c r="U317" s="289">
        <v>1</v>
      </c>
      <c r="V317" s="289">
        <v>1</v>
      </c>
      <c r="W317" s="289">
        <v>8883</v>
      </c>
      <c r="X317" s="289">
        <v>170</v>
      </c>
      <c r="Y317" s="289">
        <v>126</v>
      </c>
      <c r="Z317" s="289">
        <v>1.015801289818145</v>
      </c>
      <c r="AA317" s="289">
        <v>17</v>
      </c>
      <c r="AB317" s="289">
        <v>17</v>
      </c>
      <c r="AC317" s="289">
        <v>0.5457724901049271</v>
      </c>
      <c r="AD317" s="289">
        <v>464</v>
      </c>
      <c r="AE317" s="289">
        <v>109</v>
      </c>
      <c r="AF317" s="289">
        <v>23</v>
      </c>
      <c r="AG317" s="289">
        <v>2</v>
      </c>
      <c r="AH317" s="289">
        <v>598</v>
      </c>
      <c r="AI317" s="289">
        <v>0.6256920771527593</v>
      </c>
      <c r="AJ317" s="289">
        <v>9176</v>
      </c>
      <c r="AK317" s="289">
        <v>392</v>
      </c>
      <c r="AL317" s="289">
        <v>0.43623665329415756</v>
      </c>
      <c r="AM317" s="289">
        <v>0.6401972847295224</v>
      </c>
      <c r="AN317" s="289">
        <v>0</v>
      </c>
      <c r="AO317" s="289">
        <v>0</v>
      </c>
      <c r="AP317" s="289">
        <f t="shared" si="3"/>
        <v>0</v>
      </c>
      <c r="AQ317" s="289">
        <v>338261.93236998096</v>
      </c>
      <c r="AR317" s="289">
        <v>-6039913.673700005</v>
      </c>
      <c r="AS317" s="289">
        <v>0</v>
      </c>
      <c r="AT317" s="289">
        <v>18739</v>
      </c>
      <c r="AU317" s="289">
        <v>1</v>
      </c>
      <c r="AV317" s="289">
        <v>223</v>
      </c>
      <c r="AW317" s="289">
        <v>0.011900314851379476</v>
      </c>
      <c r="AX317" s="289">
        <v>0</v>
      </c>
      <c r="AY317" s="289">
        <v>339.61</v>
      </c>
      <c r="AZ317" s="289">
        <v>55.17799829215865</v>
      </c>
      <c r="BA317" s="289">
        <v>15046</v>
      </c>
      <c r="BB317" s="289">
        <v>0.8029243823042852</v>
      </c>
      <c r="BC317" s="289">
        <v>1</v>
      </c>
      <c r="BD317" s="289">
        <v>0</v>
      </c>
      <c r="BE317" s="289">
        <v>18036</v>
      </c>
      <c r="BF317" s="289">
        <v>18739</v>
      </c>
      <c r="BG317" s="289">
        <v>0.03897760035484586</v>
      </c>
      <c r="BH317" s="289">
        <v>0</v>
      </c>
      <c r="BI317" s="289">
        <v>0</v>
      </c>
      <c r="BJ317" s="289">
        <v>0</v>
      </c>
      <c r="BK317" s="289">
        <v>1995650.7243958323</v>
      </c>
      <c r="BL317" s="289">
        <v>6517.84</v>
      </c>
      <c r="BM317" s="301">
        <v>6396</v>
      </c>
    </row>
    <row r="318" spans="6:65" s="289" customFormat="1" ht="12.75">
      <c r="F318" s="289">
        <v>755</v>
      </c>
      <c r="G318" s="289" t="s">
        <v>362</v>
      </c>
      <c r="H318" s="289">
        <v>616</v>
      </c>
      <c r="I318" s="289">
        <v>104</v>
      </c>
      <c r="J318" s="289">
        <v>527</v>
      </c>
      <c r="K318" s="289">
        <v>271</v>
      </c>
      <c r="L318" s="289">
        <v>4721</v>
      </c>
      <c r="M318" s="289">
        <v>540</v>
      </c>
      <c r="N318" s="289">
        <v>217</v>
      </c>
      <c r="O318" s="289">
        <v>76</v>
      </c>
      <c r="P318" s="289">
        <v>6170</v>
      </c>
      <c r="Q318" s="289">
        <v>254</v>
      </c>
      <c r="R318" s="289">
        <v>5</v>
      </c>
      <c r="S318" s="289">
        <v>241.08</v>
      </c>
      <c r="T318" s="289">
        <v>25.593164094906253</v>
      </c>
      <c r="U318" s="289">
        <v>0</v>
      </c>
      <c r="V318" s="289">
        <v>1</v>
      </c>
      <c r="W318" s="289">
        <v>2997</v>
      </c>
      <c r="X318" s="289">
        <v>105</v>
      </c>
      <c r="Y318" s="289">
        <v>41</v>
      </c>
      <c r="Z318" s="289">
        <v>0.9996257468836024</v>
      </c>
      <c r="AA318" s="289">
        <v>6</v>
      </c>
      <c r="AB318" s="289">
        <v>6</v>
      </c>
      <c r="AC318" s="289">
        <v>0.5850260668553473</v>
      </c>
      <c r="AD318" s="289">
        <v>120</v>
      </c>
      <c r="AE318" s="289">
        <v>55</v>
      </c>
      <c r="AF318" s="289">
        <v>5</v>
      </c>
      <c r="AG318" s="289">
        <v>3</v>
      </c>
      <c r="AH318" s="289">
        <v>183</v>
      </c>
      <c r="AI318" s="289">
        <v>0.5815295776789993</v>
      </c>
      <c r="AJ318" s="289">
        <v>3073</v>
      </c>
      <c r="AK318" s="289">
        <v>134</v>
      </c>
      <c r="AL318" s="289">
        <v>0.44527850294537297</v>
      </c>
      <c r="AM318" s="289">
        <v>0.5922079827053038</v>
      </c>
      <c r="AN318" s="289">
        <v>0</v>
      </c>
      <c r="AO318" s="289">
        <v>0</v>
      </c>
      <c r="AP318" s="289">
        <f t="shared" si="3"/>
        <v>0</v>
      </c>
      <c r="AQ318" s="289">
        <v>113029.24575293995</v>
      </c>
      <c r="AR318" s="289">
        <v>-1180479.4811416657</v>
      </c>
      <c r="AS318" s="289">
        <v>0</v>
      </c>
      <c r="AT318" s="289">
        <v>6170</v>
      </c>
      <c r="AU318" s="289">
        <v>0</v>
      </c>
      <c r="AV318" s="289">
        <v>0</v>
      </c>
      <c r="AW318" s="289">
        <v>0</v>
      </c>
      <c r="AX318" s="289">
        <v>0</v>
      </c>
      <c r="AY318" s="289">
        <v>241.08</v>
      </c>
      <c r="AZ318" s="289">
        <v>25.593164094906253</v>
      </c>
      <c r="BA318" s="289">
        <v>2864</v>
      </c>
      <c r="BB318" s="289">
        <v>0.4641815235008104</v>
      </c>
      <c r="BC318" s="289">
        <v>1</v>
      </c>
      <c r="BD318" s="289">
        <v>0</v>
      </c>
      <c r="BE318" s="289">
        <v>6024</v>
      </c>
      <c r="BF318" s="289">
        <v>6170</v>
      </c>
      <c r="BG318" s="289">
        <v>0.024236387782204515</v>
      </c>
      <c r="BH318" s="289">
        <v>0</v>
      </c>
      <c r="BI318" s="289">
        <v>0</v>
      </c>
      <c r="BJ318" s="289">
        <v>0</v>
      </c>
      <c r="BK318" s="289">
        <v>850643.0588267373</v>
      </c>
      <c r="BL318" s="289">
        <v>6760.15</v>
      </c>
      <c r="BM318" s="301">
        <v>2060</v>
      </c>
    </row>
    <row r="319" spans="6:65" s="289" customFormat="1" ht="12.75">
      <c r="F319" s="289">
        <v>758</v>
      </c>
      <c r="G319" s="289" t="s">
        <v>363</v>
      </c>
      <c r="H319" s="289">
        <v>541</v>
      </c>
      <c r="I319" s="289">
        <v>65</v>
      </c>
      <c r="J319" s="289">
        <v>464</v>
      </c>
      <c r="K319" s="289">
        <v>322</v>
      </c>
      <c r="L319" s="289">
        <v>6355</v>
      </c>
      <c r="M319" s="289">
        <v>1064</v>
      </c>
      <c r="N319" s="289">
        <v>699</v>
      </c>
      <c r="O319" s="289">
        <v>175</v>
      </c>
      <c r="P319" s="289">
        <v>8834</v>
      </c>
      <c r="Q319" s="289">
        <v>1</v>
      </c>
      <c r="R319" s="289">
        <v>5</v>
      </c>
      <c r="S319" s="289">
        <v>11693.35</v>
      </c>
      <c r="T319" s="289">
        <v>0.755472127320229</v>
      </c>
      <c r="U319" s="289">
        <v>0</v>
      </c>
      <c r="V319" s="289">
        <v>0</v>
      </c>
      <c r="W319" s="289">
        <v>3528</v>
      </c>
      <c r="X319" s="289">
        <v>354</v>
      </c>
      <c r="Y319" s="289">
        <v>46</v>
      </c>
      <c r="Z319" s="289">
        <v>0.9316764695630297</v>
      </c>
      <c r="AA319" s="289">
        <v>12</v>
      </c>
      <c r="AB319" s="289">
        <v>12</v>
      </c>
      <c r="AC319" s="289">
        <v>0.8172087010408632</v>
      </c>
      <c r="AD319" s="289">
        <v>558</v>
      </c>
      <c r="AE319" s="289">
        <v>37</v>
      </c>
      <c r="AF319" s="289">
        <v>23</v>
      </c>
      <c r="AG319" s="289">
        <v>4</v>
      </c>
      <c r="AH319" s="289">
        <v>622</v>
      </c>
      <c r="AI319" s="289">
        <v>1.3805078252317504</v>
      </c>
      <c r="AJ319" s="289">
        <v>3922</v>
      </c>
      <c r="AK319" s="289">
        <v>399</v>
      </c>
      <c r="AL319" s="289">
        <v>1.0388546716587284</v>
      </c>
      <c r="AM319" s="289">
        <v>1.178419897067388</v>
      </c>
      <c r="AN319" s="289">
        <v>0.0800000000000001</v>
      </c>
      <c r="AO319" s="289">
        <v>0</v>
      </c>
      <c r="AP319" s="289">
        <f t="shared" si="3"/>
        <v>0.0800000000000001</v>
      </c>
      <c r="AQ319" s="289">
        <v>-287297.2251544371</v>
      </c>
      <c r="AR319" s="289">
        <v>2016595.3243589755</v>
      </c>
      <c r="AS319" s="289">
        <v>1</v>
      </c>
      <c r="AT319" s="289">
        <v>8834</v>
      </c>
      <c r="AU319" s="289">
        <v>0</v>
      </c>
      <c r="AV319" s="289">
        <v>0</v>
      </c>
      <c r="AW319" s="289">
        <v>0</v>
      </c>
      <c r="AX319" s="289">
        <v>1.3773166666666667</v>
      </c>
      <c r="AY319" s="289">
        <v>11696.81</v>
      </c>
      <c r="AZ319" s="289">
        <v>0.755248653265292</v>
      </c>
      <c r="BA319" s="289">
        <v>5119</v>
      </c>
      <c r="BB319" s="289">
        <v>0.5794657007018338</v>
      </c>
      <c r="BC319" s="289">
        <v>0</v>
      </c>
      <c r="BD319" s="289">
        <v>1</v>
      </c>
      <c r="BE319" s="289">
        <v>8801</v>
      </c>
      <c r="BF319" s="289">
        <v>8834</v>
      </c>
      <c r="BG319" s="289">
        <v>0.003749573912055448</v>
      </c>
      <c r="BH319" s="289">
        <v>0</v>
      </c>
      <c r="BI319" s="289">
        <v>141</v>
      </c>
      <c r="BJ319" s="289">
        <v>0.015961059542676025</v>
      </c>
      <c r="BK319" s="289">
        <v>2067185.358616297</v>
      </c>
      <c r="BL319" s="289">
        <v>9087.6</v>
      </c>
      <c r="BM319" s="301">
        <v>2524</v>
      </c>
    </row>
    <row r="320" spans="6:65" s="289" customFormat="1" ht="12.75">
      <c r="F320" s="289">
        <v>759</v>
      </c>
      <c r="G320" s="289" t="s">
        <v>364</v>
      </c>
      <c r="H320" s="289">
        <v>162</v>
      </c>
      <c r="I320" s="289">
        <v>19</v>
      </c>
      <c r="J320" s="289">
        <v>158</v>
      </c>
      <c r="K320" s="289">
        <v>98</v>
      </c>
      <c r="L320" s="289">
        <v>1561</v>
      </c>
      <c r="M320" s="289">
        <v>292</v>
      </c>
      <c r="N320" s="289">
        <v>228</v>
      </c>
      <c r="O320" s="289">
        <v>86</v>
      </c>
      <c r="P320" s="289">
        <v>2329</v>
      </c>
      <c r="Q320" s="289">
        <v>2</v>
      </c>
      <c r="R320" s="289">
        <v>1</v>
      </c>
      <c r="S320" s="289">
        <v>551.95</v>
      </c>
      <c r="T320" s="289">
        <v>4.2195851073466795</v>
      </c>
      <c r="U320" s="289">
        <v>0</v>
      </c>
      <c r="V320" s="289">
        <v>0</v>
      </c>
      <c r="W320" s="289">
        <v>807</v>
      </c>
      <c r="X320" s="289">
        <v>142</v>
      </c>
      <c r="Y320" s="289">
        <v>30</v>
      </c>
      <c r="Z320" s="289">
        <v>0.8268507977006913</v>
      </c>
      <c r="AA320" s="289">
        <v>3</v>
      </c>
      <c r="AB320" s="289">
        <v>2</v>
      </c>
      <c r="AC320" s="289">
        <v>0.516618124015671</v>
      </c>
      <c r="AD320" s="289">
        <v>180</v>
      </c>
      <c r="AE320" s="289">
        <v>14</v>
      </c>
      <c r="AF320" s="289">
        <v>9</v>
      </c>
      <c r="AG320" s="289">
        <v>2</v>
      </c>
      <c r="AH320" s="289">
        <v>205</v>
      </c>
      <c r="AI320" s="289">
        <v>1.7257991687778058</v>
      </c>
      <c r="AJ320" s="289">
        <v>957</v>
      </c>
      <c r="AK320" s="289">
        <v>119</v>
      </c>
      <c r="AL320" s="289">
        <v>1.2697683986539452</v>
      </c>
      <c r="AM320" s="289">
        <v>1.6876924313511021</v>
      </c>
      <c r="AN320" s="289">
        <v>0</v>
      </c>
      <c r="AO320" s="289">
        <v>0</v>
      </c>
      <c r="AP320" s="289">
        <f t="shared" si="3"/>
        <v>0</v>
      </c>
      <c r="AQ320" s="289">
        <v>-12221.49818348512</v>
      </c>
      <c r="AR320" s="289">
        <v>2696196.788333333</v>
      </c>
      <c r="AS320" s="289">
        <v>0</v>
      </c>
      <c r="AT320" s="289">
        <v>2329</v>
      </c>
      <c r="AU320" s="289">
        <v>0</v>
      </c>
      <c r="AV320" s="289">
        <v>0</v>
      </c>
      <c r="AW320" s="289">
        <v>0</v>
      </c>
      <c r="AX320" s="289">
        <v>0.3894666666666666</v>
      </c>
      <c r="AY320" s="289">
        <v>552.06</v>
      </c>
      <c r="AZ320" s="289">
        <v>4.2187443393834005</v>
      </c>
      <c r="BA320" s="289">
        <v>1074</v>
      </c>
      <c r="BB320" s="289">
        <v>0.46114212108200947</v>
      </c>
      <c r="BC320" s="289">
        <v>0</v>
      </c>
      <c r="BD320" s="289">
        <v>0</v>
      </c>
      <c r="BE320" s="289">
        <v>2429</v>
      </c>
      <c r="BF320" s="289">
        <v>2329</v>
      </c>
      <c r="BG320" s="289">
        <v>-0.04116920543433512</v>
      </c>
      <c r="BH320" s="289">
        <v>0</v>
      </c>
      <c r="BI320" s="289">
        <v>0</v>
      </c>
      <c r="BJ320" s="289">
        <v>0</v>
      </c>
      <c r="BK320" s="289">
        <v>593364.8679845087</v>
      </c>
      <c r="BL320" s="289">
        <v>7483.74</v>
      </c>
      <c r="BM320" s="301">
        <v>741</v>
      </c>
    </row>
    <row r="321" spans="6:65" s="289" customFormat="1" ht="12.75">
      <c r="F321" s="289">
        <v>761</v>
      </c>
      <c r="G321" s="289" t="s">
        <v>365</v>
      </c>
      <c r="H321" s="289">
        <v>559</v>
      </c>
      <c r="I321" s="289">
        <v>95</v>
      </c>
      <c r="J321" s="289">
        <v>609</v>
      </c>
      <c r="K321" s="289">
        <v>300</v>
      </c>
      <c r="L321" s="289">
        <v>6139</v>
      </c>
      <c r="M321" s="289">
        <v>1278</v>
      </c>
      <c r="N321" s="289">
        <v>926</v>
      </c>
      <c r="O321" s="289">
        <v>327</v>
      </c>
      <c r="P321" s="289">
        <v>9229</v>
      </c>
      <c r="Q321" s="289">
        <v>0</v>
      </c>
      <c r="R321" s="289">
        <v>30</v>
      </c>
      <c r="S321" s="289">
        <v>667.78</v>
      </c>
      <c r="T321" s="289">
        <v>13.820419898769057</v>
      </c>
      <c r="U321" s="289">
        <v>0</v>
      </c>
      <c r="V321" s="289">
        <v>0</v>
      </c>
      <c r="W321" s="289">
        <v>3639</v>
      </c>
      <c r="X321" s="289">
        <v>490</v>
      </c>
      <c r="Y321" s="289">
        <v>57</v>
      </c>
      <c r="Z321" s="289">
        <v>0.8928621005848122</v>
      </c>
      <c r="AA321" s="289">
        <v>10</v>
      </c>
      <c r="AB321" s="289">
        <v>10</v>
      </c>
      <c r="AC321" s="289">
        <v>0.6518602290781762</v>
      </c>
      <c r="AD321" s="289">
        <v>552</v>
      </c>
      <c r="AE321" s="289">
        <v>67</v>
      </c>
      <c r="AF321" s="289">
        <v>14</v>
      </c>
      <c r="AG321" s="289">
        <v>4</v>
      </c>
      <c r="AH321" s="289">
        <v>637</v>
      </c>
      <c r="AI321" s="289">
        <v>1.3532893663511336</v>
      </c>
      <c r="AJ321" s="289">
        <v>4072</v>
      </c>
      <c r="AK321" s="289">
        <v>376</v>
      </c>
      <c r="AL321" s="289">
        <v>0.9429085338372454</v>
      </c>
      <c r="AM321" s="289">
        <v>1.0500406913667621</v>
      </c>
      <c r="AN321" s="289">
        <v>0</v>
      </c>
      <c r="AO321" s="289">
        <v>0</v>
      </c>
      <c r="AP321" s="289">
        <f t="shared" si="3"/>
        <v>0</v>
      </c>
      <c r="AQ321" s="289">
        <v>273763.0343242958</v>
      </c>
      <c r="AR321" s="289">
        <v>5163335.2982432395</v>
      </c>
      <c r="AS321" s="289">
        <v>1</v>
      </c>
      <c r="AT321" s="289">
        <v>9229</v>
      </c>
      <c r="AU321" s="289">
        <v>0</v>
      </c>
      <c r="AV321" s="289">
        <v>0</v>
      </c>
      <c r="AW321" s="289">
        <v>0</v>
      </c>
      <c r="AX321" s="289">
        <v>0</v>
      </c>
      <c r="AY321" s="289">
        <v>667.78</v>
      </c>
      <c r="AZ321" s="289">
        <v>13.820419898769057</v>
      </c>
      <c r="BA321" s="289">
        <v>5082</v>
      </c>
      <c r="BB321" s="289">
        <v>0.5506555423122765</v>
      </c>
      <c r="BC321" s="289">
        <v>0</v>
      </c>
      <c r="BD321" s="289">
        <v>0</v>
      </c>
      <c r="BE321" s="289">
        <v>9402</v>
      </c>
      <c r="BF321" s="289">
        <v>9229</v>
      </c>
      <c r="BG321" s="289">
        <v>-0.018400340353116357</v>
      </c>
      <c r="BH321" s="289">
        <v>0</v>
      </c>
      <c r="BI321" s="289">
        <v>0</v>
      </c>
      <c r="BJ321" s="289">
        <v>0</v>
      </c>
      <c r="BK321" s="289">
        <v>1919970.550175518</v>
      </c>
      <c r="BL321" s="289">
        <v>6711.06</v>
      </c>
      <c r="BM321" s="301">
        <v>2532</v>
      </c>
    </row>
    <row r="322" spans="6:65" s="289" customFormat="1" ht="12.75">
      <c r="F322" s="289">
        <v>762</v>
      </c>
      <c r="G322" s="289" t="s">
        <v>366</v>
      </c>
      <c r="H322" s="289">
        <v>283</v>
      </c>
      <c r="I322" s="289">
        <v>48</v>
      </c>
      <c r="J322" s="289">
        <v>255</v>
      </c>
      <c r="K322" s="289">
        <v>134</v>
      </c>
      <c r="L322" s="289">
        <v>3059</v>
      </c>
      <c r="M322" s="289">
        <v>568</v>
      </c>
      <c r="N322" s="289">
        <v>424</v>
      </c>
      <c r="O322" s="289">
        <v>159</v>
      </c>
      <c r="P322" s="289">
        <v>4493</v>
      </c>
      <c r="Q322" s="289">
        <v>0</v>
      </c>
      <c r="R322" s="289">
        <v>3</v>
      </c>
      <c r="S322" s="289">
        <v>1465.85</v>
      </c>
      <c r="T322" s="289">
        <v>3.0651158031176453</v>
      </c>
      <c r="U322" s="289">
        <v>0</v>
      </c>
      <c r="V322" s="289">
        <v>0</v>
      </c>
      <c r="W322" s="289">
        <v>1632</v>
      </c>
      <c r="X322" s="289">
        <v>358</v>
      </c>
      <c r="Y322" s="289">
        <v>27</v>
      </c>
      <c r="Z322" s="289">
        <v>0.8029218160407392</v>
      </c>
      <c r="AA322" s="289">
        <v>6</v>
      </c>
      <c r="AB322" s="289">
        <v>6</v>
      </c>
      <c r="AC322" s="289">
        <v>0.8033854512569536</v>
      </c>
      <c r="AD322" s="289">
        <v>354</v>
      </c>
      <c r="AE322" s="289">
        <v>28</v>
      </c>
      <c r="AF322" s="289">
        <v>2</v>
      </c>
      <c r="AG322" s="289">
        <v>3</v>
      </c>
      <c r="AH322" s="289">
        <v>387</v>
      </c>
      <c r="AI322" s="289">
        <v>1.6888085902735617</v>
      </c>
      <c r="AJ322" s="289">
        <v>1972</v>
      </c>
      <c r="AK322" s="289">
        <v>278</v>
      </c>
      <c r="AL322" s="289">
        <v>1.4395520624383702</v>
      </c>
      <c r="AM322" s="289">
        <v>1.5614323666893188</v>
      </c>
      <c r="AN322" s="289">
        <v>0</v>
      </c>
      <c r="AO322" s="289">
        <v>0</v>
      </c>
      <c r="AP322" s="289">
        <f t="shared" si="3"/>
        <v>0</v>
      </c>
      <c r="AQ322" s="289">
        <v>17535.917514123023</v>
      </c>
      <c r="AR322" s="289">
        <v>3514243.390886077</v>
      </c>
      <c r="AS322" s="289">
        <v>1</v>
      </c>
      <c r="AT322" s="289">
        <v>4493</v>
      </c>
      <c r="AU322" s="289">
        <v>0</v>
      </c>
      <c r="AV322" s="289">
        <v>0</v>
      </c>
      <c r="AW322" s="289">
        <v>0</v>
      </c>
      <c r="AX322" s="289">
        <v>0.1519</v>
      </c>
      <c r="AY322" s="289">
        <v>1465.87</v>
      </c>
      <c r="AZ322" s="289">
        <v>3.0650739833682388</v>
      </c>
      <c r="BA322" s="289">
        <v>1865</v>
      </c>
      <c r="BB322" s="289">
        <v>0.4150901402181171</v>
      </c>
      <c r="BC322" s="289">
        <v>0</v>
      </c>
      <c r="BD322" s="289">
        <v>0</v>
      </c>
      <c r="BE322" s="289">
        <v>4694</v>
      </c>
      <c r="BF322" s="289">
        <v>4493</v>
      </c>
      <c r="BG322" s="289">
        <v>-0.04282062207072859</v>
      </c>
      <c r="BH322" s="289">
        <v>0</v>
      </c>
      <c r="BI322" s="289">
        <v>0</v>
      </c>
      <c r="BJ322" s="289">
        <v>0</v>
      </c>
      <c r="BK322" s="289">
        <v>1240382.1177608818</v>
      </c>
      <c r="BL322" s="289">
        <v>7996.29</v>
      </c>
      <c r="BM322" s="301">
        <v>1267</v>
      </c>
    </row>
    <row r="323" spans="6:65" s="289" customFormat="1" ht="12.75">
      <c r="F323" s="289">
        <v>765</v>
      </c>
      <c r="G323" s="289" t="s">
        <v>367</v>
      </c>
      <c r="H323" s="289">
        <v>740</v>
      </c>
      <c r="I323" s="289">
        <v>103</v>
      </c>
      <c r="J323" s="289">
        <v>686</v>
      </c>
      <c r="K323" s="289">
        <v>367</v>
      </c>
      <c r="L323" s="289">
        <v>7653</v>
      </c>
      <c r="M323" s="289">
        <v>1190</v>
      </c>
      <c r="N323" s="289">
        <v>796</v>
      </c>
      <c r="O323" s="289">
        <v>303</v>
      </c>
      <c r="P323" s="289">
        <v>10682</v>
      </c>
      <c r="Q323" s="289">
        <v>0</v>
      </c>
      <c r="R323" s="289">
        <v>19</v>
      </c>
      <c r="S323" s="289">
        <v>2649.16</v>
      </c>
      <c r="T323" s="289">
        <v>4.03222153437316</v>
      </c>
      <c r="U323" s="289">
        <v>0</v>
      </c>
      <c r="V323" s="289">
        <v>0</v>
      </c>
      <c r="W323" s="289">
        <v>4274</v>
      </c>
      <c r="X323" s="289">
        <v>415</v>
      </c>
      <c r="Y323" s="289">
        <v>71</v>
      </c>
      <c r="Z323" s="289">
        <v>0.9313274673466027</v>
      </c>
      <c r="AA323" s="289">
        <v>22</v>
      </c>
      <c r="AB323" s="289">
        <v>22</v>
      </c>
      <c r="AC323" s="289">
        <v>1.2390226286423398</v>
      </c>
      <c r="AD323" s="289">
        <v>643</v>
      </c>
      <c r="AE323" s="289">
        <v>92</v>
      </c>
      <c r="AF323" s="289">
        <v>20</v>
      </c>
      <c r="AG323" s="289">
        <v>0</v>
      </c>
      <c r="AH323" s="289">
        <v>755</v>
      </c>
      <c r="AI323" s="289">
        <v>1.3857990553440938</v>
      </c>
      <c r="AJ323" s="289">
        <v>4811</v>
      </c>
      <c r="AK323" s="289">
        <v>481</v>
      </c>
      <c r="AL323" s="289">
        <v>1.0209376271171073</v>
      </c>
      <c r="AM323" s="289">
        <v>1.1024451777999305</v>
      </c>
      <c r="AN323" s="289">
        <v>0</v>
      </c>
      <c r="AO323" s="289">
        <v>0</v>
      </c>
      <c r="AP323" s="289">
        <f t="shared" si="3"/>
        <v>0</v>
      </c>
      <c r="AQ323" s="289">
        <v>231609.68106403947</v>
      </c>
      <c r="AR323" s="289">
        <v>4088013.49607595</v>
      </c>
      <c r="AS323" s="289">
        <v>1</v>
      </c>
      <c r="AT323" s="289">
        <v>10682</v>
      </c>
      <c r="AU323" s="289">
        <v>0</v>
      </c>
      <c r="AV323" s="289">
        <v>0</v>
      </c>
      <c r="AW323" s="289">
        <v>0</v>
      </c>
      <c r="AX323" s="289">
        <v>0.39399999999999996</v>
      </c>
      <c r="AY323" s="289">
        <v>2649.16</v>
      </c>
      <c r="AZ323" s="289">
        <v>4.03222153437316</v>
      </c>
      <c r="BA323" s="289">
        <v>6174</v>
      </c>
      <c r="BB323" s="289">
        <v>0.5779816513761468</v>
      </c>
      <c r="BC323" s="289">
        <v>0</v>
      </c>
      <c r="BD323" s="289">
        <v>0</v>
      </c>
      <c r="BE323" s="289">
        <v>10703</v>
      </c>
      <c r="BF323" s="289">
        <v>10682</v>
      </c>
      <c r="BG323" s="289">
        <v>-0.001962066710268149</v>
      </c>
      <c r="BH323" s="289">
        <v>0</v>
      </c>
      <c r="BI323" s="289">
        <v>0</v>
      </c>
      <c r="BJ323" s="289">
        <v>0</v>
      </c>
      <c r="BK323" s="289">
        <v>2080468.4914141214</v>
      </c>
      <c r="BL323" s="289">
        <v>7537.22</v>
      </c>
      <c r="BM323" s="301">
        <v>3200</v>
      </c>
    </row>
    <row r="324" spans="6:65" s="289" customFormat="1" ht="12.75">
      <c r="F324" s="289">
        <v>768</v>
      </c>
      <c r="G324" s="289" t="s">
        <v>368</v>
      </c>
      <c r="H324" s="289">
        <v>102</v>
      </c>
      <c r="I324" s="289">
        <v>25</v>
      </c>
      <c r="J324" s="289">
        <v>159</v>
      </c>
      <c r="K324" s="289">
        <v>84</v>
      </c>
      <c r="L324" s="289">
        <v>1819</v>
      </c>
      <c r="M324" s="289">
        <v>467</v>
      </c>
      <c r="N324" s="289">
        <v>327</v>
      </c>
      <c r="O324" s="289">
        <v>129</v>
      </c>
      <c r="P324" s="289">
        <v>2844</v>
      </c>
      <c r="Q324" s="289">
        <v>0</v>
      </c>
      <c r="R324" s="289">
        <v>7</v>
      </c>
      <c r="S324" s="289">
        <v>584.69</v>
      </c>
      <c r="T324" s="289">
        <v>4.864116027296515</v>
      </c>
      <c r="U324" s="289">
        <v>2</v>
      </c>
      <c r="V324" s="289">
        <v>0</v>
      </c>
      <c r="W324" s="289">
        <v>1015</v>
      </c>
      <c r="X324" s="289">
        <v>201</v>
      </c>
      <c r="Y324" s="289">
        <v>11</v>
      </c>
      <c r="Z324" s="289">
        <v>0.8313357600974356</v>
      </c>
      <c r="AA324" s="289">
        <v>0</v>
      </c>
      <c r="AB324" s="289">
        <v>2</v>
      </c>
      <c r="AC324" s="289">
        <v>0.4230673737104422</v>
      </c>
      <c r="AD324" s="289">
        <v>178</v>
      </c>
      <c r="AE324" s="289">
        <v>4</v>
      </c>
      <c r="AF324" s="289">
        <v>4</v>
      </c>
      <c r="AG324" s="289">
        <v>2</v>
      </c>
      <c r="AH324" s="289">
        <v>188</v>
      </c>
      <c r="AI324" s="289">
        <v>1.2960869569615106</v>
      </c>
      <c r="AJ324" s="289">
        <v>1197</v>
      </c>
      <c r="AK324" s="289">
        <v>132</v>
      </c>
      <c r="AL324" s="289">
        <v>1.1260800684593903</v>
      </c>
      <c r="AM324" s="289">
        <v>1.0033376840931245</v>
      </c>
      <c r="AN324" s="289">
        <v>0</v>
      </c>
      <c r="AO324" s="289">
        <v>0</v>
      </c>
      <c r="AP324" s="289">
        <f t="shared" si="3"/>
        <v>0</v>
      </c>
      <c r="AQ324" s="289">
        <v>295311.2232803684</v>
      </c>
      <c r="AR324" s="289">
        <v>2344739.570243903</v>
      </c>
      <c r="AS324" s="289">
        <v>1</v>
      </c>
      <c r="AT324" s="289">
        <v>2844</v>
      </c>
      <c r="AU324" s="289">
        <v>2</v>
      </c>
      <c r="AV324" s="289">
        <v>2844</v>
      </c>
      <c r="AW324" s="289">
        <v>0</v>
      </c>
      <c r="AX324" s="289">
        <v>0.39905</v>
      </c>
      <c r="AY324" s="289">
        <v>584.69</v>
      </c>
      <c r="AZ324" s="289">
        <v>4.864116027296515</v>
      </c>
      <c r="BA324" s="289">
        <v>1234</v>
      </c>
      <c r="BB324" s="289">
        <v>0.4338959212376934</v>
      </c>
      <c r="BC324" s="289">
        <v>0</v>
      </c>
      <c r="BD324" s="289">
        <v>0</v>
      </c>
      <c r="BE324" s="289">
        <v>2965</v>
      </c>
      <c r="BF324" s="289">
        <v>2844</v>
      </c>
      <c r="BG324" s="289">
        <v>-0.040809443507588535</v>
      </c>
      <c r="BH324" s="289">
        <v>0</v>
      </c>
      <c r="BI324" s="289">
        <v>0</v>
      </c>
      <c r="BJ324" s="289">
        <v>0</v>
      </c>
      <c r="BK324" s="289">
        <v>754202.5963377409</v>
      </c>
      <c r="BL324" s="289">
        <v>7835.06</v>
      </c>
      <c r="BM324" s="301">
        <v>648</v>
      </c>
    </row>
    <row r="325" spans="6:65" s="289" customFormat="1" ht="12.75">
      <c r="F325" s="289">
        <v>777</v>
      </c>
      <c r="G325" s="289" t="s">
        <v>369</v>
      </c>
      <c r="H325" s="289">
        <v>384</v>
      </c>
      <c r="I325" s="289">
        <v>63</v>
      </c>
      <c r="J325" s="289">
        <v>449</v>
      </c>
      <c r="K325" s="289">
        <v>262</v>
      </c>
      <c r="L325" s="289">
        <v>6013</v>
      </c>
      <c r="M325" s="289">
        <v>1237</v>
      </c>
      <c r="N325" s="289">
        <v>861</v>
      </c>
      <c r="O325" s="289">
        <v>318</v>
      </c>
      <c r="P325" s="289">
        <v>8813</v>
      </c>
      <c r="Q325" s="289">
        <v>0</v>
      </c>
      <c r="R325" s="289">
        <v>17</v>
      </c>
      <c r="S325" s="289">
        <v>5270.17</v>
      </c>
      <c r="T325" s="289">
        <v>1.672242071887624</v>
      </c>
      <c r="U325" s="289">
        <v>0</v>
      </c>
      <c r="V325" s="289">
        <v>0</v>
      </c>
      <c r="W325" s="289">
        <v>3114</v>
      </c>
      <c r="X325" s="289">
        <v>347</v>
      </c>
      <c r="Y325" s="289">
        <v>60</v>
      </c>
      <c r="Z325" s="289">
        <v>0.9134748750960848</v>
      </c>
      <c r="AA325" s="289">
        <v>11</v>
      </c>
      <c r="AB325" s="289">
        <v>11</v>
      </c>
      <c r="AC325" s="289">
        <v>0.7508929830453577</v>
      </c>
      <c r="AD325" s="289">
        <v>736</v>
      </c>
      <c r="AE325" s="289">
        <v>56</v>
      </c>
      <c r="AF325" s="289">
        <v>21</v>
      </c>
      <c r="AG325" s="289">
        <v>0</v>
      </c>
      <c r="AH325" s="289">
        <v>813</v>
      </c>
      <c r="AI325" s="289">
        <v>1.8087254874035272</v>
      </c>
      <c r="AJ325" s="289">
        <v>3833</v>
      </c>
      <c r="AK325" s="289">
        <v>546</v>
      </c>
      <c r="AL325" s="289">
        <v>1.4545990989383586</v>
      </c>
      <c r="AM325" s="289">
        <v>1.6465833244514951</v>
      </c>
      <c r="AN325" s="289">
        <v>0.0800000000000001</v>
      </c>
      <c r="AO325" s="289">
        <v>0</v>
      </c>
      <c r="AP325" s="289">
        <f t="shared" si="3"/>
        <v>0.0800000000000001</v>
      </c>
      <c r="AQ325" s="289">
        <v>227788.47878620028</v>
      </c>
      <c r="AR325" s="289">
        <v>5543014.746923081</v>
      </c>
      <c r="AS325" s="289">
        <v>1</v>
      </c>
      <c r="AT325" s="289">
        <v>8813</v>
      </c>
      <c r="AU325" s="289">
        <v>0</v>
      </c>
      <c r="AV325" s="289">
        <v>0</v>
      </c>
      <c r="AW325" s="289">
        <v>0</v>
      </c>
      <c r="AX325" s="289">
        <v>1.2955833333333333</v>
      </c>
      <c r="AY325" s="289">
        <v>5270.55</v>
      </c>
      <c r="AZ325" s="289">
        <v>1.6721215053457419</v>
      </c>
      <c r="BA325" s="289">
        <v>5365</v>
      </c>
      <c r="BB325" s="289">
        <v>0.60875978667877</v>
      </c>
      <c r="BC325" s="289">
        <v>0</v>
      </c>
      <c r="BD325" s="289">
        <v>0</v>
      </c>
      <c r="BE325" s="289">
        <v>9332</v>
      </c>
      <c r="BF325" s="289">
        <v>8813</v>
      </c>
      <c r="BG325" s="289">
        <v>-0.05561508786969567</v>
      </c>
      <c r="BH325" s="289">
        <v>0</v>
      </c>
      <c r="BI325" s="289">
        <v>0</v>
      </c>
      <c r="BJ325" s="289">
        <v>0</v>
      </c>
      <c r="BK325" s="289">
        <v>2230387.925934238</v>
      </c>
      <c r="BL325" s="289">
        <v>8506.67</v>
      </c>
      <c r="BM325" s="301">
        <v>2077</v>
      </c>
    </row>
    <row r="326" spans="6:65" s="289" customFormat="1" ht="12.75">
      <c r="F326" s="289">
        <v>778</v>
      </c>
      <c r="G326" s="289" t="s">
        <v>370</v>
      </c>
      <c r="H326" s="289">
        <v>451</v>
      </c>
      <c r="I326" s="289">
        <v>61</v>
      </c>
      <c r="J326" s="289">
        <v>450</v>
      </c>
      <c r="K326" s="289">
        <v>246</v>
      </c>
      <c r="L326" s="289">
        <v>5066</v>
      </c>
      <c r="M326" s="289">
        <v>1016</v>
      </c>
      <c r="N326" s="289">
        <v>677</v>
      </c>
      <c r="O326" s="289">
        <v>286</v>
      </c>
      <c r="P326" s="289">
        <v>7496</v>
      </c>
      <c r="Q326" s="289">
        <v>0</v>
      </c>
      <c r="R326" s="289">
        <v>15</v>
      </c>
      <c r="S326" s="289">
        <v>713.5500000000001</v>
      </c>
      <c r="T326" s="289">
        <v>10.505220376988296</v>
      </c>
      <c r="U326" s="289">
        <v>0</v>
      </c>
      <c r="V326" s="289">
        <v>0</v>
      </c>
      <c r="W326" s="289">
        <v>2808</v>
      </c>
      <c r="X326" s="289">
        <v>252</v>
      </c>
      <c r="Y326" s="289">
        <v>64</v>
      </c>
      <c r="Z326" s="289">
        <v>0.9325623839711</v>
      </c>
      <c r="AA326" s="289">
        <v>10</v>
      </c>
      <c r="AB326" s="289">
        <v>10</v>
      </c>
      <c r="AC326" s="289">
        <v>0.8025637745681014</v>
      </c>
      <c r="AD326" s="289">
        <v>571</v>
      </c>
      <c r="AE326" s="289">
        <v>46</v>
      </c>
      <c r="AF326" s="289">
        <v>17</v>
      </c>
      <c r="AG326" s="289">
        <v>5</v>
      </c>
      <c r="AH326" s="289">
        <v>639</v>
      </c>
      <c r="AI326" s="289">
        <v>1.671387551571806</v>
      </c>
      <c r="AJ326" s="289">
        <v>3183</v>
      </c>
      <c r="AK326" s="289">
        <v>330</v>
      </c>
      <c r="AL326" s="289">
        <v>1.0586850784997568</v>
      </c>
      <c r="AM326" s="289">
        <v>1.8841144085828023</v>
      </c>
      <c r="AN326" s="289">
        <v>0</v>
      </c>
      <c r="AO326" s="289">
        <v>0</v>
      </c>
      <c r="AP326" s="289">
        <f t="shared" si="3"/>
        <v>0</v>
      </c>
      <c r="AQ326" s="289">
        <v>90136.78364054114</v>
      </c>
      <c r="AR326" s="289">
        <v>4666421.383875001</v>
      </c>
      <c r="AS326" s="289">
        <v>0</v>
      </c>
      <c r="AT326" s="289">
        <v>7496</v>
      </c>
      <c r="AU326" s="289">
        <v>0</v>
      </c>
      <c r="AV326" s="289">
        <v>0</v>
      </c>
      <c r="AW326" s="289">
        <v>0</v>
      </c>
      <c r="AX326" s="289">
        <v>0.07033333333333333</v>
      </c>
      <c r="AY326" s="289">
        <v>713.54</v>
      </c>
      <c r="AZ326" s="289">
        <v>10.505367603778344</v>
      </c>
      <c r="BA326" s="289">
        <v>5373</v>
      </c>
      <c r="BB326" s="289">
        <v>0.7167822838847385</v>
      </c>
      <c r="BC326" s="289">
        <v>0</v>
      </c>
      <c r="BD326" s="289">
        <v>0</v>
      </c>
      <c r="BE326" s="289">
        <v>7611</v>
      </c>
      <c r="BF326" s="289">
        <v>7496</v>
      </c>
      <c r="BG326" s="289">
        <v>-0.01510970963079753</v>
      </c>
      <c r="BH326" s="289">
        <v>0</v>
      </c>
      <c r="BI326" s="289">
        <v>0</v>
      </c>
      <c r="BJ326" s="289">
        <v>0</v>
      </c>
      <c r="BK326" s="289">
        <v>1631392.2882211045</v>
      </c>
      <c r="BL326" s="289">
        <v>6884.15</v>
      </c>
      <c r="BM326" s="301">
        <v>2061</v>
      </c>
    </row>
    <row r="327" spans="6:65" s="289" customFormat="1" ht="12.75">
      <c r="F327" s="289">
        <v>781</v>
      </c>
      <c r="G327" s="289" t="s">
        <v>371</v>
      </c>
      <c r="H327" s="289">
        <v>149</v>
      </c>
      <c r="I327" s="289">
        <v>31</v>
      </c>
      <c r="J327" s="289">
        <v>218</v>
      </c>
      <c r="K327" s="289">
        <v>138</v>
      </c>
      <c r="L327" s="289">
        <v>2626</v>
      </c>
      <c r="M327" s="289">
        <v>700</v>
      </c>
      <c r="N327" s="289">
        <v>518</v>
      </c>
      <c r="O327" s="289">
        <v>185</v>
      </c>
      <c r="P327" s="289">
        <v>4178</v>
      </c>
      <c r="Q327" s="289">
        <v>0</v>
      </c>
      <c r="R327" s="289">
        <v>7</v>
      </c>
      <c r="S327" s="289">
        <v>666.91</v>
      </c>
      <c r="T327" s="289">
        <v>6.26471337961644</v>
      </c>
      <c r="U327" s="289">
        <v>0</v>
      </c>
      <c r="V327" s="289">
        <v>0</v>
      </c>
      <c r="W327" s="289">
        <v>1485</v>
      </c>
      <c r="X327" s="289">
        <v>309</v>
      </c>
      <c r="Y327" s="289">
        <v>30</v>
      </c>
      <c r="Z327" s="289">
        <v>0.810933278645933</v>
      </c>
      <c r="AA327" s="289">
        <v>7</v>
      </c>
      <c r="AB327" s="289">
        <v>7</v>
      </c>
      <c r="AC327" s="289">
        <v>1.007949410702188</v>
      </c>
      <c r="AD327" s="289">
        <v>236</v>
      </c>
      <c r="AE327" s="289">
        <v>19</v>
      </c>
      <c r="AF327" s="289">
        <v>3</v>
      </c>
      <c r="AG327" s="289">
        <v>0</v>
      </c>
      <c r="AH327" s="289">
        <v>258</v>
      </c>
      <c r="AI327" s="289">
        <v>1.2107574590871413</v>
      </c>
      <c r="AJ327" s="289">
        <v>1689</v>
      </c>
      <c r="AK327" s="289">
        <v>165</v>
      </c>
      <c r="AL327" s="289">
        <v>0.9975709309842291</v>
      </c>
      <c r="AM327" s="289">
        <v>1.3100743228808363</v>
      </c>
      <c r="AN327" s="289">
        <v>0</v>
      </c>
      <c r="AO327" s="289">
        <v>0</v>
      </c>
      <c r="AP327" s="289">
        <f t="shared" si="3"/>
        <v>0</v>
      </c>
      <c r="AQ327" s="289">
        <v>145472.55402242765</v>
      </c>
      <c r="AR327" s="289">
        <v>3469156.483552631</v>
      </c>
      <c r="AS327" s="289">
        <v>1</v>
      </c>
      <c r="AT327" s="289">
        <v>4178</v>
      </c>
      <c r="AU327" s="289">
        <v>0</v>
      </c>
      <c r="AV327" s="289">
        <v>0</v>
      </c>
      <c r="AW327" s="289">
        <v>0</v>
      </c>
      <c r="AX327" s="289">
        <v>0.4562</v>
      </c>
      <c r="AY327" s="289">
        <v>666.91</v>
      </c>
      <c r="AZ327" s="289">
        <v>6.26471337961644</v>
      </c>
      <c r="BA327" s="289">
        <v>2139</v>
      </c>
      <c r="BB327" s="289">
        <v>0.5119674485399712</v>
      </c>
      <c r="BC327" s="289">
        <v>0</v>
      </c>
      <c r="BD327" s="289">
        <v>0</v>
      </c>
      <c r="BE327" s="289">
        <v>4391</v>
      </c>
      <c r="BF327" s="289">
        <v>4178</v>
      </c>
      <c r="BG327" s="289">
        <v>-0.04850831245729902</v>
      </c>
      <c r="BH327" s="289">
        <v>0</v>
      </c>
      <c r="BI327" s="289">
        <v>1</v>
      </c>
      <c r="BJ327" s="289">
        <v>0.00023934897079942556</v>
      </c>
      <c r="BK327" s="289">
        <v>959883.1625052997</v>
      </c>
      <c r="BL327" s="289">
        <v>7228.53</v>
      </c>
      <c r="BM327" s="301">
        <v>930</v>
      </c>
    </row>
    <row r="328" spans="6:65" s="289" customFormat="1" ht="12.75">
      <c r="F328" s="289">
        <v>783</v>
      </c>
      <c r="G328" s="289" t="s">
        <v>372</v>
      </c>
      <c r="H328" s="289">
        <v>303</v>
      </c>
      <c r="I328" s="289">
        <v>31</v>
      </c>
      <c r="J328" s="289">
        <v>275</v>
      </c>
      <c r="K328" s="289">
        <v>153</v>
      </c>
      <c r="L328" s="289">
        <v>3193</v>
      </c>
      <c r="M328" s="289">
        <v>608</v>
      </c>
      <c r="N328" s="289">
        <v>386</v>
      </c>
      <c r="O328" s="289">
        <v>141</v>
      </c>
      <c r="P328" s="289">
        <v>4631</v>
      </c>
      <c r="Q328" s="289">
        <v>1</v>
      </c>
      <c r="R328" s="289">
        <v>13</v>
      </c>
      <c r="S328" s="289">
        <v>160.59</v>
      </c>
      <c r="T328" s="289">
        <v>28.8374120430911</v>
      </c>
      <c r="U328" s="289">
        <v>0</v>
      </c>
      <c r="V328" s="289">
        <v>0</v>
      </c>
      <c r="W328" s="289">
        <v>2092</v>
      </c>
      <c r="X328" s="289">
        <v>116</v>
      </c>
      <c r="Y328" s="289">
        <v>31</v>
      </c>
      <c r="Z328" s="289">
        <v>0.9769782258871219</v>
      </c>
      <c r="AA328" s="289">
        <v>4</v>
      </c>
      <c r="AB328" s="289">
        <v>2</v>
      </c>
      <c r="AC328" s="289">
        <v>0.25981507467771486</v>
      </c>
      <c r="AD328" s="289">
        <v>209</v>
      </c>
      <c r="AE328" s="289">
        <v>31</v>
      </c>
      <c r="AF328" s="289">
        <v>3</v>
      </c>
      <c r="AG328" s="289">
        <v>3</v>
      </c>
      <c r="AH328" s="289">
        <v>246</v>
      </c>
      <c r="AI328" s="289">
        <v>1.0415166307277504</v>
      </c>
      <c r="AJ328" s="289">
        <v>2254</v>
      </c>
      <c r="AK328" s="289">
        <v>125</v>
      </c>
      <c r="AL328" s="289">
        <v>0.5662987357265074</v>
      </c>
      <c r="AM328" s="289">
        <v>0.9391285451502983</v>
      </c>
      <c r="AN328" s="289">
        <v>0</v>
      </c>
      <c r="AO328" s="289">
        <v>0</v>
      </c>
      <c r="AP328" s="289">
        <f t="shared" si="3"/>
        <v>0</v>
      </c>
      <c r="AQ328" s="289">
        <v>-108254.23201110121</v>
      </c>
      <c r="AR328" s="289">
        <v>-330913.9834287492</v>
      </c>
      <c r="AS328" s="289">
        <v>1</v>
      </c>
      <c r="AT328" s="289">
        <v>4631</v>
      </c>
      <c r="AU328" s="289">
        <v>0</v>
      </c>
      <c r="AV328" s="289">
        <v>0</v>
      </c>
      <c r="AW328" s="289">
        <v>0</v>
      </c>
      <c r="AX328" s="289">
        <v>0</v>
      </c>
      <c r="AY328" s="289">
        <v>160.57</v>
      </c>
      <c r="AZ328" s="289">
        <v>28.841003923522454</v>
      </c>
      <c r="BA328" s="289">
        <v>3892</v>
      </c>
      <c r="BB328" s="289">
        <v>0.8404232347225221</v>
      </c>
      <c r="BC328" s="289">
        <v>0</v>
      </c>
      <c r="BD328" s="289">
        <v>0</v>
      </c>
      <c r="BE328" s="289">
        <v>4721</v>
      </c>
      <c r="BF328" s="289">
        <v>4631</v>
      </c>
      <c r="BG328" s="289">
        <v>-0.019063757678457954</v>
      </c>
      <c r="BH328" s="289">
        <v>0</v>
      </c>
      <c r="BI328" s="289">
        <v>0</v>
      </c>
      <c r="BJ328" s="289">
        <v>0</v>
      </c>
      <c r="BK328" s="289">
        <v>829493.5383333915</v>
      </c>
      <c r="BL328" s="289">
        <v>6207.53</v>
      </c>
      <c r="BM328" s="301">
        <v>1365</v>
      </c>
    </row>
    <row r="329" spans="6:65" s="289" customFormat="1" ht="12.75">
      <c r="F329" s="289">
        <v>785</v>
      </c>
      <c r="G329" s="289" t="s">
        <v>397</v>
      </c>
      <c r="H329" s="289">
        <v>166</v>
      </c>
      <c r="I329" s="289">
        <v>25</v>
      </c>
      <c r="J329" s="289">
        <v>199</v>
      </c>
      <c r="K329" s="289">
        <v>126</v>
      </c>
      <c r="L329" s="289">
        <v>2167</v>
      </c>
      <c r="M329" s="289">
        <v>471</v>
      </c>
      <c r="N329" s="289">
        <v>332</v>
      </c>
      <c r="O329" s="289">
        <v>114</v>
      </c>
      <c r="P329" s="289">
        <v>3250</v>
      </c>
      <c r="Q329" s="289">
        <v>0</v>
      </c>
      <c r="R329" s="289">
        <v>0</v>
      </c>
      <c r="S329" s="289">
        <v>1302.1100000000001</v>
      </c>
      <c r="T329" s="289">
        <v>2.495948882966877</v>
      </c>
      <c r="U329" s="289">
        <v>1</v>
      </c>
      <c r="V329" s="289">
        <v>0</v>
      </c>
      <c r="W329" s="289">
        <v>1076</v>
      </c>
      <c r="X329" s="289">
        <v>175</v>
      </c>
      <c r="Y329" s="289">
        <v>13</v>
      </c>
      <c r="Z329" s="289">
        <v>0.8672167421553707</v>
      </c>
      <c r="AA329" s="289">
        <v>8</v>
      </c>
      <c r="AB329" s="289">
        <v>8</v>
      </c>
      <c r="AC329" s="289">
        <v>1.480865982563074</v>
      </c>
      <c r="AD329" s="289">
        <v>265</v>
      </c>
      <c r="AE329" s="289">
        <v>32</v>
      </c>
      <c r="AF329" s="289">
        <v>9</v>
      </c>
      <c r="AG329" s="289">
        <v>3</v>
      </c>
      <c r="AH329" s="289">
        <v>309</v>
      </c>
      <c r="AI329" s="289">
        <v>1.8641506275449222</v>
      </c>
      <c r="AJ329" s="289">
        <v>1315</v>
      </c>
      <c r="AK329" s="289">
        <v>208</v>
      </c>
      <c r="AL329" s="289">
        <v>1.6152028524296875</v>
      </c>
      <c r="AM329" s="289">
        <v>1.7985773428012117</v>
      </c>
      <c r="AN329" s="289">
        <v>0.0800000000000001</v>
      </c>
      <c r="AO329" s="289">
        <v>0</v>
      </c>
      <c r="AP329" s="289">
        <f t="shared" si="3"/>
        <v>0.0800000000000001</v>
      </c>
      <c r="AQ329" s="289">
        <v>-70951.2395362258</v>
      </c>
      <c r="AR329" s="289">
        <v>2573480.471666668</v>
      </c>
      <c r="AS329" s="289">
        <v>1</v>
      </c>
      <c r="AT329" s="289">
        <v>3250</v>
      </c>
      <c r="AU329" s="289">
        <v>1</v>
      </c>
      <c r="AV329" s="289">
        <v>110</v>
      </c>
      <c r="AW329" s="289">
        <v>0.033846153846153845</v>
      </c>
      <c r="AX329" s="289">
        <v>1.4197166666666665</v>
      </c>
      <c r="AY329" s="289">
        <v>1302.64</v>
      </c>
      <c r="AZ329" s="289">
        <v>2.4949333660873303</v>
      </c>
      <c r="BA329" s="289">
        <v>1349</v>
      </c>
      <c r="BB329" s="289">
        <v>0.41507692307692307</v>
      </c>
      <c r="BC329" s="289">
        <v>0</v>
      </c>
      <c r="BD329" s="289">
        <v>0</v>
      </c>
      <c r="BE329" s="289">
        <v>3400</v>
      </c>
      <c r="BF329" s="289">
        <v>3250</v>
      </c>
      <c r="BG329" s="289">
        <v>-0.04411764705882353</v>
      </c>
      <c r="BH329" s="289">
        <v>0</v>
      </c>
      <c r="BI329" s="289">
        <v>0</v>
      </c>
      <c r="BJ329" s="289">
        <v>0</v>
      </c>
      <c r="BK329" s="289">
        <v>801051.779458948</v>
      </c>
      <c r="BL329" s="289">
        <v>8146.8</v>
      </c>
      <c r="BM329" s="301">
        <v>864</v>
      </c>
    </row>
    <row r="330" spans="6:65" s="289" customFormat="1" ht="12.75">
      <c r="F330" s="289">
        <v>790</v>
      </c>
      <c r="G330" s="289" t="s">
        <v>349</v>
      </c>
      <c r="H330" s="289">
        <v>1845</v>
      </c>
      <c r="I330" s="289">
        <v>292</v>
      </c>
      <c r="J330" s="289">
        <v>1690</v>
      </c>
      <c r="K330" s="289">
        <v>920</v>
      </c>
      <c r="L330" s="289">
        <v>17824</v>
      </c>
      <c r="M330" s="289">
        <v>3118</v>
      </c>
      <c r="N330" s="289">
        <v>2085</v>
      </c>
      <c r="O330" s="289">
        <v>875</v>
      </c>
      <c r="P330" s="289">
        <v>25747</v>
      </c>
      <c r="Q330" s="289">
        <v>5</v>
      </c>
      <c r="R330" s="289">
        <v>58</v>
      </c>
      <c r="S330" s="289">
        <v>1429.23</v>
      </c>
      <c r="T330" s="289">
        <v>18.0145952715798</v>
      </c>
      <c r="U330" s="289">
        <v>0</v>
      </c>
      <c r="V330" s="289">
        <v>0</v>
      </c>
      <c r="W330" s="289">
        <v>10442</v>
      </c>
      <c r="X330" s="289">
        <v>779</v>
      </c>
      <c r="Y330" s="289">
        <v>169</v>
      </c>
      <c r="Z330" s="289">
        <v>0.9554159728971404</v>
      </c>
      <c r="AA330" s="289">
        <v>32</v>
      </c>
      <c r="AB330" s="289">
        <v>32</v>
      </c>
      <c r="AC330" s="289">
        <v>0.74770877280149</v>
      </c>
      <c r="AD330" s="289">
        <v>1498</v>
      </c>
      <c r="AE330" s="289">
        <v>230</v>
      </c>
      <c r="AF330" s="289">
        <v>47</v>
      </c>
      <c r="AG330" s="289">
        <v>14</v>
      </c>
      <c r="AH330" s="289">
        <v>1789</v>
      </c>
      <c r="AI330" s="289">
        <v>1.3623528057629066</v>
      </c>
      <c r="AJ330" s="289">
        <v>11224</v>
      </c>
      <c r="AK330" s="289">
        <v>712</v>
      </c>
      <c r="AL330" s="289">
        <v>0.6477714849844718</v>
      </c>
      <c r="AM330" s="289">
        <v>1.187880309731525</v>
      </c>
      <c r="AN330" s="289">
        <v>0</v>
      </c>
      <c r="AO330" s="289">
        <v>0</v>
      </c>
      <c r="AP330" s="289">
        <f t="shared" si="3"/>
        <v>0</v>
      </c>
      <c r="AQ330" s="289">
        <v>305236.4049048126</v>
      </c>
      <c r="AR330" s="289">
        <v>11783305.798125003</v>
      </c>
      <c r="AS330" s="289">
        <v>1</v>
      </c>
      <c r="AT330" s="289">
        <v>25747</v>
      </c>
      <c r="AU330" s="289">
        <v>0</v>
      </c>
      <c r="AV330" s="289">
        <v>0</v>
      </c>
      <c r="AW330" s="289">
        <v>0</v>
      </c>
      <c r="AX330" s="289">
        <v>0</v>
      </c>
      <c r="AY330" s="289">
        <v>1429.25</v>
      </c>
      <c r="AZ330" s="289">
        <v>18.01434318698618</v>
      </c>
      <c r="BA330" s="289">
        <v>17001</v>
      </c>
      <c r="BB330" s="289">
        <v>0.660309939022022</v>
      </c>
      <c r="BC330" s="289">
        <v>0</v>
      </c>
      <c r="BD330" s="289">
        <v>0</v>
      </c>
      <c r="BE330" s="289">
        <v>25746</v>
      </c>
      <c r="BF330" s="289">
        <v>25747</v>
      </c>
      <c r="BG330" s="289">
        <v>3.884098500737979E-05</v>
      </c>
      <c r="BH330" s="289">
        <v>0</v>
      </c>
      <c r="BI330" s="289">
        <v>0</v>
      </c>
      <c r="BJ330" s="289">
        <v>0</v>
      </c>
      <c r="BK330" s="289">
        <v>4769562.203441425</v>
      </c>
      <c r="BL330" s="289">
        <v>6515.29</v>
      </c>
      <c r="BM330" s="301">
        <v>7431</v>
      </c>
    </row>
    <row r="331" spans="6:65" s="289" customFormat="1" ht="12.75">
      <c r="F331" s="289">
        <v>791</v>
      </c>
      <c r="G331" s="289" t="s">
        <v>358</v>
      </c>
      <c r="H331" s="289">
        <v>435</v>
      </c>
      <c r="I331" s="289">
        <v>69</v>
      </c>
      <c r="J331" s="289">
        <v>383</v>
      </c>
      <c r="K331" s="289">
        <v>233</v>
      </c>
      <c r="L331" s="289">
        <v>4025</v>
      </c>
      <c r="M331" s="289">
        <v>762</v>
      </c>
      <c r="N331" s="289">
        <v>548</v>
      </c>
      <c r="O331" s="289">
        <v>213</v>
      </c>
      <c r="P331" s="289">
        <v>5983</v>
      </c>
      <c r="Q331" s="289">
        <v>0</v>
      </c>
      <c r="R331" s="289">
        <v>3</v>
      </c>
      <c r="S331" s="289">
        <v>2171.86</v>
      </c>
      <c r="T331" s="289">
        <v>2.7547816157579215</v>
      </c>
      <c r="U331" s="289">
        <v>0</v>
      </c>
      <c r="V331" s="289">
        <v>0</v>
      </c>
      <c r="W331" s="289">
        <v>2231</v>
      </c>
      <c r="X331" s="289">
        <v>553</v>
      </c>
      <c r="Y331" s="289">
        <v>39</v>
      </c>
      <c r="Z331" s="289">
        <v>0.7719805215324271</v>
      </c>
      <c r="AA331" s="289">
        <v>9</v>
      </c>
      <c r="AB331" s="289">
        <v>9</v>
      </c>
      <c r="AC331" s="289">
        <v>0.9049667806696038</v>
      </c>
      <c r="AD331" s="289">
        <v>497</v>
      </c>
      <c r="AE331" s="289">
        <v>36</v>
      </c>
      <c r="AF331" s="289">
        <v>17</v>
      </c>
      <c r="AG331" s="289">
        <v>3</v>
      </c>
      <c r="AH331" s="289">
        <v>553</v>
      </c>
      <c r="AI331" s="289">
        <v>1.812224558230581</v>
      </c>
      <c r="AJ331" s="289">
        <v>2561</v>
      </c>
      <c r="AK331" s="289">
        <v>281</v>
      </c>
      <c r="AL331" s="289">
        <v>1.1204338787724824</v>
      </c>
      <c r="AM331" s="289">
        <v>1.5701624481362826</v>
      </c>
      <c r="AN331" s="289">
        <v>0.0800000000000001</v>
      </c>
      <c r="AO331" s="289">
        <v>0</v>
      </c>
      <c r="AP331" s="289">
        <f aca="true" t="shared" si="4" ref="AP331:AP377">MAX(AN331,AO331)</f>
        <v>0.0800000000000001</v>
      </c>
      <c r="AQ331" s="289">
        <v>-166306.19408746436</v>
      </c>
      <c r="AR331" s="289">
        <v>5767984.170229887</v>
      </c>
      <c r="AS331" s="289">
        <v>1</v>
      </c>
      <c r="AT331" s="289">
        <v>5983</v>
      </c>
      <c r="AU331" s="289">
        <v>0</v>
      </c>
      <c r="AV331" s="289">
        <v>0</v>
      </c>
      <c r="AW331" s="289">
        <v>0</v>
      </c>
      <c r="AX331" s="289">
        <v>1.0941166666666666</v>
      </c>
      <c r="AY331" s="289">
        <v>2171.85</v>
      </c>
      <c r="AZ331" s="289">
        <v>2.7547942997905013</v>
      </c>
      <c r="BA331" s="289">
        <v>2866</v>
      </c>
      <c r="BB331" s="289">
        <v>0.4790239010529835</v>
      </c>
      <c r="BC331" s="289">
        <v>0</v>
      </c>
      <c r="BD331" s="289">
        <v>0</v>
      </c>
      <c r="BE331" s="289">
        <v>6293</v>
      </c>
      <c r="BF331" s="289">
        <v>5983</v>
      </c>
      <c r="BG331" s="289">
        <v>-0.04926108374384237</v>
      </c>
      <c r="BH331" s="289">
        <v>0</v>
      </c>
      <c r="BI331" s="289">
        <v>0</v>
      </c>
      <c r="BJ331" s="289">
        <v>0</v>
      </c>
      <c r="BK331" s="289">
        <v>1416416.4195901887</v>
      </c>
      <c r="BL331" s="289">
        <v>8082.05</v>
      </c>
      <c r="BM331" s="301">
        <v>1843</v>
      </c>
    </row>
    <row r="332" spans="6:65" s="289" customFormat="1" ht="12.75">
      <c r="F332" s="289">
        <v>831</v>
      </c>
      <c r="G332" s="289" t="s">
        <v>373</v>
      </c>
      <c r="H332" s="289">
        <v>353</v>
      </c>
      <c r="I332" s="289">
        <v>57</v>
      </c>
      <c r="J332" s="289">
        <v>383</v>
      </c>
      <c r="K332" s="289">
        <v>197</v>
      </c>
      <c r="L332" s="289">
        <v>3543</v>
      </c>
      <c r="M332" s="289">
        <v>550</v>
      </c>
      <c r="N332" s="289">
        <v>301</v>
      </c>
      <c r="O332" s="289">
        <v>93</v>
      </c>
      <c r="P332" s="289">
        <v>4840</v>
      </c>
      <c r="Q332" s="289">
        <v>0</v>
      </c>
      <c r="R332" s="289">
        <v>14</v>
      </c>
      <c r="S332" s="289">
        <v>345.13000000000005</v>
      </c>
      <c r="T332" s="289">
        <v>14.023701214035288</v>
      </c>
      <c r="U332" s="289">
        <v>1</v>
      </c>
      <c r="V332" s="289">
        <v>0</v>
      </c>
      <c r="W332" s="289">
        <v>2129</v>
      </c>
      <c r="X332" s="289">
        <v>98</v>
      </c>
      <c r="Y332" s="289">
        <v>37</v>
      </c>
      <c r="Z332" s="289">
        <v>0.9841843428961502</v>
      </c>
      <c r="AA332" s="289">
        <v>3</v>
      </c>
      <c r="AB332" s="289">
        <v>2</v>
      </c>
      <c r="AC332" s="289">
        <v>0.24859578736208626</v>
      </c>
      <c r="AD332" s="289">
        <v>177</v>
      </c>
      <c r="AE332" s="289">
        <v>34</v>
      </c>
      <c r="AF332" s="289">
        <v>13</v>
      </c>
      <c r="AG332" s="289">
        <v>1</v>
      </c>
      <c r="AH332" s="289">
        <v>225</v>
      </c>
      <c r="AI332" s="289">
        <v>0.9114713862313946</v>
      </c>
      <c r="AJ332" s="289">
        <v>2338</v>
      </c>
      <c r="AK332" s="289">
        <v>198</v>
      </c>
      <c r="AL332" s="289">
        <v>0.8647890346102803</v>
      </c>
      <c r="AM332" s="289">
        <v>0.6519467431853498</v>
      </c>
      <c r="AN332" s="289">
        <v>0</v>
      </c>
      <c r="AO332" s="289">
        <v>0</v>
      </c>
      <c r="AP332" s="289">
        <f t="shared" si="4"/>
        <v>0</v>
      </c>
      <c r="AQ332" s="289">
        <v>49043.06950616464</v>
      </c>
      <c r="AR332" s="289">
        <v>-49575.10761645582</v>
      </c>
      <c r="AS332" s="289">
        <v>1</v>
      </c>
      <c r="AT332" s="289">
        <v>4840</v>
      </c>
      <c r="AU332" s="289">
        <v>1</v>
      </c>
      <c r="AV332" s="289">
        <v>2108</v>
      </c>
      <c r="AW332" s="289">
        <v>0.43553719008264463</v>
      </c>
      <c r="AX332" s="289">
        <v>0</v>
      </c>
      <c r="AY332" s="289">
        <v>345.1</v>
      </c>
      <c r="AZ332" s="289">
        <v>14.024920312952766</v>
      </c>
      <c r="BA332" s="289">
        <v>2776</v>
      </c>
      <c r="BB332" s="289">
        <v>0.5735537190082645</v>
      </c>
      <c r="BC332" s="289">
        <v>0</v>
      </c>
      <c r="BD332" s="289">
        <v>0</v>
      </c>
      <c r="BE332" s="289">
        <v>4888</v>
      </c>
      <c r="BF332" s="289">
        <v>4840</v>
      </c>
      <c r="BG332" s="289">
        <v>-0.009819967266775777</v>
      </c>
      <c r="BH332" s="289">
        <v>0</v>
      </c>
      <c r="BI332" s="289">
        <v>0</v>
      </c>
      <c r="BJ332" s="289">
        <v>0</v>
      </c>
      <c r="BK332" s="289">
        <v>625120.695701344</v>
      </c>
      <c r="BL332" s="289">
        <v>6689.7</v>
      </c>
      <c r="BM332" s="301">
        <v>1446</v>
      </c>
    </row>
    <row r="333" spans="6:65" s="289" customFormat="1" ht="12.75">
      <c r="F333" s="289">
        <v>832</v>
      </c>
      <c r="G333" s="289" t="s">
        <v>374</v>
      </c>
      <c r="H333" s="289">
        <v>307</v>
      </c>
      <c r="I333" s="289">
        <v>46</v>
      </c>
      <c r="J333" s="289">
        <v>290</v>
      </c>
      <c r="K333" s="289">
        <v>169</v>
      </c>
      <c r="L333" s="289">
        <v>3053</v>
      </c>
      <c r="M333" s="289">
        <v>524</v>
      </c>
      <c r="N333" s="289">
        <v>344</v>
      </c>
      <c r="O333" s="289">
        <v>85</v>
      </c>
      <c r="P333" s="289">
        <v>4313</v>
      </c>
      <c r="Q333" s="289">
        <v>0</v>
      </c>
      <c r="R333" s="289">
        <v>4</v>
      </c>
      <c r="S333" s="289">
        <v>2438.03</v>
      </c>
      <c r="T333" s="289">
        <v>1.7690512421914413</v>
      </c>
      <c r="U333" s="289">
        <v>0</v>
      </c>
      <c r="V333" s="289">
        <v>0</v>
      </c>
      <c r="W333" s="289">
        <v>1471</v>
      </c>
      <c r="X333" s="289">
        <v>207</v>
      </c>
      <c r="Y333" s="289">
        <v>23</v>
      </c>
      <c r="Z333" s="289">
        <v>0.8865149583141494</v>
      </c>
      <c r="AA333" s="289">
        <v>5</v>
      </c>
      <c r="AB333" s="289">
        <v>5</v>
      </c>
      <c r="AC333" s="289">
        <v>0.6974284783401911</v>
      </c>
      <c r="AD333" s="289">
        <v>312</v>
      </c>
      <c r="AE333" s="289">
        <v>27</v>
      </c>
      <c r="AF333" s="289">
        <v>5</v>
      </c>
      <c r="AG333" s="289">
        <v>2</v>
      </c>
      <c r="AH333" s="289">
        <v>346</v>
      </c>
      <c r="AI333" s="289">
        <v>1.572905110893209</v>
      </c>
      <c r="AJ333" s="289">
        <v>1819</v>
      </c>
      <c r="AK333" s="289">
        <v>277</v>
      </c>
      <c r="AL333" s="289">
        <v>1.5550220826420262</v>
      </c>
      <c r="AM333" s="289">
        <v>1.7992504597461938</v>
      </c>
      <c r="AN333" s="289">
        <v>0.17</v>
      </c>
      <c r="AO333" s="289">
        <v>0</v>
      </c>
      <c r="AP333" s="289">
        <f t="shared" si="4"/>
        <v>0.17</v>
      </c>
      <c r="AQ333" s="289">
        <v>-89296.5146976132</v>
      </c>
      <c r="AR333" s="289">
        <v>3938219.0851898734</v>
      </c>
      <c r="AS333" s="289">
        <v>1</v>
      </c>
      <c r="AT333" s="289">
        <v>4313</v>
      </c>
      <c r="AU333" s="289">
        <v>0</v>
      </c>
      <c r="AV333" s="289">
        <v>0</v>
      </c>
      <c r="AW333" s="289">
        <v>0</v>
      </c>
      <c r="AX333" s="289">
        <v>1.58755</v>
      </c>
      <c r="AY333" s="289">
        <v>2438.03</v>
      </c>
      <c r="AZ333" s="289">
        <v>1.7690512421914413</v>
      </c>
      <c r="BA333" s="289">
        <v>2001</v>
      </c>
      <c r="BB333" s="289">
        <v>0.46394620913517276</v>
      </c>
      <c r="BC333" s="289">
        <v>0</v>
      </c>
      <c r="BD333" s="289">
        <v>0</v>
      </c>
      <c r="BE333" s="289">
        <v>4491</v>
      </c>
      <c r="BF333" s="289">
        <v>4313</v>
      </c>
      <c r="BG333" s="289">
        <v>-0.03963482520596749</v>
      </c>
      <c r="BH333" s="289">
        <v>0</v>
      </c>
      <c r="BI333" s="289">
        <v>0</v>
      </c>
      <c r="BJ333" s="289">
        <v>0</v>
      </c>
      <c r="BK333" s="289">
        <v>917940.1316636363</v>
      </c>
      <c r="BL333" s="289">
        <v>8444.19</v>
      </c>
      <c r="BM333" s="301">
        <v>1492</v>
      </c>
    </row>
    <row r="334" spans="6:65" s="289" customFormat="1" ht="12.75">
      <c r="F334" s="289">
        <v>833</v>
      </c>
      <c r="G334" s="289" t="s">
        <v>375</v>
      </c>
      <c r="H334" s="289">
        <v>110</v>
      </c>
      <c r="I334" s="289">
        <v>18</v>
      </c>
      <c r="J334" s="289">
        <v>78</v>
      </c>
      <c r="K334" s="289">
        <v>38</v>
      </c>
      <c r="L334" s="289">
        <v>1087</v>
      </c>
      <c r="M334" s="289">
        <v>242</v>
      </c>
      <c r="N334" s="289">
        <v>159</v>
      </c>
      <c r="O334" s="289">
        <v>84</v>
      </c>
      <c r="P334" s="289">
        <v>1682</v>
      </c>
      <c r="Q334" s="289">
        <v>1</v>
      </c>
      <c r="R334" s="289">
        <v>7</v>
      </c>
      <c r="S334" s="289">
        <v>140.32</v>
      </c>
      <c r="T334" s="289">
        <v>11.986887115165336</v>
      </c>
      <c r="U334" s="289">
        <v>1</v>
      </c>
      <c r="V334" s="289">
        <v>0</v>
      </c>
      <c r="W334" s="289">
        <v>712</v>
      </c>
      <c r="X334" s="289">
        <v>92</v>
      </c>
      <c r="Y334" s="289">
        <v>16</v>
      </c>
      <c r="Z334" s="289">
        <v>0.8914231412493421</v>
      </c>
      <c r="AA334" s="289">
        <v>2</v>
      </c>
      <c r="AB334" s="289">
        <v>2</v>
      </c>
      <c r="AC334" s="289">
        <v>0.7153410290324004</v>
      </c>
      <c r="AD334" s="289">
        <v>91</v>
      </c>
      <c r="AE334" s="289">
        <v>15</v>
      </c>
      <c r="AF334" s="289">
        <v>2</v>
      </c>
      <c r="AG334" s="289">
        <v>0</v>
      </c>
      <c r="AH334" s="289">
        <v>108</v>
      </c>
      <c r="AI334" s="289">
        <v>1.2589359836461211</v>
      </c>
      <c r="AJ334" s="289">
        <v>770</v>
      </c>
      <c r="AK334" s="289">
        <v>59</v>
      </c>
      <c r="AL334" s="289">
        <v>0.7824395186423408</v>
      </c>
      <c r="AM334" s="289">
        <v>1.1651928053287952</v>
      </c>
      <c r="AN334" s="289">
        <v>0</v>
      </c>
      <c r="AO334" s="289">
        <v>0</v>
      </c>
      <c r="AP334" s="289">
        <f t="shared" si="4"/>
        <v>0</v>
      </c>
      <c r="AQ334" s="289">
        <v>52289.58244882431</v>
      </c>
      <c r="AR334" s="289">
        <v>726702.0579999996</v>
      </c>
      <c r="AS334" s="289">
        <v>0</v>
      </c>
      <c r="AT334" s="289">
        <v>1682</v>
      </c>
      <c r="AU334" s="289">
        <v>1</v>
      </c>
      <c r="AV334" s="289">
        <v>153</v>
      </c>
      <c r="AW334" s="289">
        <v>0.09096313912009513</v>
      </c>
      <c r="AX334" s="289">
        <v>0</v>
      </c>
      <c r="AY334" s="289">
        <v>140.31</v>
      </c>
      <c r="AZ334" s="289">
        <v>11.987741429691397</v>
      </c>
      <c r="BA334" s="289">
        <v>658</v>
      </c>
      <c r="BB334" s="289">
        <v>0.3912009512485137</v>
      </c>
      <c r="BC334" s="289">
        <v>0</v>
      </c>
      <c r="BD334" s="289">
        <v>0</v>
      </c>
      <c r="BE334" s="289">
        <v>1692</v>
      </c>
      <c r="BF334" s="289">
        <v>1682</v>
      </c>
      <c r="BG334" s="289">
        <v>-0.00591016548463357</v>
      </c>
      <c r="BH334" s="289">
        <v>0</v>
      </c>
      <c r="BI334" s="289">
        <v>0</v>
      </c>
      <c r="BJ334" s="289">
        <v>0</v>
      </c>
      <c r="BK334" s="289">
        <v>331259.08244583785</v>
      </c>
      <c r="BL334" s="289">
        <v>6845.91</v>
      </c>
      <c r="BM334" s="301">
        <v>391</v>
      </c>
    </row>
    <row r="335" spans="6:65" s="289" customFormat="1" ht="12.75">
      <c r="F335" s="289">
        <v>834</v>
      </c>
      <c r="G335" s="289" t="s">
        <v>376</v>
      </c>
      <c r="H335" s="289">
        <v>501</v>
      </c>
      <c r="I335" s="289">
        <v>96</v>
      </c>
      <c r="J335" s="289">
        <v>467</v>
      </c>
      <c r="K335" s="289">
        <v>248</v>
      </c>
      <c r="L335" s="289">
        <v>4642</v>
      </c>
      <c r="M335" s="289">
        <v>708</v>
      </c>
      <c r="N335" s="289">
        <v>467</v>
      </c>
      <c r="O335" s="289">
        <v>224</v>
      </c>
      <c r="P335" s="289">
        <v>6542</v>
      </c>
      <c r="Q335" s="289">
        <v>2</v>
      </c>
      <c r="R335" s="289">
        <v>3</v>
      </c>
      <c r="S335" s="289">
        <v>640.39</v>
      </c>
      <c r="T335" s="289">
        <v>10.215649838379738</v>
      </c>
      <c r="U335" s="289">
        <v>0</v>
      </c>
      <c r="V335" s="289">
        <v>0</v>
      </c>
      <c r="W335" s="289">
        <v>2780</v>
      </c>
      <c r="X335" s="289">
        <v>249</v>
      </c>
      <c r="Y335" s="289">
        <v>52</v>
      </c>
      <c r="Z335" s="289">
        <v>0.9370412076658421</v>
      </c>
      <c r="AA335" s="289">
        <v>10</v>
      </c>
      <c r="AB335" s="289">
        <v>10</v>
      </c>
      <c r="AC335" s="289">
        <v>0.9195992134152381</v>
      </c>
      <c r="AD335" s="289">
        <v>303</v>
      </c>
      <c r="AE335" s="289">
        <v>25</v>
      </c>
      <c r="AF335" s="289">
        <v>8</v>
      </c>
      <c r="AG335" s="289">
        <v>2</v>
      </c>
      <c r="AH335" s="289">
        <v>338</v>
      </c>
      <c r="AI335" s="289">
        <v>1.0130060600996387</v>
      </c>
      <c r="AJ335" s="289">
        <v>3076</v>
      </c>
      <c r="AK335" s="289">
        <v>253</v>
      </c>
      <c r="AL335" s="289">
        <v>0.8398924567824957</v>
      </c>
      <c r="AM335" s="289">
        <v>0.8565433880325533</v>
      </c>
      <c r="AN335" s="289">
        <v>0</v>
      </c>
      <c r="AO335" s="289">
        <v>0</v>
      </c>
      <c r="AP335" s="289">
        <f t="shared" si="4"/>
        <v>0</v>
      </c>
      <c r="AQ335" s="289">
        <v>-58251.34680543095</v>
      </c>
      <c r="AR335" s="289">
        <v>2292078.203918923</v>
      </c>
      <c r="AS335" s="289">
        <v>1</v>
      </c>
      <c r="AT335" s="289">
        <v>6542</v>
      </c>
      <c r="AU335" s="289">
        <v>0</v>
      </c>
      <c r="AV335" s="289">
        <v>0</v>
      </c>
      <c r="AW335" s="289">
        <v>0</v>
      </c>
      <c r="AX335" s="289">
        <v>0</v>
      </c>
      <c r="AY335" s="289">
        <v>640.4</v>
      </c>
      <c r="AZ335" s="289">
        <v>10.215490318550906</v>
      </c>
      <c r="BA335" s="289">
        <v>3097</v>
      </c>
      <c r="BB335" s="289">
        <v>0.47340262916539283</v>
      </c>
      <c r="BC335" s="289">
        <v>0</v>
      </c>
      <c r="BD335" s="289">
        <v>0</v>
      </c>
      <c r="BE335" s="289">
        <v>6628</v>
      </c>
      <c r="BF335" s="289">
        <v>6542</v>
      </c>
      <c r="BG335" s="289">
        <v>-0.012975256487628244</v>
      </c>
      <c r="BH335" s="289">
        <v>0</v>
      </c>
      <c r="BI335" s="289">
        <v>0</v>
      </c>
      <c r="BJ335" s="289">
        <v>0</v>
      </c>
      <c r="BK335" s="289">
        <v>1223839.5246255025</v>
      </c>
      <c r="BL335" s="289">
        <v>6883.31</v>
      </c>
      <c r="BM335" s="301">
        <v>2024</v>
      </c>
    </row>
    <row r="336" spans="6:65" s="289" customFormat="1" ht="12.75">
      <c r="F336" s="289">
        <v>837</v>
      </c>
      <c r="G336" s="289" t="s">
        <v>377</v>
      </c>
      <c r="H336" s="289">
        <v>15241</v>
      </c>
      <c r="I336" s="289">
        <v>1912</v>
      </c>
      <c r="J336" s="289">
        <v>10562</v>
      </c>
      <c r="K336" s="289">
        <v>5473</v>
      </c>
      <c r="L336" s="289">
        <v>164510</v>
      </c>
      <c r="M336" s="289">
        <v>20613</v>
      </c>
      <c r="N336" s="289">
        <v>12362</v>
      </c>
      <c r="O336" s="289">
        <v>4695</v>
      </c>
      <c r="P336" s="289">
        <v>217421</v>
      </c>
      <c r="Q336" s="289">
        <v>137</v>
      </c>
      <c r="R336" s="289">
        <v>1356</v>
      </c>
      <c r="S336" s="289">
        <v>525.01</v>
      </c>
      <c r="T336" s="289">
        <v>414.12734995523897</v>
      </c>
      <c r="U336" s="289">
        <v>0</v>
      </c>
      <c r="V336" s="289">
        <v>0</v>
      </c>
      <c r="W336" s="289">
        <v>96532</v>
      </c>
      <c r="X336" s="289">
        <v>366</v>
      </c>
      <c r="Y336" s="289">
        <v>1210</v>
      </c>
      <c r="Z336" s="289">
        <v>1.0336608477691172</v>
      </c>
      <c r="AA336" s="289">
        <v>387</v>
      </c>
      <c r="AB336" s="289">
        <v>387</v>
      </c>
      <c r="AC336" s="289">
        <v>1.0708252592715897</v>
      </c>
      <c r="AD336" s="289">
        <v>8681</v>
      </c>
      <c r="AE336" s="289">
        <v>1349</v>
      </c>
      <c r="AF336" s="289">
        <v>537</v>
      </c>
      <c r="AG336" s="289">
        <v>86</v>
      </c>
      <c r="AH336" s="289">
        <v>10653</v>
      </c>
      <c r="AI336" s="289">
        <v>0.9606746284696316</v>
      </c>
      <c r="AJ336" s="289">
        <v>109232</v>
      </c>
      <c r="AK336" s="289">
        <v>14192</v>
      </c>
      <c r="AL336" s="289">
        <v>1.3267320108282228</v>
      </c>
      <c r="AM336" s="289">
        <v>0.914234098458225</v>
      </c>
      <c r="AN336" s="289">
        <v>0</v>
      </c>
      <c r="AO336" s="289">
        <v>0</v>
      </c>
      <c r="AP336" s="289">
        <f t="shared" si="4"/>
        <v>0</v>
      </c>
      <c r="AQ336" s="289">
        <v>-219126.7658828497</v>
      </c>
      <c r="AR336" s="289">
        <v>-28679753.452802606</v>
      </c>
      <c r="AS336" s="289">
        <v>1</v>
      </c>
      <c r="AT336" s="289">
        <v>217421</v>
      </c>
      <c r="AU336" s="289">
        <v>0</v>
      </c>
      <c r="AV336" s="289">
        <v>0</v>
      </c>
      <c r="AW336" s="289">
        <v>0</v>
      </c>
      <c r="AX336" s="289">
        <v>0</v>
      </c>
      <c r="AY336" s="289">
        <v>525.01</v>
      </c>
      <c r="AZ336" s="289">
        <v>414.12734995523897</v>
      </c>
      <c r="BA336" s="289">
        <v>210953</v>
      </c>
      <c r="BB336" s="289">
        <v>0.9702512636773817</v>
      </c>
      <c r="BC336" s="289">
        <v>0</v>
      </c>
      <c r="BD336" s="289">
        <v>0</v>
      </c>
      <c r="BE336" s="289">
        <v>211507</v>
      </c>
      <c r="BF336" s="289">
        <v>217421</v>
      </c>
      <c r="BG336" s="289">
        <v>0.0279612495094725</v>
      </c>
      <c r="BH336" s="289">
        <v>0</v>
      </c>
      <c r="BI336" s="289">
        <v>15</v>
      </c>
      <c r="BJ336" s="289">
        <v>6.89905758873338E-05</v>
      </c>
      <c r="BK336" s="289">
        <v>37086101.54839913</v>
      </c>
      <c r="BL336" s="289">
        <v>6046.86</v>
      </c>
      <c r="BM336" s="301">
        <v>79490</v>
      </c>
    </row>
    <row r="337" spans="6:65" s="289" customFormat="1" ht="12.75">
      <c r="F337" s="289">
        <v>838</v>
      </c>
      <c r="G337" s="289" t="s">
        <v>378</v>
      </c>
      <c r="H337" s="289">
        <v>163</v>
      </c>
      <c r="I337" s="289">
        <v>24</v>
      </c>
      <c r="J337" s="289">
        <v>178</v>
      </c>
      <c r="K337" s="289">
        <v>85</v>
      </c>
      <c r="L337" s="289">
        <v>1426</v>
      </c>
      <c r="M337" s="289">
        <v>190</v>
      </c>
      <c r="N337" s="289">
        <v>108</v>
      </c>
      <c r="O337" s="289">
        <v>72</v>
      </c>
      <c r="P337" s="289">
        <v>1959</v>
      </c>
      <c r="Q337" s="289">
        <v>0</v>
      </c>
      <c r="R337" s="289">
        <v>2</v>
      </c>
      <c r="S337" s="289">
        <v>101.96000000000001</v>
      </c>
      <c r="T337" s="289">
        <v>19.213417026284816</v>
      </c>
      <c r="U337" s="289">
        <v>0</v>
      </c>
      <c r="V337" s="289">
        <v>0</v>
      </c>
      <c r="W337" s="289">
        <v>876</v>
      </c>
      <c r="X337" s="289">
        <v>73</v>
      </c>
      <c r="Y337" s="289">
        <v>10</v>
      </c>
      <c r="Z337" s="289">
        <v>0.9512530019044243</v>
      </c>
      <c r="AA337" s="289">
        <v>1</v>
      </c>
      <c r="AB337" s="289">
        <v>2</v>
      </c>
      <c r="AC337" s="289">
        <v>0.6141927569333832</v>
      </c>
      <c r="AD337" s="289">
        <v>79</v>
      </c>
      <c r="AE337" s="289">
        <v>19</v>
      </c>
      <c r="AF337" s="289">
        <v>5</v>
      </c>
      <c r="AG337" s="289">
        <v>0</v>
      </c>
      <c r="AH337" s="289">
        <v>103</v>
      </c>
      <c r="AI337" s="289">
        <v>1.0308813237231575</v>
      </c>
      <c r="AJ337" s="289">
        <v>917</v>
      </c>
      <c r="AK337" s="289">
        <v>59</v>
      </c>
      <c r="AL337" s="289">
        <v>0.6570102828294466</v>
      </c>
      <c r="AM337" s="289">
        <v>0.7865185430202026</v>
      </c>
      <c r="AN337" s="289">
        <v>0</v>
      </c>
      <c r="AO337" s="289">
        <v>0</v>
      </c>
      <c r="AP337" s="289">
        <f t="shared" si="4"/>
        <v>0</v>
      </c>
      <c r="AQ337" s="289">
        <v>-5061.59517441038</v>
      </c>
      <c r="AR337" s="289">
        <v>693247.4999999995</v>
      </c>
      <c r="AS337" s="289">
        <v>0</v>
      </c>
      <c r="AT337" s="289">
        <v>1959</v>
      </c>
      <c r="AU337" s="289">
        <v>0</v>
      </c>
      <c r="AV337" s="289">
        <v>0</v>
      </c>
      <c r="AW337" s="289">
        <v>0</v>
      </c>
      <c r="AX337" s="289">
        <v>0</v>
      </c>
      <c r="AY337" s="289">
        <v>101.96</v>
      </c>
      <c r="AZ337" s="289">
        <v>19.21341702628482</v>
      </c>
      <c r="BA337" s="289">
        <v>880</v>
      </c>
      <c r="BB337" s="289">
        <v>0.4492087799897907</v>
      </c>
      <c r="BC337" s="289">
        <v>0</v>
      </c>
      <c r="BD337" s="289">
        <v>0</v>
      </c>
      <c r="BE337" s="289">
        <v>1970</v>
      </c>
      <c r="BF337" s="289">
        <v>1959</v>
      </c>
      <c r="BG337" s="289">
        <v>-0.005583756345177665</v>
      </c>
      <c r="BH337" s="289">
        <v>0</v>
      </c>
      <c r="BI337" s="289">
        <v>0</v>
      </c>
      <c r="BJ337" s="289">
        <v>0</v>
      </c>
      <c r="BK337" s="289">
        <v>356368.8746675485</v>
      </c>
      <c r="BL337" s="289">
        <v>6452.5</v>
      </c>
      <c r="BM337" s="301">
        <v>654</v>
      </c>
    </row>
    <row r="338" spans="6:65" s="289" customFormat="1" ht="12.75">
      <c r="F338" s="289">
        <v>844</v>
      </c>
      <c r="G338" s="289" t="s">
        <v>379</v>
      </c>
      <c r="H338" s="289">
        <v>58</v>
      </c>
      <c r="I338" s="289">
        <v>13</v>
      </c>
      <c r="J338" s="289">
        <v>83</v>
      </c>
      <c r="K338" s="289">
        <v>56</v>
      </c>
      <c r="L338" s="289">
        <v>1149</v>
      </c>
      <c r="M338" s="289">
        <v>228</v>
      </c>
      <c r="N338" s="289">
        <v>197</v>
      </c>
      <c r="O338" s="289">
        <v>72</v>
      </c>
      <c r="P338" s="289">
        <v>1704</v>
      </c>
      <c r="Q338" s="289">
        <v>0</v>
      </c>
      <c r="R338" s="289">
        <v>1</v>
      </c>
      <c r="S338" s="289">
        <v>347.73</v>
      </c>
      <c r="T338" s="289">
        <v>4.9003537227159</v>
      </c>
      <c r="U338" s="289">
        <v>1</v>
      </c>
      <c r="V338" s="289">
        <v>0</v>
      </c>
      <c r="W338" s="289">
        <v>614</v>
      </c>
      <c r="X338" s="289">
        <v>118</v>
      </c>
      <c r="Y338" s="289">
        <v>10</v>
      </c>
      <c r="Z338" s="289">
        <v>0.8317539217723114</v>
      </c>
      <c r="AA338" s="289">
        <v>6</v>
      </c>
      <c r="AB338" s="289">
        <v>6</v>
      </c>
      <c r="AC338" s="289">
        <v>2.118316216254397</v>
      </c>
      <c r="AD338" s="289">
        <v>144</v>
      </c>
      <c r="AE338" s="289">
        <v>10</v>
      </c>
      <c r="AF338" s="289">
        <v>1</v>
      </c>
      <c r="AG338" s="289">
        <v>6</v>
      </c>
      <c r="AH338" s="289">
        <v>161</v>
      </c>
      <c r="AI338" s="289">
        <v>1.8525168570864683</v>
      </c>
      <c r="AJ338" s="289">
        <v>686</v>
      </c>
      <c r="AK338" s="289">
        <v>64</v>
      </c>
      <c r="AL338" s="289">
        <v>0.9526762731307644</v>
      </c>
      <c r="AM338" s="289">
        <v>1.619778980775117</v>
      </c>
      <c r="AN338" s="289">
        <v>0.05</v>
      </c>
      <c r="AO338" s="289">
        <v>0</v>
      </c>
      <c r="AP338" s="289">
        <f t="shared" si="4"/>
        <v>0.05</v>
      </c>
      <c r="AQ338" s="289">
        <v>18330.843079575337</v>
      </c>
      <c r="AR338" s="289">
        <v>1740139.3635443044</v>
      </c>
      <c r="AS338" s="289">
        <v>0</v>
      </c>
      <c r="AT338" s="289">
        <v>1704</v>
      </c>
      <c r="AU338" s="289">
        <v>1</v>
      </c>
      <c r="AV338" s="289">
        <v>189</v>
      </c>
      <c r="AW338" s="289">
        <v>0.11091549295774648</v>
      </c>
      <c r="AX338" s="289">
        <v>0.501</v>
      </c>
      <c r="AY338" s="289">
        <v>347.73</v>
      </c>
      <c r="AZ338" s="289">
        <v>4.9003537227159</v>
      </c>
      <c r="BA338" s="289">
        <v>569</v>
      </c>
      <c r="BB338" s="289">
        <v>0.33392018779342725</v>
      </c>
      <c r="BC338" s="289">
        <v>0</v>
      </c>
      <c r="BD338" s="289">
        <v>0</v>
      </c>
      <c r="BE338" s="289">
        <v>1744</v>
      </c>
      <c r="BF338" s="289">
        <v>1704</v>
      </c>
      <c r="BG338" s="289">
        <v>-0.022935779816513763</v>
      </c>
      <c r="BH338" s="289">
        <v>0</v>
      </c>
      <c r="BI338" s="289">
        <v>0</v>
      </c>
      <c r="BJ338" s="289">
        <v>0</v>
      </c>
      <c r="BK338" s="289">
        <v>456630.11567798496</v>
      </c>
      <c r="BL338" s="289">
        <v>7375.8</v>
      </c>
      <c r="BM338" s="301">
        <v>371</v>
      </c>
    </row>
    <row r="339" spans="6:65" s="289" customFormat="1" ht="12.75">
      <c r="F339" s="289">
        <v>845</v>
      </c>
      <c r="G339" s="289" t="s">
        <v>380</v>
      </c>
      <c r="H339" s="289">
        <v>203</v>
      </c>
      <c r="I339" s="289">
        <v>33</v>
      </c>
      <c r="J339" s="289">
        <v>207</v>
      </c>
      <c r="K339" s="289">
        <v>145</v>
      </c>
      <c r="L339" s="289">
        <v>2207</v>
      </c>
      <c r="M339" s="289">
        <v>450</v>
      </c>
      <c r="N339" s="289">
        <v>348</v>
      </c>
      <c r="O339" s="289">
        <v>131</v>
      </c>
      <c r="P339" s="289">
        <v>3339</v>
      </c>
      <c r="Q339" s="289">
        <v>1</v>
      </c>
      <c r="R339" s="289">
        <v>1</v>
      </c>
      <c r="S339" s="289">
        <v>1559.72</v>
      </c>
      <c r="T339" s="289">
        <v>2.1407688559485036</v>
      </c>
      <c r="U339" s="289">
        <v>0</v>
      </c>
      <c r="V339" s="289">
        <v>0</v>
      </c>
      <c r="W339" s="289">
        <v>1153</v>
      </c>
      <c r="X339" s="289">
        <v>165</v>
      </c>
      <c r="Y339" s="289">
        <v>9</v>
      </c>
      <c r="Z339" s="289">
        <v>0.8922372356616074</v>
      </c>
      <c r="AA339" s="289">
        <v>0</v>
      </c>
      <c r="AB339" s="289">
        <v>2</v>
      </c>
      <c r="AC339" s="289">
        <v>0.3603484908153632</v>
      </c>
      <c r="AD339" s="289">
        <v>243</v>
      </c>
      <c r="AE339" s="289">
        <v>25</v>
      </c>
      <c r="AF339" s="289">
        <v>3</v>
      </c>
      <c r="AG339" s="289">
        <v>0</v>
      </c>
      <c r="AH339" s="289">
        <v>271</v>
      </c>
      <c r="AI339" s="289">
        <v>1.5913245203641095</v>
      </c>
      <c r="AJ339" s="289">
        <v>1322</v>
      </c>
      <c r="AK339" s="289">
        <v>168</v>
      </c>
      <c r="AL339" s="289">
        <v>1.2976791216643146</v>
      </c>
      <c r="AM339" s="289">
        <v>1.1693959194832086</v>
      </c>
      <c r="AN339" s="289">
        <v>0.05</v>
      </c>
      <c r="AO339" s="289">
        <v>0</v>
      </c>
      <c r="AP339" s="289">
        <f t="shared" si="4"/>
        <v>0.05</v>
      </c>
      <c r="AQ339" s="289">
        <v>88313.80101642758</v>
      </c>
      <c r="AR339" s="289">
        <v>2068052.1675641024</v>
      </c>
      <c r="AS339" s="289">
        <v>1</v>
      </c>
      <c r="AT339" s="289">
        <v>3339</v>
      </c>
      <c r="AU339" s="289">
        <v>0</v>
      </c>
      <c r="AV339" s="289">
        <v>0</v>
      </c>
      <c r="AW339" s="289">
        <v>0</v>
      </c>
      <c r="AX339" s="289">
        <v>0.6808666666666666</v>
      </c>
      <c r="AY339" s="289">
        <v>1561.73</v>
      </c>
      <c r="AZ339" s="289">
        <v>2.13801361310854</v>
      </c>
      <c r="BA339" s="289">
        <v>1321</v>
      </c>
      <c r="BB339" s="289">
        <v>0.39562743336328243</v>
      </c>
      <c r="BC339" s="289">
        <v>0</v>
      </c>
      <c r="BD339" s="289">
        <v>0</v>
      </c>
      <c r="BE339" s="289">
        <v>3462</v>
      </c>
      <c r="BF339" s="289">
        <v>3339</v>
      </c>
      <c r="BG339" s="289">
        <v>-0.03552859618717504</v>
      </c>
      <c r="BH339" s="289">
        <v>0</v>
      </c>
      <c r="BI339" s="289">
        <v>0</v>
      </c>
      <c r="BJ339" s="289">
        <v>0</v>
      </c>
      <c r="BK339" s="289">
        <v>799247.5985033647</v>
      </c>
      <c r="BL339" s="289">
        <v>8263.68</v>
      </c>
      <c r="BM339" s="301">
        <v>1012</v>
      </c>
    </row>
    <row r="340" spans="6:65" s="289" customFormat="1" ht="12.75">
      <c r="F340" s="289">
        <v>846</v>
      </c>
      <c r="G340" s="289" t="s">
        <v>381</v>
      </c>
      <c r="H340" s="289">
        <v>369</v>
      </c>
      <c r="I340" s="289">
        <v>49</v>
      </c>
      <c r="J340" s="289">
        <v>371</v>
      </c>
      <c r="K340" s="289">
        <v>195</v>
      </c>
      <c r="L340" s="289">
        <v>3815</v>
      </c>
      <c r="M340" s="289">
        <v>753</v>
      </c>
      <c r="N340" s="289">
        <v>574</v>
      </c>
      <c r="O340" s="289">
        <v>256</v>
      </c>
      <c r="P340" s="289">
        <v>5767</v>
      </c>
      <c r="Q340" s="289">
        <v>8</v>
      </c>
      <c r="R340" s="289">
        <v>5</v>
      </c>
      <c r="S340" s="289">
        <v>554.6999999999999</v>
      </c>
      <c r="T340" s="289">
        <v>10.396610780602128</v>
      </c>
      <c r="U340" s="289">
        <v>0</v>
      </c>
      <c r="V340" s="289">
        <v>0</v>
      </c>
      <c r="W340" s="289">
        <v>2226</v>
      </c>
      <c r="X340" s="289">
        <v>324</v>
      </c>
      <c r="Y340" s="289">
        <v>39</v>
      </c>
      <c r="Z340" s="289">
        <v>0.8794570891935147</v>
      </c>
      <c r="AA340" s="289">
        <v>2</v>
      </c>
      <c r="AB340" s="289">
        <v>2</v>
      </c>
      <c r="AC340" s="289">
        <v>0.20863596511747834</v>
      </c>
      <c r="AD340" s="289">
        <v>456</v>
      </c>
      <c r="AE340" s="289">
        <v>34</v>
      </c>
      <c r="AF340" s="289">
        <v>11</v>
      </c>
      <c r="AG340" s="289">
        <v>0</v>
      </c>
      <c r="AH340" s="289">
        <v>501</v>
      </c>
      <c r="AI340" s="289">
        <v>1.7033098481315798</v>
      </c>
      <c r="AJ340" s="289">
        <v>2531</v>
      </c>
      <c r="AK340" s="289">
        <v>217</v>
      </c>
      <c r="AL340" s="289">
        <v>0.8755018728441812</v>
      </c>
      <c r="AM340" s="289">
        <v>1.1546970889011026</v>
      </c>
      <c r="AN340" s="289">
        <v>0</v>
      </c>
      <c r="AO340" s="289">
        <v>0</v>
      </c>
      <c r="AP340" s="289">
        <f t="shared" si="4"/>
        <v>0</v>
      </c>
      <c r="AQ340" s="289">
        <v>62084.1270564124</v>
      </c>
      <c r="AR340" s="289">
        <v>4244928.976951219</v>
      </c>
      <c r="AS340" s="289">
        <v>1</v>
      </c>
      <c r="AT340" s="289">
        <v>5767</v>
      </c>
      <c r="AU340" s="289">
        <v>0</v>
      </c>
      <c r="AV340" s="289">
        <v>0</v>
      </c>
      <c r="AW340" s="289">
        <v>0</v>
      </c>
      <c r="AX340" s="289">
        <v>0</v>
      </c>
      <c r="AY340" s="289">
        <v>554.66</v>
      </c>
      <c r="AZ340" s="289">
        <v>10.397360545198861</v>
      </c>
      <c r="BA340" s="289">
        <v>3690</v>
      </c>
      <c r="BB340" s="289">
        <v>0.6398474076642968</v>
      </c>
      <c r="BC340" s="289">
        <v>0</v>
      </c>
      <c r="BD340" s="289">
        <v>0</v>
      </c>
      <c r="BE340" s="289">
        <v>5962</v>
      </c>
      <c r="BF340" s="289">
        <v>5767</v>
      </c>
      <c r="BG340" s="289">
        <v>-0.03270714525327072</v>
      </c>
      <c r="BH340" s="289">
        <v>0</v>
      </c>
      <c r="BI340" s="289">
        <v>0</v>
      </c>
      <c r="BJ340" s="289">
        <v>0</v>
      </c>
      <c r="BK340" s="289">
        <v>1184605.6291752227</v>
      </c>
      <c r="BL340" s="289">
        <v>6886.99</v>
      </c>
      <c r="BM340" s="301">
        <v>1673</v>
      </c>
    </row>
    <row r="341" spans="6:65" s="289" customFormat="1" ht="12.75">
      <c r="F341" s="289">
        <v>848</v>
      </c>
      <c r="G341" s="289" t="s">
        <v>382</v>
      </c>
      <c r="H341" s="289">
        <v>264</v>
      </c>
      <c r="I341" s="289">
        <v>41</v>
      </c>
      <c r="J341" s="289">
        <v>285</v>
      </c>
      <c r="K341" s="289">
        <v>177</v>
      </c>
      <c r="L341" s="289">
        <v>3379</v>
      </c>
      <c r="M341" s="289">
        <v>691</v>
      </c>
      <c r="N341" s="289">
        <v>410</v>
      </c>
      <c r="O341" s="289">
        <v>153</v>
      </c>
      <c r="P341" s="289">
        <v>4897</v>
      </c>
      <c r="Q341" s="289">
        <v>2</v>
      </c>
      <c r="R341" s="289">
        <v>23</v>
      </c>
      <c r="S341" s="289">
        <v>837.73</v>
      </c>
      <c r="T341" s="289">
        <v>5.845558831604455</v>
      </c>
      <c r="U341" s="289">
        <v>0</v>
      </c>
      <c r="V341" s="289">
        <v>0</v>
      </c>
      <c r="W341" s="289">
        <v>1751</v>
      </c>
      <c r="X341" s="289">
        <v>304</v>
      </c>
      <c r="Y341" s="289">
        <v>28</v>
      </c>
      <c r="Z341" s="289">
        <v>0.8515755986665758</v>
      </c>
      <c r="AA341" s="289">
        <v>9</v>
      </c>
      <c r="AB341" s="289">
        <v>9</v>
      </c>
      <c r="AC341" s="289">
        <v>1.1056598425048476</v>
      </c>
      <c r="AD341" s="289">
        <v>337</v>
      </c>
      <c r="AE341" s="289">
        <v>21</v>
      </c>
      <c r="AF341" s="289">
        <v>9</v>
      </c>
      <c r="AG341" s="289">
        <v>0</v>
      </c>
      <c r="AH341" s="289">
        <v>367</v>
      </c>
      <c r="AI341" s="289">
        <v>1.4694061161573766</v>
      </c>
      <c r="AJ341" s="289">
        <v>2128</v>
      </c>
      <c r="AK341" s="289">
        <v>370</v>
      </c>
      <c r="AL341" s="289">
        <v>1.7754955624856865</v>
      </c>
      <c r="AM341" s="289">
        <v>1.198277463328343</v>
      </c>
      <c r="AN341" s="289">
        <v>0</v>
      </c>
      <c r="AO341" s="289">
        <v>0</v>
      </c>
      <c r="AP341" s="289">
        <f t="shared" si="4"/>
        <v>0</v>
      </c>
      <c r="AQ341" s="289">
        <v>146059.5290362984</v>
      </c>
      <c r="AR341" s="289">
        <v>4367758.293255813</v>
      </c>
      <c r="AS341" s="289">
        <v>1</v>
      </c>
      <c r="AT341" s="289">
        <v>4897</v>
      </c>
      <c r="AU341" s="289">
        <v>0</v>
      </c>
      <c r="AV341" s="289">
        <v>0</v>
      </c>
      <c r="AW341" s="289">
        <v>0</v>
      </c>
      <c r="AX341" s="289">
        <v>0.13425</v>
      </c>
      <c r="AY341" s="289">
        <v>837.73</v>
      </c>
      <c r="AZ341" s="289">
        <v>5.845558831604455</v>
      </c>
      <c r="BA341" s="289">
        <v>1589</v>
      </c>
      <c r="BB341" s="289">
        <v>0.324484378190729</v>
      </c>
      <c r="BC341" s="289">
        <v>0</v>
      </c>
      <c r="BD341" s="289">
        <v>0</v>
      </c>
      <c r="BE341" s="289">
        <v>5079</v>
      </c>
      <c r="BF341" s="289">
        <v>4897</v>
      </c>
      <c r="BG341" s="289">
        <v>-0.035833825556211854</v>
      </c>
      <c r="BH341" s="289">
        <v>0</v>
      </c>
      <c r="BI341" s="289">
        <v>1</v>
      </c>
      <c r="BJ341" s="289">
        <v>0.00020420665713702266</v>
      </c>
      <c r="BK341" s="289">
        <v>1438658.4202872445</v>
      </c>
      <c r="BL341" s="289">
        <v>7317.32</v>
      </c>
      <c r="BM341" s="301">
        <v>1288</v>
      </c>
    </row>
    <row r="342" spans="6:65" s="289" customFormat="1" ht="12.75">
      <c r="F342" s="289">
        <v>849</v>
      </c>
      <c r="G342" s="289" t="s">
        <v>383</v>
      </c>
      <c r="H342" s="289">
        <v>297</v>
      </c>
      <c r="I342" s="289">
        <v>33</v>
      </c>
      <c r="J342" s="289">
        <v>282</v>
      </c>
      <c r="K342" s="289">
        <v>127</v>
      </c>
      <c r="L342" s="289">
        <v>2376</v>
      </c>
      <c r="M342" s="289">
        <v>408</v>
      </c>
      <c r="N342" s="289">
        <v>247</v>
      </c>
      <c r="O342" s="289">
        <v>98</v>
      </c>
      <c r="P342" s="289">
        <v>3426</v>
      </c>
      <c r="Q342" s="289">
        <v>0</v>
      </c>
      <c r="R342" s="289">
        <v>2</v>
      </c>
      <c r="S342" s="289">
        <v>608.43</v>
      </c>
      <c r="T342" s="289">
        <v>5.63088605098368</v>
      </c>
      <c r="U342" s="289">
        <v>0</v>
      </c>
      <c r="V342" s="289">
        <v>0</v>
      </c>
      <c r="W342" s="289">
        <v>1375</v>
      </c>
      <c r="X342" s="289">
        <v>335</v>
      </c>
      <c r="Y342" s="289">
        <v>16</v>
      </c>
      <c r="Z342" s="289">
        <v>0.7825718425131851</v>
      </c>
      <c r="AA342" s="289">
        <v>1</v>
      </c>
      <c r="AB342" s="289">
        <v>2</v>
      </c>
      <c r="AC342" s="289">
        <v>0.3511977848314354</v>
      </c>
      <c r="AD342" s="289">
        <v>197</v>
      </c>
      <c r="AE342" s="289">
        <v>20</v>
      </c>
      <c r="AF342" s="289">
        <v>3</v>
      </c>
      <c r="AG342" s="289">
        <v>0</v>
      </c>
      <c r="AH342" s="289">
        <v>220</v>
      </c>
      <c r="AI342" s="289">
        <v>1.2590448622419264</v>
      </c>
      <c r="AJ342" s="289">
        <v>1469</v>
      </c>
      <c r="AK342" s="289">
        <v>97</v>
      </c>
      <c r="AL342" s="289">
        <v>0.6742786819973975</v>
      </c>
      <c r="AM342" s="289">
        <v>1.1572258802092361</v>
      </c>
      <c r="AN342" s="289">
        <v>0</v>
      </c>
      <c r="AO342" s="289">
        <v>0</v>
      </c>
      <c r="AP342" s="289">
        <f t="shared" si="4"/>
        <v>0</v>
      </c>
      <c r="AQ342" s="289">
        <v>23437.54527264461</v>
      </c>
      <c r="AR342" s="289">
        <v>2500077.0717073167</v>
      </c>
      <c r="AS342" s="289">
        <v>1</v>
      </c>
      <c r="AT342" s="289">
        <v>3426</v>
      </c>
      <c r="AU342" s="289">
        <v>0</v>
      </c>
      <c r="AV342" s="289">
        <v>0</v>
      </c>
      <c r="AW342" s="289">
        <v>0</v>
      </c>
      <c r="AX342" s="289">
        <v>0.07873333333333334</v>
      </c>
      <c r="AY342" s="289">
        <v>608.43</v>
      </c>
      <c r="AZ342" s="289">
        <v>5.63088605098368</v>
      </c>
      <c r="BA342" s="289">
        <v>1588</v>
      </c>
      <c r="BB342" s="289">
        <v>0.46351430239346175</v>
      </c>
      <c r="BC342" s="289">
        <v>0</v>
      </c>
      <c r="BD342" s="289">
        <v>0</v>
      </c>
      <c r="BE342" s="289">
        <v>3493</v>
      </c>
      <c r="BF342" s="289">
        <v>3426</v>
      </c>
      <c r="BG342" s="289">
        <v>-0.019181219582021184</v>
      </c>
      <c r="BH342" s="289">
        <v>0</v>
      </c>
      <c r="BI342" s="289">
        <v>0</v>
      </c>
      <c r="BJ342" s="289">
        <v>0</v>
      </c>
      <c r="BK342" s="289">
        <v>690812.4606003589</v>
      </c>
      <c r="BL342" s="289">
        <v>7300.24</v>
      </c>
      <c r="BM342" s="301">
        <v>1262</v>
      </c>
    </row>
    <row r="343" spans="6:65" s="289" customFormat="1" ht="12.75">
      <c r="F343" s="289">
        <v>850</v>
      </c>
      <c r="G343" s="289" t="s">
        <v>384</v>
      </c>
      <c r="H343" s="289">
        <v>246</v>
      </c>
      <c r="I343" s="289">
        <v>43</v>
      </c>
      <c r="J343" s="289">
        <v>179</v>
      </c>
      <c r="K343" s="289">
        <v>71</v>
      </c>
      <c r="L343" s="289">
        <v>1652</v>
      </c>
      <c r="M343" s="289">
        <v>310</v>
      </c>
      <c r="N343" s="289">
        <v>179</v>
      </c>
      <c r="O343" s="289">
        <v>68</v>
      </c>
      <c r="P343" s="289">
        <v>2455</v>
      </c>
      <c r="Q343" s="289">
        <v>0</v>
      </c>
      <c r="R343" s="289">
        <v>1</v>
      </c>
      <c r="S343" s="289">
        <v>361.43</v>
      </c>
      <c r="T343" s="289">
        <v>6.792463270896162</v>
      </c>
      <c r="U343" s="289">
        <v>0</v>
      </c>
      <c r="V343" s="289">
        <v>0</v>
      </c>
      <c r="W343" s="289">
        <v>946</v>
      </c>
      <c r="X343" s="289">
        <v>71</v>
      </c>
      <c r="Y343" s="289">
        <v>8</v>
      </c>
      <c r="Z343" s="289">
        <v>0.9630634928275623</v>
      </c>
      <c r="AA343" s="289">
        <v>2</v>
      </c>
      <c r="AB343" s="289">
        <v>2</v>
      </c>
      <c r="AC343" s="289">
        <v>0.4901033038014247</v>
      </c>
      <c r="AD343" s="289">
        <v>115</v>
      </c>
      <c r="AE343" s="289">
        <v>22</v>
      </c>
      <c r="AF343" s="289">
        <v>6</v>
      </c>
      <c r="AG343" s="289">
        <v>0</v>
      </c>
      <c r="AH343" s="289">
        <v>143</v>
      </c>
      <c r="AI343" s="289">
        <v>1.1420639526381042</v>
      </c>
      <c r="AJ343" s="289">
        <v>1067</v>
      </c>
      <c r="AK343" s="289">
        <v>117</v>
      </c>
      <c r="AL343" s="289">
        <v>1.1197238612057963</v>
      </c>
      <c r="AM343" s="289">
        <v>0.8265235655431378</v>
      </c>
      <c r="AN343" s="289">
        <v>0</v>
      </c>
      <c r="AO343" s="289">
        <v>0</v>
      </c>
      <c r="AP343" s="289">
        <f t="shared" si="4"/>
        <v>0</v>
      </c>
      <c r="AQ343" s="289">
        <v>129204.97141114902</v>
      </c>
      <c r="AR343" s="289">
        <v>1602697.2673170734</v>
      </c>
      <c r="AS343" s="289">
        <v>1</v>
      </c>
      <c r="AT343" s="289">
        <v>2455</v>
      </c>
      <c r="AU343" s="289">
        <v>0</v>
      </c>
      <c r="AV343" s="289">
        <v>0</v>
      </c>
      <c r="AW343" s="289">
        <v>0</v>
      </c>
      <c r="AX343" s="289">
        <v>0</v>
      </c>
      <c r="AY343" s="289">
        <v>361.49</v>
      </c>
      <c r="AZ343" s="289">
        <v>6.791335859913137</v>
      </c>
      <c r="BA343" s="289">
        <v>1005</v>
      </c>
      <c r="BB343" s="289">
        <v>0.4093686354378819</v>
      </c>
      <c r="BC343" s="289">
        <v>0</v>
      </c>
      <c r="BD343" s="289">
        <v>0</v>
      </c>
      <c r="BE343" s="289">
        <v>2379</v>
      </c>
      <c r="BF343" s="289">
        <v>2455</v>
      </c>
      <c r="BG343" s="289">
        <v>0.031946195880622114</v>
      </c>
      <c r="BH343" s="289">
        <v>0</v>
      </c>
      <c r="BI343" s="289">
        <v>0</v>
      </c>
      <c r="BJ343" s="289">
        <v>0</v>
      </c>
      <c r="BK343" s="289">
        <v>504325.97654294164</v>
      </c>
      <c r="BL343" s="289">
        <v>7174.77</v>
      </c>
      <c r="BM343" s="301">
        <v>744</v>
      </c>
    </row>
    <row r="344" spans="6:65" s="289" customFormat="1" ht="12.75">
      <c r="F344" s="289">
        <v>851</v>
      </c>
      <c r="G344" s="289" t="s">
        <v>385</v>
      </c>
      <c r="H344" s="289">
        <v>1881</v>
      </c>
      <c r="I344" s="289">
        <v>259</v>
      </c>
      <c r="J344" s="289">
        <v>1675</v>
      </c>
      <c r="K344" s="289">
        <v>812</v>
      </c>
      <c r="L344" s="289">
        <v>16705</v>
      </c>
      <c r="M344" s="289">
        <v>2193</v>
      </c>
      <c r="N344" s="289">
        <v>1226</v>
      </c>
      <c r="O344" s="289">
        <v>484</v>
      </c>
      <c r="P344" s="289">
        <v>22489</v>
      </c>
      <c r="Q344" s="289">
        <v>9</v>
      </c>
      <c r="R344" s="289">
        <v>54</v>
      </c>
      <c r="S344" s="289">
        <v>1187.77</v>
      </c>
      <c r="T344" s="289">
        <v>18.933800314875775</v>
      </c>
      <c r="U344" s="289">
        <v>0</v>
      </c>
      <c r="V344" s="289">
        <v>0</v>
      </c>
      <c r="W344" s="289">
        <v>9005</v>
      </c>
      <c r="X344" s="289">
        <v>276</v>
      </c>
      <c r="Y344" s="289">
        <v>253</v>
      </c>
      <c r="Z344" s="289">
        <v>0.9890863082326135</v>
      </c>
      <c r="AA344" s="289">
        <v>43</v>
      </c>
      <c r="AB344" s="289">
        <v>43</v>
      </c>
      <c r="AC344" s="289">
        <v>1.1502902589220818</v>
      </c>
      <c r="AD344" s="289">
        <v>1011</v>
      </c>
      <c r="AE344" s="289">
        <v>176</v>
      </c>
      <c r="AF344" s="289">
        <v>50</v>
      </c>
      <c r="AG344" s="289">
        <v>1</v>
      </c>
      <c r="AH344" s="289">
        <v>1238</v>
      </c>
      <c r="AI344" s="289">
        <v>1.079335305376479</v>
      </c>
      <c r="AJ344" s="289">
        <v>10337</v>
      </c>
      <c r="AK344" s="289">
        <v>1241</v>
      </c>
      <c r="AL344" s="289">
        <v>1.225933057371761</v>
      </c>
      <c r="AM344" s="289">
        <v>1.0765021938524348</v>
      </c>
      <c r="AN344" s="289">
        <v>0</v>
      </c>
      <c r="AO344" s="289">
        <v>0</v>
      </c>
      <c r="AP344" s="289">
        <f t="shared" si="4"/>
        <v>0</v>
      </c>
      <c r="AQ344" s="289">
        <v>-580763.6914084479</v>
      </c>
      <c r="AR344" s="289">
        <v>3946206.856249995</v>
      </c>
      <c r="AS344" s="289">
        <v>1</v>
      </c>
      <c r="AT344" s="289">
        <v>22489</v>
      </c>
      <c r="AU344" s="289">
        <v>0</v>
      </c>
      <c r="AV344" s="289">
        <v>0</v>
      </c>
      <c r="AW344" s="289">
        <v>0</v>
      </c>
      <c r="AX344" s="289">
        <v>0.00655</v>
      </c>
      <c r="AY344" s="289">
        <v>1186.97</v>
      </c>
      <c r="AZ344" s="289">
        <v>18.946561412672605</v>
      </c>
      <c r="BA344" s="289">
        <v>19169</v>
      </c>
      <c r="BB344" s="289">
        <v>0.8523722708879897</v>
      </c>
      <c r="BC344" s="289">
        <v>0</v>
      </c>
      <c r="BD344" s="289">
        <v>0</v>
      </c>
      <c r="BE344" s="289">
        <v>22426</v>
      </c>
      <c r="BF344" s="289">
        <v>22489</v>
      </c>
      <c r="BG344" s="289">
        <v>0.002809239275840542</v>
      </c>
      <c r="BH344" s="289">
        <v>0</v>
      </c>
      <c r="BI344" s="289">
        <v>9</v>
      </c>
      <c r="BJ344" s="289">
        <v>0.0004001956512072569</v>
      </c>
      <c r="BK344" s="289">
        <v>3544047.036882315</v>
      </c>
      <c r="BL344" s="289">
        <v>6482.31</v>
      </c>
      <c r="BM344" s="301">
        <v>8127</v>
      </c>
    </row>
    <row r="345" spans="6:65" s="289" customFormat="1" ht="12.75">
      <c r="F345" s="289">
        <v>853</v>
      </c>
      <c r="G345" s="289" t="s">
        <v>386</v>
      </c>
      <c r="H345" s="289">
        <v>11623</v>
      </c>
      <c r="I345" s="289">
        <v>1515</v>
      </c>
      <c r="J345" s="289">
        <v>8534</v>
      </c>
      <c r="K345" s="289">
        <v>4495</v>
      </c>
      <c r="L345" s="289">
        <v>134082</v>
      </c>
      <c r="M345" s="289">
        <v>18523</v>
      </c>
      <c r="N345" s="289">
        <v>11221</v>
      </c>
      <c r="O345" s="289">
        <v>4776</v>
      </c>
      <c r="P345" s="289">
        <v>180225</v>
      </c>
      <c r="Q345" s="289">
        <v>873</v>
      </c>
      <c r="R345" s="289">
        <v>1929</v>
      </c>
      <c r="S345" s="289">
        <v>245.66000000000003</v>
      </c>
      <c r="T345" s="289">
        <v>733.6359195636245</v>
      </c>
      <c r="U345" s="289">
        <v>0</v>
      </c>
      <c r="V345" s="289">
        <v>1</v>
      </c>
      <c r="W345" s="289">
        <v>78055</v>
      </c>
      <c r="X345" s="289">
        <v>336</v>
      </c>
      <c r="Y345" s="289">
        <v>963</v>
      </c>
      <c r="Z345" s="289">
        <v>1.0333288748333547</v>
      </c>
      <c r="AA345" s="289">
        <v>364</v>
      </c>
      <c r="AB345" s="289">
        <v>364</v>
      </c>
      <c r="AC345" s="289">
        <v>1.2150537226883869</v>
      </c>
      <c r="AD345" s="289">
        <v>8121</v>
      </c>
      <c r="AE345" s="289">
        <v>1049</v>
      </c>
      <c r="AF345" s="289">
        <v>429</v>
      </c>
      <c r="AG345" s="289">
        <v>109</v>
      </c>
      <c r="AH345" s="289">
        <v>9708</v>
      </c>
      <c r="AI345" s="289">
        <v>1.0561378724216062</v>
      </c>
      <c r="AJ345" s="289">
        <v>88193</v>
      </c>
      <c r="AK345" s="289">
        <v>11390</v>
      </c>
      <c r="AL345" s="289">
        <v>1.3188004871344228</v>
      </c>
      <c r="AM345" s="289">
        <v>1.0576131977729477</v>
      </c>
      <c r="AN345" s="289">
        <v>0</v>
      </c>
      <c r="AO345" s="289">
        <v>0</v>
      </c>
      <c r="AP345" s="289">
        <f t="shared" si="4"/>
        <v>0</v>
      </c>
      <c r="AQ345" s="289">
        <v>497689.7856930196</v>
      </c>
      <c r="AR345" s="289">
        <v>-25456845.705842678</v>
      </c>
      <c r="AS345" s="289">
        <v>1</v>
      </c>
      <c r="AT345" s="289">
        <v>180225</v>
      </c>
      <c r="AU345" s="289">
        <v>0</v>
      </c>
      <c r="AV345" s="289">
        <v>0</v>
      </c>
      <c r="AW345" s="289">
        <v>0</v>
      </c>
      <c r="AX345" s="289">
        <v>0</v>
      </c>
      <c r="AY345" s="289">
        <v>245.66</v>
      </c>
      <c r="AZ345" s="289">
        <v>733.6359195636245</v>
      </c>
      <c r="BA345" s="289">
        <v>174715</v>
      </c>
      <c r="BB345" s="289">
        <v>0.9694271050076293</v>
      </c>
      <c r="BC345" s="289">
        <v>1</v>
      </c>
      <c r="BD345" s="289">
        <v>0</v>
      </c>
      <c r="BE345" s="289">
        <v>176087</v>
      </c>
      <c r="BF345" s="289">
        <v>180225</v>
      </c>
      <c r="BG345" s="289">
        <v>0.023499747284013016</v>
      </c>
      <c r="BH345" s="289">
        <v>0</v>
      </c>
      <c r="BI345" s="289">
        <v>7</v>
      </c>
      <c r="BJ345" s="289">
        <v>3.884033846580663E-05</v>
      </c>
      <c r="BK345" s="289">
        <v>29615291.201668825</v>
      </c>
      <c r="BL345" s="289">
        <v>6444.67</v>
      </c>
      <c r="BM345" s="301">
        <v>63576</v>
      </c>
    </row>
    <row r="346" spans="6:65" s="289" customFormat="1" ht="12.75">
      <c r="F346" s="289">
        <v>854</v>
      </c>
      <c r="G346" s="289" t="s">
        <v>302</v>
      </c>
      <c r="H346" s="289">
        <v>126</v>
      </c>
      <c r="I346" s="289">
        <v>20</v>
      </c>
      <c r="J346" s="289">
        <v>179</v>
      </c>
      <c r="K346" s="289">
        <v>116</v>
      </c>
      <c r="L346" s="289">
        <v>2527</v>
      </c>
      <c r="M346" s="289">
        <v>585</v>
      </c>
      <c r="N346" s="289">
        <v>464</v>
      </c>
      <c r="O346" s="289">
        <v>117</v>
      </c>
      <c r="P346" s="289">
        <v>3819</v>
      </c>
      <c r="Q346" s="289">
        <v>2</v>
      </c>
      <c r="R346" s="289">
        <v>3</v>
      </c>
      <c r="S346" s="289">
        <v>1737.56</v>
      </c>
      <c r="T346" s="289">
        <v>2.1979097124703606</v>
      </c>
      <c r="U346" s="289">
        <v>0</v>
      </c>
      <c r="V346" s="289">
        <v>0</v>
      </c>
      <c r="W346" s="289">
        <v>1329</v>
      </c>
      <c r="X346" s="289">
        <v>125</v>
      </c>
      <c r="Y346" s="289">
        <v>41</v>
      </c>
      <c r="Z346" s="289">
        <v>0.9195634329580639</v>
      </c>
      <c r="AA346" s="289">
        <v>14</v>
      </c>
      <c r="AB346" s="289">
        <v>14</v>
      </c>
      <c r="AC346" s="289">
        <v>2.205400700661818</v>
      </c>
      <c r="AD346" s="289">
        <v>323</v>
      </c>
      <c r="AE346" s="289">
        <v>21</v>
      </c>
      <c r="AF346" s="289">
        <v>8</v>
      </c>
      <c r="AG346" s="289">
        <v>9</v>
      </c>
      <c r="AH346" s="289">
        <v>361</v>
      </c>
      <c r="AI346" s="289">
        <v>1.8533755373762089</v>
      </c>
      <c r="AJ346" s="289">
        <v>1587</v>
      </c>
      <c r="AK346" s="289">
        <v>216</v>
      </c>
      <c r="AL346" s="289">
        <v>1.3898448275778212</v>
      </c>
      <c r="AM346" s="289">
        <v>1.6704585493916675</v>
      </c>
      <c r="AN346" s="289">
        <v>0.17</v>
      </c>
      <c r="AO346" s="289">
        <v>0</v>
      </c>
      <c r="AP346" s="289">
        <f t="shared" si="4"/>
        <v>0.17</v>
      </c>
      <c r="AQ346" s="289">
        <v>-196013.11219165102</v>
      </c>
      <c r="AR346" s="289">
        <v>2410505.5701234555</v>
      </c>
      <c r="AS346" s="289">
        <v>1</v>
      </c>
      <c r="AT346" s="289">
        <v>3819</v>
      </c>
      <c r="AU346" s="289">
        <v>0</v>
      </c>
      <c r="AV346" s="289">
        <v>0</v>
      </c>
      <c r="AW346" s="289">
        <v>0</v>
      </c>
      <c r="AX346" s="289">
        <v>1.6320000000000001</v>
      </c>
      <c r="AY346" s="289">
        <v>1737.57</v>
      </c>
      <c r="AZ346" s="289">
        <v>2.1978970631399024</v>
      </c>
      <c r="BA346" s="289">
        <v>1990</v>
      </c>
      <c r="BB346" s="289">
        <v>0.5210788164440953</v>
      </c>
      <c r="BC346" s="289">
        <v>0</v>
      </c>
      <c r="BD346" s="289">
        <v>0</v>
      </c>
      <c r="BE346" s="289">
        <v>4021</v>
      </c>
      <c r="BF346" s="289">
        <v>3819</v>
      </c>
      <c r="BG346" s="289">
        <v>-0.05023625963690624</v>
      </c>
      <c r="BH346" s="289">
        <v>0</v>
      </c>
      <c r="BI346" s="289">
        <v>5</v>
      </c>
      <c r="BJ346" s="289">
        <v>0.0013092432573972245</v>
      </c>
      <c r="BK346" s="289">
        <v>821872.6805037532</v>
      </c>
      <c r="BL346" s="289">
        <v>8261.79</v>
      </c>
      <c r="BM346" s="301">
        <v>872</v>
      </c>
    </row>
    <row r="347" spans="6:65" s="289" customFormat="1" ht="12.75">
      <c r="F347" s="289">
        <v>857</v>
      </c>
      <c r="G347" s="289" t="s">
        <v>387</v>
      </c>
      <c r="H347" s="289">
        <v>145</v>
      </c>
      <c r="I347" s="289">
        <v>17</v>
      </c>
      <c r="J347" s="289">
        <v>146</v>
      </c>
      <c r="K347" s="289">
        <v>73</v>
      </c>
      <c r="L347" s="289">
        <v>1857</v>
      </c>
      <c r="M347" s="289">
        <v>417</v>
      </c>
      <c r="N347" s="289">
        <v>272</v>
      </c>
      <c r="O347" s="289">
        <v>104</v>
      </c>
      <c r="P347" s="289">
        <v>2795</v>
      </c>
      <c r="Q347" s="289">
        <v>0</v>
      </c>
      <c r="R347" s="289">
        <v>2</v>
      </c>
      <c r="S347" s="289">
        <v>543.2099999999999</v>
      </c>
      <c r="T347" s="289">
        <v>5.1453397396955145</v>
      </c>
      <c r="U347" s="289">
        <v>0</v>
      </c>
      <c r="V347" s="289">
        <v>0</v>
      </c>
      <c r="W347" s="289">
        <v>974</v>
      </c>
      <c r="X347" s="289">
        <v>161</v>
      </c>
      <c r="Y347" s="289">
        <v>25</v>
      </c>
      <c r="Z347" s="289">
        <v>0.8501473780831262</v>
      </c>
      <c r="AA347" s="289">
        <v>6</v>
      </c>
      <c r="AB347" s="289">
        <v>6</v>
      </c>
      <c r="AC347" s="289">
        <v>1.2914528917701225</v>
      </c>
      <c r="AD347" s="289">
        <v>215</v>
      </c>
      <c r="AE347" s="289">
        <v>20</v>
      </c>
      <c r="AF347" s="289">
        <v>3</v>
      </c>
      <c r="AG347" s="289">
        <v>2</v>
      </c>
      <c r="AH347" s="289">
        <v>240</v>
      </c>
      <c r="AI347" s="289">
        <v>1.6835860262315847</v>
      </c>
      <c r="AJ347" s="289">
        <v>1141</v>
      </c>
      <c r="AK347" s="289">
        <v>125</v>
      </c>
      <c r="AL347" s="289">
        <v>1.1187005699627939</v>
      </c>
      <c r="AM347" s="289">
        <v>2.3057393490527582</v>
      </c>
      <c r="AN347" s="289">
        <v>0</v>
      </c>
      <c r="AO347" s="289">
        <v>0</v>
      </c>
      <c r="AP347" s="289">
        <f t="shared" si="4"/>
        <v>0</v>
      </c>
      <c r="AQ347" s="289">
        <v>24017.81958437711</v>
      </c>
      <c r="AR347" s="289">
        <v>2561344.733291138</v>
      </c>
      <c r="AS347" s="289">
        <v>1</v>
      </c>
      <c r="AT347" s="289">
        <v>2795</v>
      </c>
      <c r="AU347" s="289">
        <v>0</v>
      </c>
      <c r="AV347" s="289">
        <v>0</v>
      </c>
      <c r="AW347" s="289">
        <v>0</v>
      </c>
      <c r="AX347" s="289">
        <v>0.32366666666666666</v>
      </c>
      <c r="AY347" s="289">
        <v>543.27</v>
      </c>
      <c r="AZ347" s="289">
        <v>5.144771476429768</v>
      </c>
      <c r="BA347" s="289">
        <v>1086</v>
      </c>
      <c r="BB347" s="289">
        <v>0.3885509838998211</v>
      </c>
      <c r="BC347" s="289">
        <v>0</v>
      </c>
      <c r="BD347" s="289">
        <v>0</v>
      </c>
      <c r="BE347" s="289">
        <v>2864</v>
      </c>
      <c r="BF347" s="289">
        <v>2795</v>
      </c>
      <c r="BG347" s="289">
        <v>-0.02409217877094972</v>
      </c>
      <c r="BH347" s="289">
        <v>0</v>
      </c>
      <c r="BI347" s="289">
        <v>1</v>
      </c>
      <c r="BJ347" s="289">
        <v>0.00035778175313059033</v>
      </c>
      <c r="BK347" s="289">
        <v>751344.2466104737</v>
      </c>
      <c r="BL347" s="289">
        <v>7362.32</v>
      </c>
      <c r="BM347" s="301">
        <v>657</v>
      </c>
    </row>
    <row r="348" spans="6:65" s="289" customFormat="1" ht="12.75">
      <c r="F348" s="289">
        <v>858</v>
      </c>
      <c r="G348" s="289" t="s">
        <v>388</v>
      </c>
      <c r="H348" s="289">
        <v>3443</v>
      </c>
      <c r="I348" s="289">
        <v>533</v>
      </c>
      <c r="J348" s="289">
        <v>3434</v>
      </c>
      <c r="K348" s="289">
        <v>1665</v>
      </c>
      <c r="L348" s="289">
        <v>29416</v>
      </c>
      <c r="M348" s="289">
        <v>3311</v>
      </c>
      <c r="N348" s="289">
        <v>1365</v>
      </c>
      <c r="O348" s="289">
        <v>401</v>
      </c>
      <c r="P348" s="289">
        <v>37936</v>
      </c>
      <c r="Q348" s="289">
        <v>81</v>
      </c>
      <c r="R348" s="289">
        <v>93</v>
      </c>
      <c r="S348" s="289">
        <v>219.5</v>
      </c>
      <c r="T348" s="289">
        <v>172.82915717539862</v>
      </c>
      <c r="U348" s="289">
        <v>0</v>
      </c>
      <c r="V348" s="289">
        <v>0</v>
      </c>
      <c r="W348" s="289">
        <v>18475</v>
      </c>
      <c r="X348" s="289">
        <v>138</v>
      </c>
      <c r="Y348" s="289">
        <v>225</v>
      </c>
      <c r="Z348" s="289">
        <v>1.0301700548644899</v>
      </c>
      <c r="AA348" s="289">
        <v>62</v>
      </c>
      <c r="AB348" s="289">
        <v>62</v>
      </c>
      <c r="AC348" s="289">
        <v>0.9832167844740465</v>
      </c>
      <c r="AD348" s="289">
        <v>891</v>
      </c>
      <c r="AE348" s="289">
        <v>266</v>
      </c>
      <c r="AF348" s="289">
        <v>52</v>
      </c>
      <c r="AG348" s="289">
        <v>3</v>
      </c>
      <c r="AH348" s="289">
        <v>1212</v>
      </c>
      <c r="AI348" s="289">
        <v>0.6264075248774847</v>
      </c>
      <c r="AJ348" s="289">
        <v>19113</v>
      </c>
      <c r="AK348" s="289">
        <v>951</v>
      </c>
      <c r="AL348" s="289">
        <v>0.5080905855329871</v>
      </c>
      <c r="AM348" s="289">
        <v>0.7338286317063648</v>
      </c>
      <c r="AN348" s="289">
        <v>0</v>
      </c>
      <c r="AO348" s="289">
        <v>0</v>
      </c>
      <c r="AP348" s="289">
        <f t="shared" si="4"/>
        <v>0</v>
      </c>
      <c r="AQ348" s="289">
        <v>-666280.6096984223</v>
      </c>
      <c r="AR348" s="289">
        <v>-12687094.932315072</v>
      </c>
      <c r="AS348" s="289">
        <v>0</v>
      </c>
      <c r="AT348" s="289">
        <v>37936</v>
      </c>
      <c r="AU348" s="289">
        <v>0</v>
      </c>
      <c r="AV348" s="289">
        <v>0</v>
      </c>
      <c r="AW348" s="289">
        <v>0</v>
      </c>
      <c r="AX348" s="289">
        <v>0</v>
      </c>
      <c r="AY348" s="289">
        <v>219.51</v>
      </c>
      <c r="AZ348" s="289">
        <v>172.82128376839324</v>
      </c>
      <c r="BA348" s="289">
        <v>35049</v>
      </c>
      <c r="BB348" s="289">
        <v>0.9238981442429355</v>
      </c>
      <c r="BC348" s="289">
        <v>0</v>
      </c>
      <c r="BD348" s="289">
        <v>0</v>
      </c>
      <c r="BE348" s="289">
        <v>36766</v>
      </c>
      <c r="BF348" s="289">
        <v>37936</v>
      </c>
      <c r="BG348" s="289">
        <v>0.03182287983462982</v>
      </c>
      <c r="BH348" s="289">
        <v>0</v>
      </c>
      <c r="BI348" s="289">
        <v>2</v>
      </c>
      <c r="BJ348" s="289">
        <v>5.2720371151412904E-05</v>
      </c>
      <c r="BK348" s="289">
        <v>3670800.0638794447</v>
      </c>
      <c r="BL348" s="289">
        <v>5970.16</v>
      </c>
      <c r="BM348" s="301">
        <v>13395</v>
      </c>
    </row>
    <row r="349" spans="6:65" s="289" customFormat="1" ht="12.75">
      <c r="F349" s="289">
        <v>859</v>
      </c>
      <c r="G349" s="289" t="s">
        <v>389</v>
      </c>
      <c r="H349" s="289">
        <v>1115</v>
      </c>
      <c r="I349" s="289">
        <v>166</v>
      </c>
      <c r="J349" s="289">
        <v>793</v>
      </c>
      <c r="K349" s="289">
        <v>345</v>
      </c>
      <c r="L349" s="289">
        <v>4792</v>
      </c>
      <c r="M349" s="289">
        <v>368</v>
      </c>
      <c r="N349" s="289">
        <v>247</v>
      </c>
      <c r="O349" s="289">
        <v>91</v>
      </c>
      <c r="P349" s="289">
        <v>6613</v>
      </c>
      <c r="Q349" s="289">
        <v>7</v>
      </c>
      <c r="R349" s="289">
        <v>8</v>
      </c>
      <c r="S349" s="289">
        <v>491.81</v>
      </c>
      <c r="T349" s="289">
        <v>13.446249567922571</v>
      </c>
      <c r="U349" s="289">
        <v>0</v>
      </c>
      <c r="V349" s="289">
        <v>0</v>
      </c>
      <c r="W349" s="289">
        <v>2457</v>
      </c>
      <c r="X349" s="289">
        <v>268</v>
      </c>
      <c r="Y349" s="289">
        <v>30</v>
      </c>
      <c r="Z349" s="289">
        <v>0.9233672033907842</v>
      </c>
      <c r="AA349" s="289">
        <v>7</v>
      </c>
      <c r="AB349" s="289">
        <v>7</v>
      </c>
      <c r="AC349" s="289">
        <v>0.6368082017108334</v>
      </c>
      <c r="AD349" s="289">
        <v>242</v>
      </c>
      <c r="AE349" s="289">
        <v>80</v>
      </c>
      <c r="AF349" s="289">
        <v>14</v>
      </c>
      <c r="AG349" s="289">
        <v>2</v>
      </c>
      <c r="AH349" s="289">
        <v>338</v>
      </c>
      <c r="AI349" s="289">
        <v>1.002129993221206</v>
      </c>
      <c r="AJ349" s="289">
        <v>2658</v>
      </c>
      <c r="AK349" s="289">
        <v>262</v>
      </c>
      <c r="AL349" s="289">
        <v>1.0065510482643116</v>
      </c>
      <c r="AM349" s="289">
        <v>1.0538208419108708</v>
      </c>
      <c r="AN349" s="289">
        <v>0</v>
      </c>
      <c r="AO349" s="289">
        <v>0</v>
      </c>
      <c r="AP349" s="289">
        <f t="shared" si="4"/>
        <v>0</v>
      </c>
      <c r="AQ349" s="289">
        <v>-6601.024326741695</v>
      </c>
      <c r="AR349" s="289">
        <v>5147578.199268294</v>
      </c>
      <c r="AS349" s="289">
        <v>1</v>
      </c>
      <c r="AT349" s="289">
        <v>6613</v>
      </c>
      <c r="AU349" s="289">
        <v>0</v>
      </c>
      <c r="AV349" s="289">
        <v>0</v>
      </c>
      <c r="AW349" s="289">
        <v>0</v>
      </c>
      <c r="AX349" s="289">
        <v>0</v>
      </c>
      <c r="AY349" s="289">
        <v>491.81</v>
      </c>
      <c r="AZ349" s="289">
        <v>13.446249567922571</v>
      </c>
      <c r="BA349" s="289">
        <v>4531</v>
      </c>
      <c r="BB349" s="289">
        <v>0.6851655829426886</v>
      </c>
      <c r="BC349" s="289">
        <v>0</v>
      </c>
      <c r="BD349" s="289">
        <v>0</v>
      </c>
      <c r="BE349" s="289">
        <v>6320</v>
      </c>
      <c r="BF349" s="289">
        <v>6613</v>
      </c>
      <c r="BG349" s="289">
        <v>0.04636075949367088</v>
      </c>
      <c r="BH349" s="289">
        <v>0</v>
      </c>
      <c r="BI349" s="289">
        <v>1</v>
      </c>
      <c r="BJ349" s="289">
        <v>0.00015121729925903524</v>
      </c>
      <c r="BK349" s="289">
        <v>947461.371622046</v>
      </c>
      <c r="BL349" s="289">
        <v>6702.34</v>
      </c>
      <c r="BM349" s="301">
        <v>3042</v>
      </c>
    </row>
    <row r="350" spans="6:65" s="289" customFormat="1" ht="12.75">
      <c r="F350" s="289">
        <v>886</v>
      </c>
      <c r="G350" s="289" t="s">
        <v>390</v>
      </c>
      <c r="H350" s="289">
        <v>1072</v>
      </c>
      <c r="I350" s="289">
        <v>154</v>
      </c>
      <c r="J350" s="289">
        <v>979</v>
      </c>
      <c r="K350" s="289">
        <v>489</v>
      </c>
      <c r="L350" s="289">
        <v>9601</v>
      </c>
      <c r="M350" s="289">
        <v>1634</v>
      </c>
      <c r="N350" s="289">
        <v>896</v>
      </c>
      <c r="O350" s="289">
        <v>267</v>
      </c>
      <c r="P350" s="289">
        <v>13470</v>
      </c>
      <c r="Q350" s="289">
        <v>5</v>
      </c>
      <c r="R350" s="289">
        <v>22</v>
      </c>
      <c r="S350" s="289">
        <v>400.7</v>
      </c>
      <c r="T350" s="289">
        <v>33.61617169952583</v>
      </c>
      <c r="U350" s="289">
        <v>0</v>
      </c>
      <c r="V350" s="289">
        <v>0</v>
      </c>
      <c r="W350" s="289">
        <v>5764</v>
      </c>
      <c r="X350" s="289">
        <v>162</v>
      </c>
      <c r="Y350" s="289">
        <v>66</v>
      </c>
      <c r="Z350" s="289">
        <v>1.0092507212755029</v>
      </c>
      <c r="AA350" s="289">
        <v>12</v>
      </c>
      <c r="AB350" s="289">
        <v>12</v>
      </c>
      <c r="AC350" s="289">
        <v>0.5359481562728274</v>
      </c>
      <c r="AD350" s="289">
        <v>589</v>
      </c>
      <c r="AE350" s="289">
        <v>108</v>
      </c>
      <c r="AF350" s="289">
        <v>28</v>
      </c>
      <c r="AG350" s="289">
        <v>12</v>
      </c>
      <c r="AH350" s="289">
        <v>737</v>
      </c>
      <c r="AI350" s="289">
        <v>1.0727679130242624</v>
      </c>
      <c r="AJ350" s="289">
        <v>6368</v>
      </c>
      <c r="AK350" s="289">
        <v>593</v>
      </c>
      <c r="AL350" s="289">
        <v>0.9509137547038138</v>
      </c>
      <c r="AM350" s="289">
        <v>1.005489878456936</v>
      </c>
      <c r="AN350" s="289">
        <v>0</v>
      </c>
      <c r="AO350" s="289">
        <v>0</v>
      </c>
      <c r="AP350" s="289">
        <f t="shared" si="4"/>
        <v>0</v>
      </c>
      <c r="AQ350" s="289">
        <v>-4173.156892091036</v>
      </c>
      <c r="AR350" s="289">
        <v>273742.385189868</v>
      </c>
      <c r="AS350" s="289">
        <v>1</v>
      </c>
      <c r="AT350" s="289">
        <v>13470</v>
      </c>
      <c r="AU350" s="289">
        <v>0</v>
      </c>
      <c r="AV350" s="289">
        <v>0</v>
      </c>
      <c r="AW350" s="289">
        <v>0</v>
      </c>
      <c r="AX350" s="289">
        <v>0</v>
      </c>
      <c r="AY350" s="289">
        <v>400.7</v>
      </c>
      <c r="AZ350" s="289">
        <v>33.61617169952583</v>
      </c>
      <c r="BA350" s="289">
        <v>11376</v>
      </c>
      <c r="BB350" s="289">
        <v>0.844543429844098</v>
      </c>
      <c r="BC350" s="289">
        <v>0</v>
      </c>
      <c r="BD350" s="289">
        <v>0</v>
      </c>
      <c r="BE350" s="289">
        <v>13692</v>
      </c>
      <c r="BF350" s="289">
        <v>13470</v>
      </c>
      <c r="BG350" s="289">
        <v>-0.01621384750219106</v>
      </c>
      <c r="BH350" s="289">
        <v>0</v>
      </c>
      <c r="BI350" s="289">
        <v>1</v>
      </c>
      <c r="BJ350" s="289">
        <v>7.423904974016333E-05</v>
      </c>
      <c r="BK350" s="289">
        <v>1991169.150481464</v>
      </c>
      <c r="BL350" s="289">
        <v>6077.65</v>
      </c>
      <c r="BM350" s="301">
        <v>4214</v>
      </c>
    </row>
    <row r="351" spans="6:65" s="289" customFormat="1" ht="12.75">
      <c r="F351" s="289">
        <v>887</v>
      </c>
      <c r="G351" s="289" t="s">
        <v>391</v>
      </c>
      <c r="H351" s="289">
        <v>325</v>
      </c>
      <c r="I351" s="289">
        <v>53</v>
      </c>
      <c r="J351" s="289">
        <v>272</v>
      </c>
      <c r="K351" s="289">
        <v>160</v>
      </c>
      <c r="L351" s="289">
        <v>3437</v>
      </c>
      <c r="M351" s="289">
        <v>724</v>
      </c>
      <c r="N351" s="289">
        <v>492</v>
      </c>
      <c r="O351" s="289">
        <v>196</v>
      </c>
      <c r="P351" s="289">
        <v>5174</v>
      </c>
      <c r="Q351" s="289">
        <v>1</v>
      </c>
      <c r="R351" s="289">
        <v>8</v>
      </c>
      <c r="S351" s="289">
        <v>475.19</v>
      </c>
      <c r="T351" s="289">
        <v>10.888276268439993</v>
      </c>
      <c r="U351" s="289">
        <v>0</v>
      </c>
      <c r="V351" s="289">
        <v>0</v>
      </c>
      <c r="W351" s="289">
        <v>2052</v>
      </c>
      <c r="X351" s="289">
        <v>275</v>
      </c>
      <c r="Y351" s="289">
        <v>36</v>
      </c>
      <c r="Z351" s="289">
        <v>0.8915554801224088</v>
      </c>
      <c r="AA351" s="289">
        <v>8</v>
      </c>
      <c r="AB351" s="289">
        <v>8</v>
      </c>
      <c r="AC351" s="289">
        <v>0.9301922001024333</v>
      </c>
      <c r="AD351" s="289">
        <v>330</v>
      </c>
      <c r="AE351" s="289">
        <v>31</v>
      </c>
      <c r="AF351" s="289">
        <v>7</v>
      </c>
      <c r="AG351" s="289">
        <v>3</v>
      </c>
      <c r="AH351" s="289">
        <v>371</v>
      </c>
      <c r="AI351" s="289">
        <v>1.4058965596980986</v>
      </c>
      <c r="AJ351" s="289">
        <v>2361</v>
      </c>
      <c r="AK351" s="289">
        <v>266</v>
      </c>
      <c r="AL351" s="289">
        <v>1.1504695813202124</v>
      </c>
      <c r="AM351" s="289">
        <v>0.9071405775272696</v>
      </c>
      <c r="AN351" s="289">
        <v>0</v>
      </c>
      <c r="AO351" s="289">
        <v>0</v>
      </c>
      <c r="AP351" s="289">
        <f t="shared" si="4"/>
        <v>0</v>
      </c>
      <c r="AQ351" s="289">
        <v>15813.88045085594</v>
      </c>
      <c r="AR351" s="289">
        <v>3020024.2858333318</v>
      </c>
      <c r="AS351" s="289">
        <v>1</v>
      </c>
      <c r="AT351" s="289">
        <v>5174</v>
      </c>
      <c r="AU351" s="289">
        <v>0</v>
      </c>
      <c r="AV351" s="289">
        <v>0</v>
      </c>
      <c r="AW351" s="289">
        <v>0</v>
      </c>
      <c r="AX351" s="289">
        <v>0</v>
      </c>
      <c r="AY351" s="289">
        <v>475.22</v>
      </c>
      <c r="AZ351" s="289">
        <v>10.887588906190816</v>
      </c>
      <c r="BA351" s="289">
        <v>2641</v>
      </c>
      <c r="BB351" s="289">
        <v>0.510436799381523</v>
      </c>
      <c r="BC351" s="289">
        <v>0</v>
      </c>
      <c r="BD351" s="289">
        <v>0</v>
      </c>
      <c r="BE351" s="289">
        <v>5362</v>
      </c>
      <c r="BF351" s="289">
        <v>5174</v>
      </c>
      <c r="BG351" s="289">
        <v>-0.0350615441999254</v>
      </c>
      <c r="BH351" s="289">
        <v>0</v>
      </c>
      <c r="BI351" s="289">
        <v>0</v>
      </c>
      <c r="BJ351" s="289">
        <v>0</v>
      </c>
      <c r="BK351" s="289">
        <v>1261536.8279109325</v>
      </c>
      <c r="BL351" s="289">
        <v>6854.34</v>
      </c>
      <c r="BM351" s="301">
        <v>1385</v>
      </c>
    </row>
    <row r="352" spans="6:65" s="289" customFormat="1" ht="12.75">
      <c r="F352" s="289">
        <v>889</v>
      </c>
      <c r="G352" s="289" t="s">
        <v>392</v>
      </c>
      <c r="H352" s="289">
        <v>222</v>
      </c>
      <c r="I352" s="289">
        <v>41</v>
      </c>
      <c r="J352" s="289">
        <v>209</v>
      </c>
      <c r="K352" s="289">
        <v>108</v>
      </c>
      <c r="L352" s="289">
        <v>2042</v>
      </c>
      <c r="M352" s="289">
        <v>329</v>
      </c>
      <c r="N352" s="289">
        <v>277</v>
      </c>
      <c r="O352" s="289">
        <v>80</v>
      </c>
      <c r="P352" s="289">
        <v>2950</v>
      </c>
      <c r="Q352" s="289">
        <v>0</v>
      </c>
      <c r="R352" s="289">
        <v>2</v>
      </c>
      <c r="S352" s="289">
        <v>1671.1200000000001</v>
      </c>
      <c r="T352" s="289">
        <v>1.7652831633874286</v>
      </c>
      <c r="U352" s="289">
        <v>0</v>
      </c>
      <c r="V352" s="289">
        <v>0</v>
      </c>
      <c r="W352" s="289">
        <v>1020</v>
      </c>
      <c r="X352" s="289">
        <v>179</v>
      </c>
      <c r="Y352" s="289">
        <v>19</v>
      </c>
      <c r="Z352" s="289">
        <v>0.8468346210559585</v>
      </c>
      <c r="AA352" s="289">
        <v>6</v>
      </c>
      <c r="AB352" s="289">
        <v>6</v>
      </c>
      <c r="AC352" s="289">
        <v>1.2235968923720315</v>
      </c>
      <c r="AD352" s="289">
        <v>250</v>
      </c>
      <c r="AE352" s="289">
        <v>37</v>
      </c>
      <c r="AF352" s="289">
        <v>8</v>
      </c>
      <c r="AG352" s="289">
        <v>1</v>
      </c>
      <c r="AH352" s="289">
        <v>296</v>
      </c>
      <c r="AI352" s="289">
        <v>1.967322586471631</v>
      </c>
      <c r="AJ352" s="289">
        <v>1170</v>
      </c>
      <c r="AK352" s="289">
        <v>134</v>
      </c>
      <c r="AL352" s="289">
        <v>1.1695220850864367</v>
      </c>
      <c r="AM352" s="289">
        <v>2.003991825055612</v>
      </c>
      <c r="AN352" s="289">
        <v>0.05</v>
      </c>
      <c r="AO352" s="289">
        <v>0</v>
      </c>
      <c r="AP352" s="289">
        <f t="shared" si="4"/>
        <v>0.05</v>
      </c>
      <c r="AQ352" s="289">
        <v>-2570.9969102814794</v>
      </c>
      <c r="AR352" s="289">
        <v>2457508.771666666</v>
      </c>
      <c r="AS352" s="289">
        <v>1</v>
      </c>
      <c r="AT352" s="289">
        <v>2950</v>
      </c>
      <c r="AU352" s="289">
        <v>0</v>
      </c>
      <c r="AV352" s="289">
        <v>0</v>
      </c>
      <c r="AW352" s="289">
        <v>0</v>
      </c>
      <c r="AX352" s="289">
        <v>0.5420333333333334</v>
      </c>
      <c r="AY352" s="289">
        <v>1671.12</v>
      </c>
      <c r="AZ352" s="289">
        <v>1.7652831633874289</v>
      </c>
      <c r="BA352" s="289">
        <v>1385</v>
      </c>
      <c r="BB352" s="289">
        <v>0.4694915254237288</v>
      </c>
      <c r="BC352" s="289">
        <v>0</v>
      </c>
      <c r="BD352" s="289">
        <v>0</v>
      </c>
      <c r="BE352" s="289">
        <v>3014</v>
      </c>
      <c r="BF352" s="289">
        <v>2950</v>
      </c>
      <c r="BG352" s="289">
        <v>-0.021234240212342402</v>
      </c>
      <c r="BH352" s="289">
        <v>0</v>
      </c>
      <c r="BI352" s="289">
        <v>0</v>
      </c>
      <c r="BJ352" s="289">
        <v>0</v>
      </c>
      <c r="BK352" s="289">
        <v>633779.1818510246</v>
      </c>
      <c r="BL352" s="289">
        <v>8461.51</v>
      </c>
      <c r="BM352" s="301">
        <v>915</v>
      </c>
    </row>
    <row r="353" spans="6:65" s="289" customFormat="1" ht="12.75">
      <c r="F353" s="289">
        <v>890</v>
      </c>
      <c r="G353" s="289" t="s">
        <v>393</v>
      </c>
      <c r="H353" s="289">
        <v>90</v>
      </c>
      <c r="I353" s="289">
        <v>18</v>
      </c>
      <c r="J353" s="289">
        <v>79</v>
      </c>
      <c r="K353" s="289">
        <v>27</v>
      </c>
      <c r="L353" s="289">
        <v>875</v>
      </c>
      <c r="M353" s="289">
        <v>185</v>
      </c>
      <c r="N353" s="289">
        <v>108</v>
      </c>
      <c r="O353" s="289">
        <v>27</v>
      </c>
      <c r="P353" s="289">
        <v>1285</v>
      </c>
      <c r="Q353" s="289">
        <v>0</v>
      </c>
      <c r="R353" s="289">
        <v>3</v>
      </c>
      <c r="S353" s="289">
        <v>5144.49</v>
      </c>
      <c r="T353" s="289">
        <v>0.24978180538790046</v>
      </c>
      <c r="U353" s="289">
        <v>0</v>
      </c>
      <c r="V353" s="289">
        <v>0</v>
      </c>
      <c r="W353" s="289">
        <v>513</v>
      </c>
      <c r="X353" s="289">
        <v>59</v>
      </c>
      <c r="Y353" s="289">
        <v>46</v>
      </c>
      <c r="Z353" s="289">
        <v>0.8357372450084842</v>
      </c>
      <c r="AA353" s="289">
        <v>0</v>
      </c>
      <c r="AB353" s="289">
        <v>2</v>
      </c>
      <c r="AC353" s="289">
        <v>0.9363452224377413</v>
      </c>
      <c r="AD353" s="289">
        <v>71</v>
      </c>
      <c r="AE353" s="289">
        <v>11</v>
      </c>
      <c r="AF353" s="289">
        <v>2</v>
      </c>
      <c r="AG353" s="289">
        <v>1</v>
      </c>
      <c r="AH353" s="289">
        <v>85</v>
      </c>
      <c r="AI353" s="289">
        <v>1.2969453637547625</v>
      </c>
      <c r="AJ353" s="289">
        <v>566</v>
      </c>
      <c r="AK353" s="289">
        <v>51</v>
      </c>
      <c r="AL353" s="289">
        <v>0.9201173832749814</v>
      </c>
      <c r="AM353" s="289">
        <v>1.385799792819861</v>
      </c>
      <c r="AN353" s="289">
        <v>0.17</v>
      </c>
      <c r="AO353" s="289">
        <v>0</v>
      </c>
      <c r="AP353" s="289">
        <f t="shared" si="4"/>
        <v>0.17</v>
      </c>
      <c r="AQ353" s="289">
        <v>295977.30180672323</v>
      </c>
      <c r="AR353" s="289">
        <v>571060.8912048198</v>
      </c>
      <c r="AS353" s="289">
        <v>1</v>
      </c>
      <c r="AT353" s="289">
        <v>1285</v>
      </c>
      <c r="AU353" s="289">
        <v>0</v>
      </c>
      <c r="AV353" s="289">
        <v>0</v>
      </c>
      <c r="AW353" s="289">
        <v>0</v>
      </c>
      <c r="AX353" s="289">
        <v>1.941</v>
      </c>
      <c r="AY353" s="289">
        <v>5144.26</v>
      </c>
      <c r="AZ353" s="289">
        <v>0.24979297313899373</v>
      </c>
      <c r="BA353" s="289">
        <v>347</v>
      </c>
      <c r="BB353" s="289">
        <v>0.27003891050583656</v>
      </c>
      <c r="BC353" s="289">
        <v>0</v>
      </c>
      <c r="BD353" s="289">
        <v>1</v>
      </c>
      <c r="BE353" s="289">
        <v>1302</v>
      </c>
      <c r="BF353" s="289">
        <v>1285</v>
      </c>
      <c r="BG353" s="289">
        <v>-0.013056835637480798</v>
      </c>
      <c r="BH353" s="289">
        <v>0</v>
      </c>
      <c r="BI353" s="289">
        <v>604</v>
      </c>
      <c r="BJ353" s="289">
        <v>0.47003891050583657</v>
      </c>
      <c r="BK353" s="289">
        <v>309637.20809272456</v>
      </c>
      <c r="BL353" s="289">
        <v>10162.21</v>
      </c>
      <c r="BM353" s="301">
        <v>346</v>
      </c>
    </row>
    <row r="354" spans="6:65" s="289" customFormat="1" ht="12.75">
      <c r="F354" s="289">
        <v>892</v>
      </c>
      <c r="G354" s="289" t="s">
        <v>394</v>
      </c>
      <c r="H354" s="289">
        <v>455</v>
      </c>
      <c r="I354" s="289">
        <v>56</v>
      </c>
      <c r="J354" s="289">
        <v>334</v>
      </c>
      <c r="K354" s="289">
        <v>141</v>
      </c>
      <c r="L354" s="289">
        <v>2515</v>
      </c>
      <c r="M354" s="289">
        <v>356</v>
      </c>
      <c r="N354" s="289">
        <v>168</v>
      </c>
      <c r="O354" s="289">
        <v>75</v>
      </c>
      <c r="P354" s="289">
        <v>3569</v>
      </c>
      <c r="Q354" s="289">
        <v>3</v>
      </c>
      <c r="R354" s="289">
        <v>4</v>
      </c>
      <c r="S354" s="289">
        <v>348.04999999999995</v>
      </c>
      <c r="T354" s="289">
        <v>10.25427381123402</v>
      </c>
      <c r="U354" s="289">
        <v>0</v>
      </c>
      <c r="V354" s="289">
        <v>0</v>
      </c>
      <c r="W354" s="289">
        <v>1370</v>
      </c>
      <c r="X354" s="289">
        <v>122</v>
      </c>
      <c r="Y354" s="289">
        <v>17</v>
      </c>
      <c r="Z354" s="289">
        <v>0.9442009758025491</v>
      </c>
      <c r="AA354" s="289">
        <v>7</v>
      </c>
      <c r="AB354" s="289">
        <v>7</v>
      </c>
      <c r="AC354" s="289">
        <v>1.1799418991072406</v>
      </c>
      <c r="AD354" s="289">
        <v>150</v>
      </c>
      <c r="AE354" s="289">
        <v>38</v>
      </c>
      <c r="AF354" s="289">
        <v>5</v>
      </c>
      <c r="AG354" s="289">
        <v>1</v>
      </c>
      <c r="AH354" s="289">
        <v>194</v>
      </c>
      <c r="AI354" s="289">
        <v>1.065764045721902</v>
      </c>
      <c r="AJ354" s="289">
        <v>1552</v>
      </c>
      <c r="AK354" s="289">
        <v>167</v>
      </c>
      <c r="AL354" s="289">
        <v>1.0987888531170127</v>
      </c>
      <c r="AM354" s="289">
        <v>1.0344426296765965</v>
      </c>
      <c r="AN354" s="289">
        <v>0</v>
      </c>
      <c r="AO354" s="289">
        <v>0</v>
      </c>
      <c r="AP354" s="289">
        <f t="shared" si="4"/>
        <v>0</v>
      </c>
      <c r="AQ354" s="289">
        <v>63468.46938453615</v>
      </c>
      <c r="AR354" s="289">
        <v>2749946.4270512825</v>
      </c>
      <c r="AS354" s="289">
        <v>1</v>
      </c>
      <c r="AT354" s="289">
        <v>3569</v>
      </c>
      <c r="AU354" s="289">
        <v>0</v>
      </c>
      <c r="AV354" s="289">
        <v>0</v>
      </c>
      <c r="AW354" s="289">
        <v>0</v>
      </c>
      <c r="AX354" s="289">
        <v>0</v>
      </c>
      <c r="AY354" s="289">
        <v>348.05</v>
      </c>
      <c r="AZ354" s="289">
        <v>10.254273811234018</v>
      </c>
      <c r="BA354" s="289">
        <v>1460</v>
      </c>
      <c r="BB354" s="289">
        <v>0.40907817315774725</v>
      </c>
      <c r="BC354" s="289">
        <v>0</v>
      </c>
      <c r="BD354" s="289">
        <v>0</v>
      </c>
      <c r="BE354" s="289">
        <v>3382</v>
      </c>
      <c r="BF354" s="289">
        <v>3569</v>
      </c>
      <c r="BG354" s="289">
        <v>0.05529272619751626</v>
      </c>
      <c r="BH354" s="289">
        <v>0</v>
      </c>
      <c r="BI354" s="289">
        <v>0</v>
      </c>
      <c r="BJ354" s="289">
        <v>0</v>
      </c>
      <c r="BK354" s="289">
        <v>702776.6187343043</v>
      </c>
      <c r="BL354" s="289">
        <v>6894.72</v>
      </c>
      <c r="BM354" s="301">
        <v>1316</v>
      </c>
    </row>
    <row r="355" spans="6:65" s="289" customFormat="1" ht="12.75">
      <c r="F355" s="289">
        <v>893</v>
      </c>
      <c r="G355" s="289" t="s">
        <v>395</v>
      </c>
      <c r="H355" s="289">
        <v>690</v>
      </c>
      <c r="I355" s="289">
        <v>96</v>
      </c>
      <c r="J355" s="289">
        <v>465</v>
      </c>
      <c r="K355" s="289">
        <v>260</v>
      </c>
      <c r="L355" s="289">
        <v>5156</v>
      </c>
      <c r="M355" s="289">
        <v>865</v>
      </c>
      <c r="N355" s="289">
        <v>539</v>
      </c>
      <c r="O355" s="289">
        <v>281</v>
      </c>
      <c r="P355" s="289">
        <v>7531</v>
      </c>
      <c r="Q355" s="289">
        <v>729</v>
      </c>
      <c r="R355" s="289">
        <v>41</v>
      </c>
      <c r="S355" s="289">
        <v>732.6600000000001</v>
      </c>
      <c r="T355" s="289">
        <v>10.278983430240492</v>
      </c>
      <c r="U355" s="289">
        <v>0</v>
      </c>
      <c r="V355" s="289">
        <v>3</v>
      </c>
      <c r="W355" s="289">
        <v>3489</v>
      </c>
      <c r="X355" s="289">
        <v>639</v>
      </c>
      <c r="Y355" s="289">
        <v>55</v>
      </c>
      <c r="Z355" s="289">
        <v>0.8417978300827391</v>
      </c>
      <c r="AA355" s="289">
        <v>1</v>
      </c>
      <c r="AB355" s="289">
        <v>2</v>
      </c>
      <c r="AC355" s="289">
        <v>0.15976677875879666</v>
      </c>
      <c r="AD355" s="289">
        <v>330</v>
      </c>
      <c r="AE355" s="289">
        <v>38</v>
      </c>
      <c r="AF355" s="289">
        <v>19</v>
      </c>
      <c r="AG355" s="289">
        <v>4</v>
      </c>
      <c r="AH355" s="289">
        <v>391</v>
      </c>
      <c r="AI355" s="289">
        <v>1.0179583116657018</v>
      </c>
      <c r="AJ355" s="289">
        <v>3517</v>
      </c>
      <c r="AK355" s="289">
        <v>129</v>
      </c>
      <c r="AL355" s="289">
        <v>0.3745474397321664</v>
      </c>
      <c r="AM355" s="289">
        <v>0.9174721946824739</v>
      </c>
      <c r="AN355" s="289">
        <v>0</v>
      </c>
      <c r="AO355" s="289">
        <v>0</v>
      </c>
      <c r="AP355" s="289">
        <f t="shared" si="4"/>
        <v>0</v>
      </c>
      <c r="AQ355" s="289">
        <v>113972.07233760692</v>
      </c>
      <c r="AR355" s="289">
        <v>1856180.0037974694</v>
      </c>
      <c r="AS355" s="289">
        <v>1</v>
      </c>
      <c r="AT355" s="289">
        <v>7531</v>
      </c>
      <c r="AU355" s="289">
        <v>0</v>
      </c>
      <c r="AV355" s="289">
        <v>0</v>
      </c>
      <c r="AW355" s="289">
        <v>0</v>
      </c>
      <c r="AX355" s="289">
        <v>0</v>
      </c>
      <c r="AY355" s="289">
        <v>732.37</v>
      </c>
      <c r="AZ355" s="289">
        <v>10.283053647746357</v>
      </c>
      <c r="BA355" s="289">
        <v>4290</v>
      </c>
      <c r="BB355" s="289">
        <v>0.5696454654096401</v>
      </c>
      <c r="BC355" s="289">
        <v>3</v>
      </c>
      <c r="BD355" s="289">
        <v>0</v>
      </c>
      <c r="BE355" s="289">
        <v>7452</v>
      </c>
      <c r="BF355" s="289">
        <v>7531</v>
      </c>
      <c r="BG355" s="289">
        <v>0.010601180891035964</v>
      </c>
      <c r="BH355" s="289">
        <v>0</v>
      </c>
      <c r="BI355" s="289">
        <v>0</v>
      </c>
      <c r="BJ355" s="289">
        <v>0</v>
      </c>
      <c r="BK355" s="289">
        <v>1542632.8307947607</v>
      </c>
      <c r="BL355" s="289">
        <v>7945.21</v>
      </c>
      <c r="BM355" s="301">
        <v>2632</v>
      </c>
    </row>
    <row r="356" spans="6:65" s="289" customFormat="1" ht="12.75">
      <c r="F356" s="289">
        <v>895</v>
      </c>
      <c r="G356" s="289" t="s">
        <v>396</v>
      </c>
      <c r="H356" s="289">
        <v>986</v>
      </c>
      <c r="I356" s="289">
        <v>147</v>
      </c>
      <c r="J356" s="289">
        <v>866</v>
      </c>
      <c r="K356" s="289">
        <v>489</v>
      </c>
      <c r="L356" s="289">
        <v>10841</v>
      </c>
      <c r="M356" s="289">
        <v>2150</v>
      </c>
      <c r="N356" s="289">
        <v>1100</v>
      </c>
      <c r="O356" s="289">
        <v>422</v>
      </c>
      <c r="P356" s="289">
        <v>15499</v>
      </c>
      <c r="Q356" s="289">
        <v>3</v>
      </c>
      <c r="R356" s="289">
        <v>15</v>
      </c>
      <c r="S356" s="289">
        <v>502.4399999999998</v>
      </c>
      <c r="T356" s="289">
        <v>30.847464373855594</v>
      </c>
      <c r="U356" s="289">
        <v>1</v>
      </c>
      <c r="V356" s="289">
        <v>0</v>
      </c>
      <c r="W356" s="289">
        <v>6652</v>
      </c>
      <c r="X356" s="289">
        <v>303</v>
      </c>
      <c r="Y356" s="289">
        <v>76</v>
      </c>
      <c r="Z356" s="289">
        <v>0.9909460392135889</v>
      </c>
      <c r="AA356" s="289">
        <v>22</v>
      </c>
      <c r="AB356" s="289">
        <v>22</v>
      </c>
      <c r="AC356" s="289">
        <v>0.85394152649574</v>
      </c>
      <c r="AD356" s="289">
        <v>845</v>
      </c>
      <c r="AE356" s="289">
        <v>137</v>
      </c>
      <c r="AF356" s="289">
        <v>40</v>
      </c>
      <c r="AG356" s="289">
        <v>2</v>
      </c>
      <c r="AH356" s="289">
        <v>1024</v>
      </c>
      <c r="AI356" s="289">
        <v>1.2953948356767357</v>
      </c>
      <c r="AJ356" s="289">
        <v>7334</v>
      </c>
      <c r="AK356" s="289">
        <v>726</v>
      </c>
      <c r="AL356" s="289">
        <v>1.0108464863242974</v>
      </c>
      <c r="AM356" s="289">
        <v>1.1661120327542591</v>
      </c>
      <c r="AN356" s="289">
        <v>0</v>
      </c>
      <c r="AO356" s="289">
        <v>0</v>
      </c>
      <c r="AP356" s="289">
        <f t="shared" si="4"/>
        <v>0</v>
      </c>
      <c r="AQ356" s="289">
        <v>-127042.48566932231</v>
      </c>
      <c r="AR356" s="289">
        <v>1109247.9833333388</v>
      </c>
      <c r="AS356" s="289">
        <v>1</v>
      </c>
      <c r="AT356" s="289">
        <v>15499</v>
      </c>
      <c r="AU356" s="289">
        <v>1</v>
      </c>
      <c r="AV356" s="289">
        <v>706</v>
      </c>
      <c r="AW356" s="289">
        <v>0.04555132589199303</v>
      </c>
      <c r="AX356" s="289">
        <v>0</v>
      </c>
      <c r="AY356" s="289">
        <v>502.38</v>
      </c>
      <c r="AZ356" s="289">
        <v>30.851148532983</v>
      </c>
      <c r="BA356" s="289">
        <v>11589</v>
      </c>
      <c r="BB356" s="289">
        <v>0.747725659719982</v>
      </c>
      <c r="BC356" s="289">
        <v>0</v>
      </c>
      <c r="BD356" s="289">
        <v>0</v>
      </c>
      <c r="BE356" s="289">
        <v>15873</v>
      </c>
      <c r="BF356" s="289">
        <v>15499</v>
      </c>
      <c r="BG356" s="289">
        <v>-0.02356202356202356</v>
      </c>
      <c r="BH356" s="289">
        <v>0</v>
      </c>
      <c r="BI356" s="289">
        <v>1</v>
      </c>
      <c r="BJ356" s="289">
        <v>6.452029163171818E-05</v>
      </c>
      <c r="BK356" s="289">
        <v>2702094.6534954472</v>
      </c>
      <c r="BL356" s="289">
        <v>6133.66</v>
      </c>
      <c r="BM356" s="301">
        <v>4404</v>
      </c>
    </row>
    <row r="357" spans="6:65" s="289" customFormat="1" ht="12.75">
      <c r="F357" s="289">
        <v>905</v>
      </c>
      <c r="G357" s="289" t="s">
        <v>398</v>
      </c>
      <c r="H357" s="289">
        <v>5183</v>
      </c>
      <c r="I357" s="289">
        <v>711</v>
      </c>
      <c r="J357" s="289">
        <v>4114</v>
      </c>
      <c r="K357" s="289">
        <v>1962</v>
      </c>
      <c r="L357" s="289">
        <v>48785</v>
      </c>
      <c r="M357" s="289">
        <v>6215</v>
      </c>
      <c r="N357" s="289">
        <v>3895</v>
      </c>
      <c r="O357" s="289">
        <v>1596</v>
      </c>
      <c r="P357" s="289">
        <v>65674</v>
      </c>
      <c r="Q357" s="289">
        <v>1404</v>
      </c>
      <c r="R357" s="289">
        <v>572</v>
      </c>
      <c r="S357" s="289">
        <v>364.26</v>
      </c>
      <c r="T357" s="289">
        <v>180.29429528358864</v>
      </c>
      <c r="U357" s="289">
        <v>0</v>
      </c>
      <c r="V357" s="289">
        <v>1</v>
      </c>
      <c r="W357" s="289">
        <v>29674</v>
      </c>
      <c r="X357" s="289">
        <v>214</v>
      </c>
      <c r="Y357" s="289">
        <v>271</v>
      </c>
      <c r="Z357" s="289">
        <v>1.0336418467985695</v>
      </c>
      <c r="AA357" s="289">
        <v>58</v>
      </c>
      <c r="AB357" s="289">
        <v>58</v>
      </c>
      <c r="AC357" s="289">
        <v>0.5313046976602983</v>
      </c>
      <c r="AD357" s="289">
        <v>2791</v>
      </c>
      <c r="AE357" s="289">
        <v>417</v>
      </c>
      <c r="AF357" s="289">
        <v>174</v>
      </c>
      <c r="AG357" s="289">
        <v>10</v>
      </c>
      <c r="AH357" s="289">
        <v>3392</v>
      </c>
      <c r="AI357" s="289">
        <v>1.0126707311703904</v>
      </c>
      <c r="AJ357" s="289">
        <v>31655</v>
      </c>
      <c r="AK357" s="289">
        <v>2424</v>
      </c>
      <c r="AL357" s="289">
        <v>0.7819514483510284</v>
      </c>
      <c r="AM357" s="289">
        <v>0.8755561282925828</v>
      </c>
      <c r="AN357" s="289">
        <v>0</v>
      </c>
      <c r="AO357" s="289">
        <v>0</v>
      </c>
      <c r="AP357" s="289">
        <f t="shared" si="4"/>
        <v>0</v>
      </c>
      <c r="AQ357" s="289">
        <v>274345.0710465126</v>
      </c>
      <c r="AR357" s="289">
        <v>-17978866.984323718</v>
      </c>
      <c r="AS357" s="289">
        <v>1</v>
      </c>
      <c r="AT357" s="289">
        <v>65674</v>
      </c>
      <c r="AU357" s="289">
        <v>0</v>
      </c>
      <c r="AV357" s="289">
        <v>0</v>
      </c>
      <c r="AW357" s="289">
        <v>0</v>
      </c>
      <c r="AX357" s="289">
        <v>0</v>
      </c>
      <c r="AY357" s="289">
        <v>364.48</v>
      </c>
      <c r="AZ357" s="289">
        <v>180.18546971027217</v>
      </c>
      <c r="BA357" s="289">
        <v>63759</v>
      </c>
      <c r="BB357" s="289">
        <v>0.9708408198069252</v>
      </c>
      <c r="BC357" s="289">
        <v>1</v>
      </c>
      <c r="BD357" s="289">
        <v>0</v>
      </c>
      <c r="BE357" s="289">
        <v>63915</v>
      </c>
      <c r="BF357" s="289">
        <v>65674</v>
      </c>
      <c r="BG357" s="289">
        <v>0.027520926230149418</v>
      </c>
      <c r="BH357" s="289">
        <v>0</v>
      </c>
      <c r="BI357" s="289">
        <v>8</v>
      </c>
      <c r="BJ357" s="289">
        <v>0.0001218138075950909</v>
      </c>
      <c r="BK357" s="289">
        <v>8961490.553242907</v>
      </c>
      <c r="BL357" s="289">
        <v>6499.46</v>
      </c>
      <c r="BM357" s="301">
        <v>22734</v>
      </c>
    </row>
    <row r="358" spans="6:65" s="289" customFormat="1" ht="12.75">
      <c r="F358" s="289">
        <v>908</v>
      </c>
      <c r="G358" s="289" t="s">
        <v>399</v>
      </c>
      <c r="H358" s="289">
        <v>1681</v>
      </c>
      <c r="I358" s="289">
        <v>245</v>
      </c>
      <c r="J358" s="289">
        <v>1370</v>
      </c>
      <c r="K358" s="289">
        <v>677</v>
      </c>
      <c r="L358" s="289">
        <v>14862</v>
      </c>
      <c r="M358" s="289">
        <v>2585</v>
      </c>
      <c r="N358" s="289">
        <v>1480</v>
      </c>
      <c r="O358" s="289">
        <v>564</v>
      </c>
      <c r="P358" s="289">
        <v>21172</v>
      </c>
      <c r="Q358" s="289">
        <v>7</v>
      </c>
      <c r="R358" s="289">
        <v>40</v>
      </c>
      <c r="S358" s="289">
        <v>271.95000000000005</v>
      </c>
      <c r="T358" s="289">
        <v>77.85254642397499</v>
      </c>
      <c r="U358" s="289">
        <v>0</v>
      </c>
      <c r="V358" s="289">
        <v>0</v>
      </c>
      <c r="W358" s="289">
        <v>8491</v>
      </c>
      <c r="X358" s="289">
        <v>128</v>
      </c>
      <c r="Y358" s="289">
        <v>96</v>
      </c>
      <c r="Z358" s="289">
        <v>1.023095220689518</v>
      </c>
      <c r="AA358" s="289">
        <v>39</v>
      </c>
      <c r="AB358" s="289">
        <v>39</v>
      </c>
      <c r="AC358" s="289">
        <v>1.108183941584815</v>
      </c>
      <c r="AD358" s="289">
        <v>981</v>
      </c>
      <c r="AE358" s="289">
        <v>168</v>
      </c>
      <c r="AF358" s="289">
        <v>32</v>
      </c>
      <c r="AG358" s="289">
        <v>11</v>
      </c>
      <c r="AH358" s="289">
        <v>1192</v>
      </c>
      <c r="AI358" s="289">
        <v>1.1038759030075487</v>
      </c>
      <c r="AJ358" s="289">
        <v>9586</v>
      </c>
      <c r="AK358" s="289">
        <v>1150</v>
      </c>
      <c r="AL358" s="289">
        <v>1.2250389759037594</v>
      </c>
      <c r="AM358" s="289">
        <v>0.86623459892538</v>
      </c>
      <c r="AN358" s="289">
        <v>0</v>
      </c>
      <c r="AO358" s="289">
        <v>0</v>
      </c>
      <c r="AP358" s="289">
        <f t="shared" si="4"/>
        <v>0</v>
      </c>
      <c r="AQ358" s="289">
        <v>29654.960622604936</v>
      </c>
      <c r="AR358" s="289">
        <v>-790245.5242293341</v>
      </c>
      <c r="AS358" s="289">
        <v>1</v>
      </c>
      <c r="AT358" s="289">
        <v>21172</v>
      </c>
      <c r="AU358" s="289">
        <v>0</v>
      </c>
      <c r="AV358" s="289">
        <v>0</v>
      </c>
      <c r="AW358" s="289">
        <v>0</v>
      </c>
      <c r="AX358" s="289">
        <v>0</v>
      </c>
      <c r="AY358" s="289">
        <v>271.8</v>
      </c>
      <c r="AZ358" s="289">
        <v>77.89551140544518</v>
      </c>
      <c r="BA358" s="289">
        <v>18402</v>
      </c>
      <c r="BB358" s="289">
        <v>0.8691668241073115</v>
      </c>
      <c r="BC358" s="289">
        <v>0</v>
      </c>
      <c r="BD358" s="289">
        <v>0</v>
      </c>
      <c r="BE358" s="289">
        <v>20631</v>
      </c>
      <c r="BF358" s="289">
        <v>21172</v>
      </c>
      <c r="BG358" s="289">
        <v>0.026222674615869322</v>
      </c>
      <c r="BH358" s="289">
        <v>0</v>
      </c>
      <c r="BI358" s="289">
        <v>0</v>
      </c>
      <c r="BJ358" s="289">
        <v>0</v>
      </c>
      <c r="BK358" s="289">
        <v>3324409.096756054</v>
      </c>
      <c r="BL358" s="289">
        <v>5961.39</v>
      </c>
      <c r="BM358" s="301">
        <v>6535</v>
      </c>
    </row>
    <row r="359" spans="6:65" s="289" customFormat="1" ht="12.75">
      <c r="F359" s="289">
        <v>911</v>
      </c>
      <c r="G359" s="289" t="s">
        <v>400</v>
      </c>
      <c r="H359" s="289">
        <v>137</v>
      </c>
      <c r="I359" s="289">
        <v>25</v>
      </c>
      <c r="J359" s="289">
        <v>129</v>
      </c>
      <c r="K359" s="289">
        <v>81</v>
      </c>
      <c r="L359" s="289">
        <v>1610</v>
      </c>
      <c r="M359" s="289">
        <v>335</v>
      </c>
      <c r="N359" s="289">
        <v>233</v>
      </c>
      <c r="O359" s="289">
        <v>106</v>
      </c>
      <c r="P359" s="289">
        <v>2421</v>
      </c>
      <c r="Q359" s="289">
        <v>0</v>
      </c>
      <c r="R359" s="289">
        <v>3</v>
      </c>
      <c r="S359" s="289">
        <v>800.32</v>
      </c>
      <c r="T359" s="289">
        <v>3.0250399840063973</v>
      </c>
      <c r="U359" s="289">
        <v>0</v>
      </c>
      <c r="V359" s="289">
        <v>0</v>
      </c>
      <c r="W359" s="289">
        <v>839</v>
      </c>
      <c r="X359" s="289">
        <v>226</v>
      </c>
      <c r="Y359" s="289">
        <v>13</v>
      </c>
      <c r="Z359" s="289">
        <v>0.7514779616654148</v>
      </c>
      <c r="AA359" s="289">
        <v>2</v>
      </c>
      <c r="AB359" s="289">
        <v>2</v>
      </c>
      <c r="AC359" s="289">
        <v>0.49698620852230385</v>
      </c>
      <c r="AD359" s="289">
        <v>215</v>
      </c>
      <c r="AE359" s="289">
        <v>9</v>
      </c>
      <c r="AF359" s="289">
        <v>2</v>
      </c>
      <c r="AG359" s="289">
        <v>3</v>
      </c>
      <c r="AH359" s="289">
        <v>229</v>
      </c>
      <c r="AI359" s="289">
        <v>1.8545842868299205</v>
      </c>
      <c r="AJ359" s="289">
        <v>991</v>
      </c>
      <c r="AK359" s="289">
        <v>140</v>
      </c>
      <c r="AL359" s="289">
        <v>1.4425931709049984</v>
      </c>
      <c r="AM359" s="289">
        <v>1.7038767983301313</v>
      </c>
      <c r="AN359" s="289">
        <v>0.0800000000000001</v>
      </c>
      <c r="AO359" s="289">
        <v>0</v>
      </c>
      <c r="AP359" s="289">
        <f t="shared" si="4"/>
        <v>0.0800000000000001</v>
      </c>
      <c r="AQ359" s="289">
        <v>96380.14033571817</v>
      </c>
      <c r="AR359" s="289">
        <v>1742330.2509333338</v>
      </c>
      <c r="AS359" s="289">
        <v>0</v>
      </c>
      <c r="AT359" s="289">
        <v>2421</v>
      </c>
      <c r="AU359" s="289">
        <v>0</v>
      </c>
      <c r="AV359" s="289">
        <v>0</v>
      </c>
      <c r="AW359" s="289">
        <v>0</v>
      </c>
      <c r="AX359" s="289">
        <v>1.0525833333333332</v>
      </c>
      <c r="AY359" s="289">
        <v>800.33</v>
      </c>
      <c r="AZ359" s="289">
        <v>3.0250021865980283</v>
      </c>
      <c r="BA359" s="289">
        <v>1128</v>
      </c>
      <c r="BB359" s="289">
        <v>0.46592317224287483</v>
      </c>
      <c r="BC359" s="289">
        <v>0</v>
      </c>
      <c r="BD359" s="289">
        <v>0</v>
      </c>
      <c r="BE359" s="289">
        <v>2482</v>
      </c>
      <c r="BF359" s="289">
        <v>2421</v>
      </c>
      <c r="BG359" s="289">
        <v>-0.024576954069298954</v>
      </c>
      <c r="BH359" s="289">
        <v>0</v>
      </c>
      <c r="BI359" s="289">
        <v>0</v>
      </c>
      <c r="BJ359" s="289">
        <v>0</v>
      </c>
      <c r="BK359" s="289">
        <v>734139.9177007194</v>
      </c>
      <c r="BL359" s="289">
        <v>8008.75</v>
      </c>
      <c r="BM359" s="301">
        <v>567</v>
      </c>
    </row>
    <row r="360" spans="6:65" s="289" customFormat="1" ht="12.75">
      <c r="F360" s="289">
        <v>915</v>
      </c>
      <c r="G360" s="289" t="s">
        <v>402</v>
      </c>
      <c r="H360" s="289">
        <v>1326</v>
      </c>
      <c r="I360" s="289">
        <v>193</v>
      </c>
      <c r="J360" s="289">
        <v>1248</v>
      </c>
      <c r="K360" s="289">
        <v>707</v>
      </c>
      <c r="L360" s="289">
        <v>15804</v>
      </c>
      <c r="M360" s="289">
        <v>2739</v>
      </c>
      <c r="N360" s="289">
        <v>1835</v>
      </c>
      <c r="O360" s="289">
        <v>636</v>
      </c>
      <c r="P360" s="289">
        <v>22340</v>
      </c>
      <c r="Q360" s="289">
        <v>5</v>
      </c>
      <c r="R360" s="289">
        <v>35</v>
      </c>
      <c r="S360" s="289">
        <v>385.62</v>
      </c>
      <c r="T360" s="289">
        <v>57.93267984025725</v>
      </c>
      <c r="U360" s="289">
        <v>0</v>
      </c>
      <c r="V360" s="289">
        <v>0</v>
      </c>
      <c r="W360" s="289">
        <v>8182</v>
      </c>
      <c r="X360" s="289">
        <v>203</v>
      </c>
      <c r="Y360" s="289">
        <v>107</v>
      </c>
      <c r="Z360" s="289">
        <v>1.0110032912570464</v>
      </c>
      <c r="AA360" s="289">
        <v>51</v>
      </c>
      <c r="AB360" s="289">
        <v>51</v>
      </c>
      <c r="AC360" s="289">
        <v>1.3733971385957338</v>
      </c>
      <c r="AD360" s="289">
        <v>1382</v>
      </c>
      <c r="AE360" s="289">
        <v>148</v>
      </c>
      <c r="AF360" s="289">
        <v>43</v>
      </c>
      <c r="AG360" s="289">
        <v>8</v>
      </c>
      <c r="AH360" s="289">
        <v>1581</v>
      </c>
      <c r="AI360" s="289">
        <v>1.3875689856357467</v>
      </c>
      <c r="AJ360" s="289">
        <v>9918</v>
      </c>
      <c r="AK360" s="289">
        <v>1621</v>
      </c>
      <c r="AL360" s="289">
        <v>1.6689695058527565</v>
      </c>
      <c r="AM360" s="289">
        <v>1.5026218321280165</v>
      </c>
      <c r="AN360" s="289">
        <v>0</v>
      </c>
      <c r="AO360" s="289">
        <v>0</v>
      </c>
      <c r="AP360" s="289">
        <f t="shared" si="4"/>
        <v>0</v>
      </c>
      <c r="AQ360" s="289">
        <v>-27351.97135592252</v>
      </c>
      <c r="AR360" s="289">
        <v>3987991.5037500053</v>
      </c>
      <c r="AS360" s="289">
        <v>1</v>
      </c>
      <c r="AT360" s="289">
        <v>22340</v>
      </c>
      <c r="AU360" s="289">
        <v>0</v>
      </c>
      <c r="AV360" s="289">
        <v>0</v>
      </c>
      <c r="AW360" s="289">
        <v>0</v>
      </c>
      <c r="AX360" s="289">
        <v>0</v>
      </c>
      <c r="AY360" s="289">
        <v>385.57</v>
      </c>
      <c r="AZ360" s="289">
        <v>57.94019244235807</v>
      </c>
      <c r="BA360" s="289">
        <v>20308</v>
      </c>
      <c r="BB360" s="289">
        <v>0.9090420769919427</v>
      </c>
      <c r="BC360" s="289">
        <v>0</v>
      </c>
      <c r="BD360" s="289">
        <v>0</v>
      </c>
      <c r="BE360" s="289">
        <v>22935</v>
      </c>
      <c r="BF360" s="289">
        <v>22340</v>
      </c>
      <c r="BG360" s="289">
        <v>-0.02594288205798997</v>
      </c>
      <c r="BH360" s="289">
        <v>0</v>
      </c>
      <c r="BI360" s="289">
        <v>0</v>
      </c>
      <c r="BJ360" s="289">
        <v>0</v>
      </c>
      <c r="BK360" s="289">
        <v>4071837.0510688922</v>
      </c>
      <c r="BL360" s="289">
        <v>5965.72</v>
      </c>
      <c r="BM360" s="301">
        <v>6527</v>
      </c>
    </row>
    <row r="361" spans="6:65" s="289" customFormat="1" ht="12.75">
      <c r="F361" s="289">
        <v>918</v>
      </c>
      <c r="G361" s="289" t="s">
        <v>403</v>
      </c>
      <c r="H361" s="289">
        <v>152</v>
      </c>
      <c r="I361" s="289">
        <v>26</v>
      </c>
      <c r="J361" s="289">
        <v>137</v>
      </c>
      <c r="K361" s="289">
        <v>75</v>
      </c>
      <c r="L361" s="289">
        <v>1609</v>
      </c>
      <c r="M361" s="289">
        <v>302</v>
      </c>
      <c r="N361" s="289">
        <v>184</v>
      </c>
      <c r="O361" s="289">
        <v>77</v>
      </c>
      <c r="P361" s="289">
        <v>2324</v>
      </c>
      <c r="Q361" s="289">
        <v>9</v>
      </c>
      <c r="R361" s="289">
        <v>3</v>
      </c>
      <c r="S361" s="289">
        <v>188.72</v>
      </c>
      <c r="T361" s="289">
        <v>12.31454005934718</v>
      </c>
      <c r="U361" s="289">
        <v>0</v>
      </c>
      <c r="V361" s="289">
        <v>0</v>
      </c>
      <c r="W361" s="289">
        <v>1022</v>
      </c>
      <c r="X361" s="289">
        <v>151</v>
      </c>
      <c r="Y361" s="289">
        <v>16</v>
      </c>
      <c r="Z361" s="289">
        <v>0.879107890428697</v>
      </c>
      <c r="AA361" s="289">
        <v>6</v>
      </c>
      <c r="AB361" s="289">
        <v>6</v>
      </c>
      <c r="AC361" s="289">
        <v>1.5531888263758575</v>
      </c>
      <c r="AD361" s="289">
        <v>130</v>
      </c>
      <c r="AE361" s="289">
        <v>22</v>
      </c>
      <c r="AF361" s="289">
        <v>5</v>
      </c>
      <c r="AG361" s="289">
        <v>1</v>
      </c>
      <c r="AH361" s="289">
        <v>158</v>
      </c>
      <c r="AI361" s="289">
        <v>1.3329898613097573</v>
      </c>
      <c r="AJ361" s="289">
        <v>1073</v>
      </c>
      <c r="AK361" s="289">
        <v>59</v>
      </c>
      <c r="AL361" s="289">
        <v>0.5614896825299185</v>
      </c>
      <c r="AM361" s="289">
        <v>1.1606975528176338</v>
      </c>
      <c r="AN361" s="289">
        <v>0</v>
      </c>
      <c r="AO361" s="289">
        <v>0</v>
      </c>
      <c r="AP361" s="289">
        <f t="shared" si="4"/>
        <v>0</v>
      </c>
      <c r="AQ361" s="289">
        <v>4954.212569518015</v>
      </c>
      <c r="AR361" s="289">
        <v>1457906.843658537</v>
      </c>
      <c r="AS361" s="289">
        <v>1</v>
      </c>
      <c r="AT361" s="289">
        <v>2324</v>
      </c>
      <c r="AU361" s="289">
        <v>0</v>
      </c>
      <c r="AV361" s="289">
        <v>0</v>
      </c>
      <c r="AW361" s="289">
        <v>0</v>
      </c>
      <c r="AX361" s="289">
        <v>0</v>
      </c>
      <c r="AY361" s="289">
        <v>188.77</v>
      </c>
      <c r="AZ361" s="289">
        <v>12.311278275149652</v>
      </c>
      <c r="BA361" s="289">
        <v>1065</v>
      </c>
      <c r="BB361" s="289">
        <v>0.4582616179001721</v>
      </c>
      <c r="BC361" s="289">
        <v>0</v>
      </c>
      <c r="BD361" s="289">
        <v>0</v>
      </c>
      <c r="BE361" s="289">
        <v>2400</v>
      </c>
      <c r="BF361" s="289">
        <v>2324</v>
      </c>
      <c r="BG361" s="289">
        <v>-0.03166666666666667</v>
      </c>
      <c r="BH361" s="289">
        <v>0</v>
      </c>
      <c r="BI361" s="289">
        <v>0</v>
      </c>
      <c r="BJ361" s="289">
        <v>0</v>
      </c>
      <c r="BK361" s="289">
        <v>510796.79977967613</v>
      </c>
      <c r="BL361" s="289">
        <v>6795.69</v>
      </c>
      <c r="BM361" s="301">
        <v>656</v>
      </c>
    </row>
    <row r="362" spans="6:65" s="289" customFormat="1" ht="12.75">
      <c r="F362" s="289">
        <v>921</v>
      </c>
      <c r="G362" s="289" t="s">
        <v>404</v>
      </c>
      <c r="H362" s="289">
        <v>121</v>
      </c>
      <c r="I362" s="289">
        <v>18</v>
      </c>
      <c r="J362" s="289">
        <v>105</v>
      </c>
      <c r="K362" s="289">
        <v>63</v>
      </c>
      <c r="L362" s="289">
        <v>1449</v>
      </c>
      <c r="M362" s="289">
        <v>365</v>
      </c>
      <c r="N362" s="289">
        <v>277</v>
      </c>
      <c r="O362" s="289">
        <v>116</v>
      </c>
      <c r="P362" s="289">
        <v>2328</v>
      </c>
      <c r="Q362" s="289">
        <v>0</v>
      </c>
      <c r="R362" s="289">
        <v>2</v>
      </c>
      <c r="S362" s="289">
        <v>422.62999999999994</v>
      </c>
      <c r="T362" s="289">
        <v>5.508364290277549</v>
      </c>
      <c r="U362" s="289">
        <v>0</v>
      </c>
      <c r="V362" s="289">
        <v>0</v>
      </c>
      <c r="W362" s="289">
        <v>824</v>
      </c>
      <c r="X362" s="289">
        <v>191</v>
      </c>
      <c r="Y362" s="289">
        <v>14</v>
      </c>
      <c r="Z362" s="289">
        <v>0.7893877752614851</v>
      </c>
      <c r="AA362" s="289">
        <v>0</v>
      </c>
      <c r="AB362" s="289">
        <v>2</v>
      </c>
      <c r="AC362" s="289">
        <v>0.5168400390173958</v>
      </c>
      <c r="AD362" s="289">
        <v>226</v>
      </c>
      <c r="AE362" s="289">
        <v>13</v>
      </c>
      <c r="AF362" s="289">
        <v>0</v>
      </c>
      <c r="AG362" s="289">
        <v>3</v>
      </c>
      <c r="AH362" s="289">
        <v>242</v>
      </c>
      <c r="AI362" s="289">
        <v>2.038159994778747</v>
      </c>
      <c r="AJ362" s="289">
        <v>938</v>
      </c>
      <c r="AK362" s="289">
        <v>100</v>
      </c>
      <c r="AL362" s="289">
        <v>1.0886459277846887</v>
      </c>
      <c r="AM362" s="289">
        <v>1.976360321123972</v>
      </c>
      <c r="AN362" s="289">
        <v>0.05</v>
      </c>
      <c r="AO362" s="289">
        <v>0</v>
      </c>
      <c r="AP362" s="289">
        <f t="shared" si="4"/>
        <v>0.05</v>
      </c>
      <c r="AQ362" s="289">
        <v>186918.53762630746</v>
      </c>
      <c r="AR362" s="289">
        <v>2583464.1602499993</v>
      </c>
      <c r="AS362" s="289">
        <v>0</v>
      </c>
      <c r="AT362" s="289">
        <v>2328</v>
      </c>
      <c r="AU362" s="289">
        <v>0</v>
      </c>
      <c r="AV362" s="289">
        <v>0</v>
      </c>
      <c r="AW362" s="289">
        <v>0</v>
      </c>
      <c r="AX362" s="289">
        <v>0.7291500000000001</v>
      </c>
      <c r="AY362" s="289">
        <v>422.63</v>
      </c>
      <c r="AZ362" s="289">
        <v>5.508364290277548</v>
      </c>
      <c r="BA362" s="289">
        <v>899</v>
      </c>
      <c r="BB362" s="289">
        <v>0.3861683848797251</v>
      </c>
      <c r="BC362" s="289">
        <v>0</v>
      </c>
      <c r="BD362" s="289">
        <v>0</v>
      </c>
      <c r="BE362" s="289">
        <v>2412</v>
      </c>
      <c r="BF362" s="289">
        <v>2328</v>
      </c>
      <c r="BG362" s="289">
        <v>-0.03482587064676617</v>
      </c>
      <c r="BH362" s="289">
        <v>0</v>
      </c>
      <c r="BI362" s="289">
        <v>0</v>
      </c>
      <c r="BJ362" s="289">
        <v>0</v>
      </c>
      <c r="BK362" s="289">
        <v>547064.8897172762</v>
      </c>
      <c r="BL362" s="289">
        <v>7309.21</v>
      </c>
      <c r="BM362" s="301">
        <v>534</v>
      </c>
    </row>
    <row r="363" spans="6:65" s="289" customFormat="1" ht="12.75">
      <c r="F363" s="289">
        <v>922</v>
      </c>
      <c r="G363" s="289" t="s">
        <v>405</v>
      </c>
      <c r="H363" s="289">
        <v>464</v>
      </c>
      <c r="I363" s="289">
        <v>82</v>
      </c>
      <c r="J363" s="289">
        <v>449</v>
      </c>
      <c r="K363" s="289">
        <v>210</v>
      </c>
      <c r="L363" s="289">
        <v>3288</v>
      </c>
      <c r="M363" s="289">
        <v>343</v>
      </c>
      <c r="N363" s="289">
        <v>254</v>
      </c>
      <c r="O363" s="289">
        <v>88</v>
      </c>
      <c r="P363" s="289">
        <v>4437</v>
      </c>
      <c r="Q363" s="289">
        <v>0</v>
      </c>
      <c r="R363" s="289">
        <v>11</v>
      </c>
      <c r="S363" s="289">
        <v>300.91999999999996</v>
      </c>
      <c r="T363" s="289">
        <v>14.744782666489435</v>
      </c>
      <c r="U363" s="289">
        <v>0</v>
      </c>
      <c r="V363" s="289">
        <v>0</v>
      </c>
      <c r="W363" s="289">
        <v>1885</v>
      </c>
      <c r="X363" s="289">
        <v>144</v>
      </c>
      <c r="Y363" s="289">
        <v>27</v>
      </c>
      <c r="Z363" s="289">
        <v>0.9554906073042467</v>
      </c>
      <c r="AA363" s="289">
        <v>10</v>
      </c>
      <c r="AB363" s="289">
        <v>10</v>
      </c>
      <c r="AC363" s="289">
        <v>1.3558751530679487</v>
      </c>
      <c r="AD363" s="289">
        <v>170</v>
      </c>
      <c r="AE363" s="289">
        <v>46</v>
      </c>
      <c r="AF363" s="289">
        <v>11</v>
      </c>
      <c r="AG363" s="289">
        <v>2</v>
      </c>
      <c r="AH363" s="289">
        <v>229</v>
      </c>
      <c r="AI363" s="289">
        <v>1.0119334141120662</v>
      </c>
      <c r="AJ363" s="289">
        <v>1999</v>
      </c>
      <c r="AK363" s="289">
        <v>133</v>
      </c>
      <c r="AL363" s="289">
        <v>0.6794043725605357</v>
      </c>
      <c r="AM363" s="289">
        <v>0.6706126571582823</v>
      </c>
      <c r="AN363" s="289">
        <v>0</v>
      </c>
      <c r="AO363" s="289">
        <v>0</v>
      </c>
      <c r="AP363" s="289">
        <f t="shared" si="4"/>
        <v>0</v>
      </c>
      <c r="AQ363" s="289">
        <v>-17408.788966968656</v>
      </c>
      <c r="AR363" s="289">
        <v>1638754.3032926852</v>
      </c>
      <c r="AS363" s="289">
        <v>1</v>
      </c>
      <c r="AT363" s="289">
        <v>4437</v>
      </c>
      <c r="AU363" s="289">
        <v>0</v>
      </c>
      <c r="AV363" s="289">
        <v>0</v>
      </c>
      <c r="AW363" s="289">
        <v>0</v>
      </c>
      <c r="AX363" s="289">
        <v>0</v>
      </c>
      <c r="AY363" s="289">
        <v>300.91</v>
      </c>
      <c r="AZ363" s="289">
        <v>14.745272672892225</v>
      </c>
      <c r="BA363" s="289">
        <v>2396</v>
      </c>
      <c r="BB363" s="289">
        <v>0.5400045075501465</v>
      </c>
      <c r="BC363" s="289">
        <v>0</v>
      </c>
      <c r="BD363" s="289">
        <v>0</v>
      </c>
      <c r="BE363" s="289">
        <v>4365</v>
      </c>
      <c r="BF363" s="289">
        <v>4437</v>
      </c>
      <c r="BG363" s="289">
        <v>0.016494845360824743</v>
      </c>
      <c r="BH363" s="289">
        <v>0</v>
      </c>
      <c r="BI363" s="289">
        <v>0</v>
      </c>
      <c r="BJ363" s="289">
        <v>0</v>
      </c>
      <c r="BK363" s="289">
        <v>771041.7135448129</v>
      </c>
      <c r="BL363" s="289">
        <v>6645.5</v>
      </c>
      <c r="BM363" s="301">
        <v>1551</v>
      </c>
    </row>
    <row r="364" spans="6:65" s="289" customFormat="1" ht="12.75">
      <c r="F364" s="289">
        <v>924</v>
      </c>
      <c r="G364" s="289" t="s">
        <v>406</v>
      </c>
      <c r="H364" s="289">
        <v>279</v>
      </c>
      <c r="I364" s="289">
        <v>46</v>
      </c>
      <c r="J364" s="289">
        <v>186</v>
      </c>
      <c r="K364" s="289">
        <v>109</v>
      </c>
      <c r="L364" s="289">
        <v>2311</v>
      </c>
      <c r="M364" s="289">
        <v>392</v>
      </c>
      <c r="N364" s="289">
        <v>274</v>
      </c>
      <c r="O364" s="289">
        <v>126</v>
      </c>
      <c r="P364" s="289">
        <v>3382</v>
      </c>
      <c r="Q364" s="289">
        <v>6</v>
      </c>
      <c r="R364" s="289">
        <v>6</v>
      </c>
      <c r="S364" s="289">
        <v>502.34</v>
      </c>
      <c r="T364" s="289">
        <v>6.732491937731417</v>
      </c>
      <c r="U364" s="289">
        <v>0</v>
      </c>
      <c r="V364" s="289">
        <v>0</v>
      </c>
      <c r="W364" s="289">
        <v>1411</v>
      </c>
      <c r="X364" s="289">
        <v>286</v>
      </c>
      <c r="Y364" s="289">
        <v>19</v>
      </c>
      <c r="Z364" s="289">
        <v>0.8236734595795357</v>
      </c>
      <c r="AA364" s="289">
        <v>2</v>
      </c>
      <c r="AB364" s="289">
        <v>2</v>
      </c>
      <c r="AC364" s="289">
        <v>0.35576688670387274</v>
      </c>
      <c r="AD364" s="289">
        <v>224</v>
      </c>
      <c r="AE364" s="289">
        <v>32</v>
      </c>
      <c r="AF364" s="289">
        <v>7</v>
      </c>
      <c r="AG364" s="289">
        <v>0</v>
      </c>
      <c r="AH364" s="289">
        <v>263</v>
      </c>
      <c r="AI364" s="289">
        <v>1.5247127366603153</v>
      </c>
      <c r="AJ364" s="289">
        <v>1532</v>
      </c>
      <c r="AK364" s="289">
        <v>112</v>
      </c>
      <c r="AL364" s="289">
        <v>0.7465325495388269</v>
      </c>
      <c r="AM364" s="289">
        <v>1.1961865873938697</v>
      </c>
      <c r="AN364" s="289">
        <v>0</v>
      </c>
      <c r="AO364" s="289">
        <v>0</v>
      </c>
      <c r="AP364" s="289">
        <f t="shared" si="4"/>
        <v>0</v>
      </c>
      <c r="AQ364" s="289">
        <v>96922.8365674261</v>
      </c>
      <c r="AR364" s="289">
        <v>2469501.5158333336</v>
      </c>
      <c r="AS364" s="289">
        <v>1</v>
      </c>
      <c r="AT364" s="289">
        <v>3382</v>
      </c>
      <c r="AU364" s="289">
        <v>0</v>
      </c>
      <c r="AV364" s="289">
        <v>0</v>
      </c>
      <c r="AW364" s="289">
        <v>0</v>
      </c>
      <c r="AX364" s="289">
        <v>0.1412</v>
      </c>
      <c r="AY364" s="289">
        <v>502.31</v>
      </c>
      <c r="AZ364" s="289">
        <v>6.732894029583325</v>
      </c>
      <c r="BA364" s="289">
        <v>1706</v>
      </c>
      <c r="BB364" s="289">
        <v>0.5044352454169131</v>
      </c>
      <c r="BC364" s="289">
        <v>0</v>
      </c>
      <c r="BD364" s="289">
        <v>0</v>
      </c>
      <c r="BE364" s="289">
        <v>3482</v>
      </c>
      <c r="BF364" s="289">
        <v>3382</v>
      </c>
      <c r="BG364" s="289">
        <v>-0.02871912693854107</v>
      </c>
      <c r="BH364" s="289">
        <v>0</v>
      </c>
      <c r="BI364" s="289">
        <v>1</v>
      </c>
      <c r="BJ364" s="289">
        <v>0.00029568302779420464</v>
      </c>
      <c r="BK364" s="289">
        <v>758872.8621057301</v>
      </c>
      <c r="BL364" s="289">
        <v>7197.87</v>
      </c>
      <c r="BM364" s="301">
        <v>1065</v>
      </c>
    </row>
    <row r="365" spans="6:65" s="289" customFormat="1" ht="12.75">
      <c r="F365" s="289">
        <v>925</v>
      </c>
      <c r="G365" s="289" t="s">
        <v>407</v>
      </c>
      <c r="H365" s="289">
        <v>271</v>
      </c>
      <c r="I365" s="289">
        <v>39</v>
      </c>
      <c r="J365" s="289">
        <v>251</v>
      </c>
      <c r="K365" s="289">
        <v>146</v>
      </c>
      <c r="L365" s="289">
        <v>2777</v>
      </c>
      <c r="M365" s="289">
        <v>439</v>
      </c>
      <c r="N365" s="289">
        <v>327</v>
      </c>
      <c r="O365" s="289">
        <v>116</v>
      </c>
      <c r="P365" s="289">
        <v>3930</v>
      </c>
      <c r="Q365" s="289">
        <v>0</v>
      </c>
      <c r="R365" s="289">
        <v>2</v>
      </c>
      <c r="S365" s="289">
        <v>925.26</v>
      </c>
      <c r="T365" s="289">
        <v>4.247454769470203</v>
      </c>
      <c r="U365" s="289">
        <v>0</v>
      </c>
      <c r="V365" s="289">
        <v>0</v>
      </c>
      <c r="W365" s="289">
        <v>1624</v>
      </c>
      <c r="X365" s="289">
        <v>457</v>
      </c>
      <c r="Y365" s="289">
        <v>33</v>
      </c>
      <c r="Z365" s="289">
        <v>0.7337599252416656</v>
      </c>
      <c r="AA365" s="289">
        <v>6</v>
      </c>
      <c r="AB365" s="289">
        <v>6</v>
      </c>
      <c r="AC365" s="289">
        <v>0.9184760388034332</v>
      </c>
      <c r="AD365" s="289">
        <v>286</v>
      </c>
      <c r="AE365" s="289">
        <v>26</v>
      </c>
      <c r="AF365" s="289">
        <v>7</v>
      </c>
      <c r="AG365" s="289">
        <v>3</v>
      </c>
      <c r="AH365" s="289">
        <v>322</v>
      </c>
      <c r="AI365" s="289">
        <v>1.606457366145212</v>
      </c>
      <c r="AJ365" s="289">
        <v>1803</v>
      </c>
      <c r="AK365" s="289">
        <v>180</v>
      </c>
      <c r="AL365" s="289">
        <v>1.0194507956027004</v>
      </c>
      <c r="AM365" s="289">
        <v>1.3548384234865294</v>
      </c>
      <c r="AN365" s="289">
        <v>0</v>
      </c>
      <c r="AO365" s="289">
        <v>0</v>
      </c>
      <c r="AP365" s="289">
        <f t="shared" si="4"/>
        <v>0</v>
      </c>
      <c r="AQ365" s="289">
        <v>104347.35000475124</v>
      </c>
      <c r="AR365" s="289">
        <v>2530939.8789873426</v>
      </c>
      <c r="AS365" s="289">
        <v>1</v>
      </c>
      <c r="AT365" s="289">
        <v>3930</v>
      </c>
      <c r="AU365" s="289">
        <v>0</v>
      </c>
      <c r="AV365" s="289">
        <v>0</v>
      </c>
      <c r="AW365" s="289">
        <v>0</v>
      </c>
      <c r="AX365" s="289">
        <v>0.15003333333333332</v>
      </c>
      <c r="AY365" s="289">
        <v>925.21</v>
      </c>
      <c r="AZ365" s="289">
        <v>4.247684309508111</v>
      </c>
      <c r="BA365" s="289">
        <v>1474</v>
      </c>
      <c r="BB365" s="289">
        <v>0.3750636132315522</v>
      </c>
      <c r="BC365" s="289">
        <v>0</v>
      </c>
      <c r="BD365" s="289">
        <v>0</v>
      </c>
      <c r="BE365" s="289">
        <v>3985</v>
      </c>
      <c r="BF365" s="289">
        <v>3930</v>
      </c>
      <c r="BG365" s="289">
        <v>-0.013801756587202008</v>
      </c>
      <c r="BH365" s="289">
        <v>0</v>
      </c>
      <c r="BI365" s="289">
        <v>0</v>
      </c>
      <c r="BJ365" s="289">
        <v>0</v>
      </c>
      <c r="BK365" s="289">
        <v>966180.1209696308</v>
      </c>
      <c r="BL365" s="289">
        <v>7479.77</v>
      </c>
      <c r="BM365" s="301">
        <v>1185</v>
      </c>
    </row>
    <row r="366" spans="6:65" s="289" customFormat="1" ht="12.75">
      <c r="F366" s="289">
        <v>927</v>
      </c>
      <c r="G366" s="289" t="s">
        <v>408</v>
      </c>
      <c r="H366" s="289">
        <v>2812</v>
      </c>
      <c r="I366" s="289">
        <v>427</v>
      </c>
      <c r="J366" s="289">
        <v>2334</v>
      </c>
      <c r="K366" s="289">
        <v>1201</v>
      </c>
      <c r="L366" s="289">
        <v>21853</v>
      </c>
      <c r="M366" s="289">
        <v>2516</v>
      </c>
      <c r="N366" s="289">
        <v>1127</v>
      </c>
      <c r="O366" s="289">
        <v>366</v>
      </c>
      <c r="P366" s="289">
        <v>28674</v>
      </c>
      <c r="Q366" s="289">
        <v>53</v>
      </c>
      <c r="R366" s="289">
        <v>95</v>
      </c>
      <c r="S366" s="289">
        <v>522.0400000000001</v>
      </c>
      <c r="T366" s="289">
        <v>54.92682553061067</v>
      </c>
      <c r="U366" s="289">
        <v>0</v>
      </c>
      <c r="V366" s="289">
        <v>0</v>
      </c>
      <c r="W366" s="289">
        <v>13721</v>
      </c>
      <c r="X366" s="289">
        <v>265</v>
      </c>
      <c r="Y366" s="289">
        <v>205</v>
      </c>
      <c r="Z366" s="289">
        <v>1.014821942078303</v>
      </c>
      <c r="AA366" s="289">
        <v>43</v>
      </c>
      <c r="AB366" s="289">
        <v>43</v>
      </c>
      <c r="AC366" s="289">
        <v>0.9021719199588023</v>
      </c>
      <c r="AD366" s="289">
        <v>747</v>
      </c>
      <c r="AE366" s="289">
        <v>191</v>
      </c>
      <c r="AF366" s="289">
        <v>35</v>
      </c>
      <c r="AG366" s="289">
        <v>8</v>
      </c>
      <c r="AH366" s="289">
        <v>981</v>
      </c>
      <c r="AI366" s="289">
        <v>0.6707900460629623</v>
      </c>
      <c r="AJ366" s="289">
        <v>14515</v>
      </c>
      <c r="AK366" s="289">
        <v>944</v>
      </c>
      <c r="AL366" s="289">
        <v>0.6641167667704885</v>
      </c>
      <c r="AM366" s="289">
        <v>0.7041944401850737</v>
      </c>
      <c r="AN366" s="289">
        <v>0</v>
      </c>
      <c r="AO366" s="289">
        <v>0</v>
      </c>
      <c r="AP366" s="289">
        <f t="shared" si="4"/>
        <v>0</v>
      </c>
      <c r="AQ366" s="289">
        <v>94447.8555355221</v>
      </c>
      <c r="AR366" s="289">
        <v>-4393663.721502563</v>
      </c>
      <c r="AS366" s="289">
        <v>1</v>
      </c>
      <c r="AT366" s="289">
        <v>28674</v>
      </c>
      <c r="AU366" s="289">
        <v>0</v>
      </c>
      <c r="AV366" s="289">
        <v>0</v>
      </c>
      <c r="AW366" s="289">
        <v>0</v>
      </c>
      <c r="AX366" s="289">
        <v>0</v>
      </c>
      <c r="AY366" s="289">
        <v>522.03</v>
      </c>
      <c r="AZ366" s="289">
        <v>54.9278777081777</v>
      </c>
      <c r="BA366" s="289">
        <v>20787</v>
      </c>
      <c r="BB366" s="289">
        <v>0.7249424565808746</v>
      </c>
      <c r="BC366" s="289">
        <v>0</v>
      </c>
      <c r="BD366" s="289">
        <v>0</v>
      </c>
      <c r="BE366" s="289">
        <v>27869</v>
      </c>
      <c r="BF366" s="289">
        <v>28674</v>
      </c>
      <c r="BG366" s="289">
        <v>0.028885141196311314</v>
      </c>
      <c r="BH366" s="289">
        <v>0</v>
      </c>
      <c r="BI366" s="289">
        <v>1</v>
      </c>
      <c r="BJ366" s="289">
        <v>3.487479946990305E-05</v>
      </c>
      <c r="BK366" s="289">
        <v>3494023.651830901</v>
      </c>
      <c r="BL366" s="289">
        <v>5980.17</v>
      </c>
      <c r="BM366" s="301">
        <v>10122</v>
      </c>
    </row>
    <row r="367" spans="6:65" s="289" customFormat="1" ht="12.75">
      <c r="F367" s="289">
        <v>931</v>
      </c>
      <c r="G367" s="289" t="s">
        <v>409</v>
      </c>
      <c r="H367" s="289">
        <v>343</v>
      </c>
      <c r="I367" s="289">
        <v>50</v>
      </c>
      <c r="J367" s="289">
        <v>382</v>
      </c>
      <c r="K367" s="289">
        <v>230</v>
      </c>
      <c r="L367" s="289">
        <v>4648</v>
      </c>
      <c r="M367" s="289">
        <v>983</v>
      </c>
      <c r="N367" s="289">
        <v>750</v>
      </c>
      <c r="O367" s="289">
        <v>233</v>
      </c>
      <c r="P367" s="289">
        <v>6957</v>
      </c>
      <c r="Q367" s="289">
        <v>1</v>
      </c>
      <c r="R367" s="289">
        <v>8</v>
      </c>
      <c r="S367" s="289">
        <v>1248.48</v>
      </c>
      <c r="T367" s="289">
        <v>5.57237600922722</v>
      </c>
      <c r="U367" s="289">
        <v>0</v>
      </c>
      <c r="V367" s="289">
        <v>0</v>
      </c>
      <c r="W367" s="289">
        <v>2536</v>
      </c>
      <c r="X367" s="289">
        <v>275</v>
      </c>
      <c r="Y367" s="289">
        <v>46</v>
      </c>
      <c r="Z367" s="289">
        <v>0.9178071581161815</v>
      </c>
      <c r="AA367" s="289">
        <v>13</v>
      </c>
      <c r="AB367" s="289">
        <v>13</v>
      </c>
      <c r="AC367" s="289">
        <v>1.1241660874531025</v>
      </c>
      <c r="AD367" s="289">
        <v>464</v>
      </c>
      <c r="AE367" s="289">
        <v>29</v>
      </c>
      <c r="AF367" s="289">
        <v>22</v>
      </c>
      <c r="AG367" s="289">
        <v>1</v>
      </c>
      <c r="AH367" s="289">
        <v>516</v>
      </c>
      <c r="AI367" s="289">
        <v>1.4542316124956376</v>
      </c>
      <c r="AJ367" s="289">
        <v>2965</v>
      </c>
      <c r="AK367" s="289">
        <v>361</v>
      </c>
      <c r="AL367" s="289">
        <v>1.243288724366259</v>
      </c>
      <c r="AM367" s="289">
        <v>1.519852392691169</v>
      </c>
      <c r="AN367" s="289">
        <v>0.05</v>
      </c>
      <c r="AO367" s="289">
        <v>0</v>
      </c>
      <c r="AP367" s="289">
        <f t="shared" si="4"/>
        <v>0.05</v>
      </c>
      <c r="AQ367" s="289">
        <v>-29884.02446912974</v>
      </c>
      <c r="AR367" s="289">
        <v>4880353.150750002</v>
      </c>
      <c r="AS367" s="289">
        <v>1</v>
      </c>
      <c r="AT367" s="289">
        <v>6957</v>
      </c>
      <c r="AU367" s="289">
        <v>0</v>
      </c>
      <c r="AV367" s="289">
        <v>0</v>
      </c>
      <c r="AW367" s="289">
        <v>0</v>
      </c>
      <c r="AX367" s="289">
        <v>0.9646333333333333</v>
      </c>
      <c r="AY367" s="289">
        <v>1248.69</v>
      </c>
      <c r="AZ367" s="289">
        <v>5.571438867933594</v>
      </c>
      <c r="BA367" s="289">
        <v>3877</v>
      </c>
      <c r="BB367" s="289">
        <v>0.5572804369699583</v>
      </c>
      <c r="BC367" s="289">
        <v>0</v>
      </c>
      <c r="BD367" s="289">
        <v>0</v>
      </c>
      <c r="BE367" s="289">
        <v>7195</v>
      </c>
      <c r="BF367" s="289">
        <v>6957</v>
      </c>
      <c r="BG367" s="289">
        <v>-0.03307852675469076</v>
      </c>
      <c r="BH367" s="289">
        <v>0</v>
      </c>
      <c r="BI367" s="289">
        <v>0</v>
      </c>
      <c r="BJ367" s="289">
        <v>0</v>
      </c>
      <c r="BK367" s="289">
        <v>1623656.1360158937</v>
      </c>
      <c r="BL367" s="289">
        <v>7303.68</v>
      </c>
      <c r="BM367" s="301">
        <v>1902</v>
      </c>
    </row>
    <row r="368" spans="6:65" s="289" customFormat="1" ht="12.75">
      <c r="F368" s="289">
        <v>934</v>
      </c>
      <c r="G368" s="289" t="s">
        <v>410</v>
      </c>
      <c r="H368" s="289">
        <v>230</v>
      </c>
      <c r="I368" s="289">
        <v>48</v>
      </c>
      <c r="J368" s="289">
        <v>233</v>
      </c>
      <c r="K368" s="289">
        <v>116</v>
      </c>
      <c r="L368" s="289">
        <v>2236</v>
      </c>
      <c r="M368" s="289">
        <v>352</v>
      </c>
      <c r="N368" s="289">
        <v>266</v>
      </c>
      <c r="O368" s="289">
        <v>121</v>
      </c>
      <c r="P368" s="289">
        <v>3205</v>
      </c>
      <c r="Q368" s="289">
        <v>1</v>
      </c>
      <c r="R368" s="289">
        <v>2</v>
      </c>
      <c r="S368" s="289">
        <v>287.33000000000004</v>
      </c>
      <c r="T368" s="289">
        <v>11.154421745031843</v>
      </c>
      <c r="U368" s="289">
        <v>0</v>
      </c>
      <c r="V368" s="289">
        <v>0</v>
      </c>
      <c r="W368" s="289">
        <v>1240</v>
      </c>
      <c r="X368" s="289">
        <v>97</v>
      </c>
      <c r="Y368" s="289">
        <v>22</v>
      </c>
      <c r="Z368" s="289">
        <v>0.9499721788005299</v>
      </c>
      <c r="AA368" s="289">
        <v>8</v>
      </c>
      <c r="AB368" s="289">
        <v>8</v>
      </c>
      <c r="AC368" s="289">
        <v>1.5016581726458629</v>
      </c>
      <c r="AD368" s="289">
        <v>258</v>
      </c>
      <c r="AE368" s="289">
        <v>29</v>
      </c>
      <c r="AF368" s="289">
        <v>4</v>
      </c>
      <c r="AG368" s="289">
        <v>1</v>
      </c>
      <c r="AH368" s="289">
        <v>292</v>
      </c>
      <c r="AI368" s="289">
        <v>1.7863259223201322</v>
      </c>
      <c r="AJ368" s="289">
        <v>1412</v>
      </c>
      <c r="AK368" s="289">
        <v>127</v>
      </c>
      <c r="AL368" s="289">
        <v>0.9184563370628814</v>
      </c>
      <c r="AM368" s="289">
        <v>1.322532610319369</v>
      </c>
      <c r="AN368" s="289">
        <v>0</v>
      </c>
      <c r="AO368" s="289">
        <v>0</v>
      </c>
      <c r="AP368" s="289">
        <f t="shared" si="4"/>
        <v>0</v>
      </c>
      <c r="AQ368" s="289">
        <v>62305.717786749825</v>
      </c>
      <c r="AR368" s="289">
        <v>1626741.8552439017</v>
      </c>
      <c r="AS368" s="289">
        <v>0</v>
      </c>
      <c r="AT368" s="289">
        <v>3205</v>
      </c>
      <c r="AU368" s="289">
        <v>0</v>
      </c>
      <c r="AV368" s="289">
        <v>0</v>
      </c>
      <c r="AW368" s="289">
        <v>0</v>
      </c>
      <c r="AX368" s="289">
        <v>0</v>
      </c>
      <c r="AY368" s="289">
        <v>287.28</v>
      </c>
      <c r="AZ368" s="289">
        <v>11.156363130047342</v>
      </c>
      <c r="BA368" s="289">
        <v>2136</v>
      </c>
      <c r="BB368" s="289">
        <v>0.6664586583463339</v>
      </c>
      <c r="BC368" s="289">
        <v>0</v>
      </c>
      <c r="BD368" s="289">
        <v>0</v>
      </c>
      <c r="BE368" s="289">
        <v>3298</v>
      </c>
      <c r="BF368" s="289">
        <v>3205</v>
      </c>
      <c r="BG368" s="289">
        <v>-0.028198908429351122</v>
      </c>
      <c r="BH368" s="289">
        <v>0</v>
      </c>
      <c r="BI368" s="289">
        <v>0</v>
      </c>
      <c r="BJ368" s="289">
        <v>0</v>
      </c>
      <c r="BK368" s="289">
        <v>570548.5700435207</v>
      </c>
      <c r="BL368" s="289">
        <v>6826.02</v>
      </c>
      <c r="BM368" s="301">
        <v>1001</v>
      </c>
    </row>
    <row r="369" spans="6:65" s="289" customFormat="1" ht="12.75">
      <c r="F369" s="289">
        <v>935</v>
      </c>
      <c r="G369" s="289" t="s">
        <v>411</v>
      </c>
      <c r="H369" s="289">
        <v>217</v>
      </c>
      <c r="I369" s="289">
        <v>39</v>
      </c>
      <c r="J369" s="289">
        <v>208</v>
      </c>
      <c r="K369" s="289">
        <v>99</v>
      </c>
      <c r="L369" s="289">
        <v>2382</v>
      </c>
      <c r="M369" s="289">
        <v>468</v>
      </c>
      <c r="N369" s="289">
        <v>300</v>
      </c>
      <c r="O369" s="289">
        <v>120</v>
      </c>
      <c r="P369" s="289">
        <v>3487</v>
      </c>
      <c r="Q369" s="289">
        <v>3</v>
      </c>
      <c r="R369" s="289">
        <v>22</v>
      </c>
      <c r="S369" s="289">
        <v>371.94999999999993</v>
      </c>
      <c r="T369" s="289">
        <v>9.374915983331094</v>
      </c>
      <c r="U369" s="289">
        <v>0</v>
      </c>
      <c r="V369" s="289">
        <v>0</v>
      </c>
      <c r="W369" s="289">
        <v>1372</v>
      </c>
      <c r="X369" s="289">
        <v>169</v>
      </c>
      <c r="Y369" s="289">
        <v>19</v>
      </c>
      <c r="Z369" s="289">
        <v>0.9068272250332157</v>
      </c>
      <c r="AA369" s="289">
        <v>3</v>
      </c>
      <c r="AB369" s="289">
        <v>2</v>
      </c>
      <c r="AC369" s="289">
        <v>0.34505408971393675</v>
      </c>
      <c r="AD369" s="289">
        <v>192</v>
      </c>
      <c r="AE369" s="289">
        <v>18</v>
      </c>
      <c r="AF369" s="289">
        <v>2</v>
      </c>
      <c r="AG369" s="289">
        <v>1</v>
      </c>
      <c r="AH369" s="289">
        <v>213</v>
      </c>
      <c r="AI369" s="289">
        <v>1.1976599834224506</v>
      </c>
      <c r="AJ369" s="289">
        <v>1518</v>
      </c>
      <c r="AK369" s="289">
        <v>120</v>
      </c>
      <c r="AL369" s="289">
        <v>0.8072331069265124</v>
      </c>
      <c r="AM369" s="289">
        <v>1.3034749430412815</v>
      </c>
      <c r="AN369" s="289">
        <v>0</v>
      </c>
      <c r="AO369" s="289">
        <v>0</v>
      </c>
      <c r="AP369" s="289">
        <f t="shared" si="4"/>
        <v>0</v>
      </c>
      <c r="AQ369" s="289">
        <v>62997.892044780776</v>
      </c>
      <c r="AR369" s="289">
        <v>2030583.234875002</v>
      </c>
      <c r="AS369" s="289">
        <v>1</v>
      </c>
      <c r="AT369" s="289">
        <v>3487</v>
      </c>
      <c r="AU369" s="289">
        <v>0</v>
      </c>
      <c r="AV369" s="289">
        <v>0</v>
      </c>
      <c r="AW369" s="289">
        <v>0</v>
      </c>
      <c r="AX369" s="289">
        <v>0</v>
      </c>
      <c r="AY369" s="289">
        <v>371.95</v>
      </c>
      <c r="AZ369" s="289">
        <v>9.374915983331093</v>
      </c>
      <c r="BA369" s="289">
        <v>1622</v>
      </c>
      <c r="BB369" s="289">
        <v>0.46515629480929166</v>
      </c>
      <c r="BC369" s="289">
        <v>0</v>
      </c>
      <c r="BD369" s="289">
        <v>0</v>
      </c>
      <c r="BE369" s="289">
        <v>3530</v>
      </c>
      <c r="BF369" s="289">
        <v>3487</v>
      </c>
      <c r="BG369" s="289">
        <v>-0.012181303116147308</v>
      </c>
      <c r="BH369" s="289">
        <v>0</v>
      </c>
      <c r="BI369" s="289">
        <v>0</v>
      </c>
      <c r="BJ369" s="289">
        <v>0</v>
      </c>
      <c r="BK369" s="289">
        <v>657671.15003387</v>
      </c>
      <c r="BL369" s="289">
        <v>7033.95</v>
      </c>
      <c r="BM369" s="301">
        <v>882</v>
      </c>
    </row>
    <row r="370" spans="6:65" s="289" customFormat="1" ht="12.75">
      <c r="F370" s="289">
        <v>936</v>
      </c>
      <c r="G370" s="289" t="s">
        <v>412</v>
      </c>
      <c r="H370" s="289">
        <v>423</v>
      </c>
      <c r="I370" s="289">
        <v>62</v>
      </c>
      <c r="J370" s="289">
        <v>410</v>
      </c>
      <c r="K370" s="289">
        <v>217</v>
      </c>
      <c r="L370" s="289">
        <v>4831</v>
      </c>
      <c r="M370" s="289">
        <v>1072</v>
      </c>
      <c r="N370" s="289">
        <v>753</v>
      </c>
      <c r="O370" s="289">
        <v>305</v>
      </c>
      <c r="P370" s="289">
        <v>7384</v>
      </c>
      <c r="Q370" s="289">
        <v>1</v>
      </c>
      <c r="R370" s="289">
        <v>22</v>
      </c>
      <c r="S370" s="289">
        <v>1162.31</v>
      </c>
      <c r="T370" s="289">
        <v>6.352866274918052</v>
      </c>
      <c r="U370" s="289">
        <v>0</v>
      </c>
      <c r="V370" s="289">
        <v>0</v>
      </c>
      <c r="W370" s="289">
        <v>2650</v>
      </c>
      <c r="X370" s="289">
        <v>321</v>
      </c>
      <c r="Y370" s="289">
        <v>52</v>
      </c>
      <c r="Z370" s="289">
        <v>0.9029092782386751</v>
      </c>
      <c r="AA370" s="289">
        <v>5</v>
      </c>
      <c r="AB370" s="289">
        <v>5</v>
      </c>
      <c r="AC370" s="289">
        <v>0.4073685031258456</v>
      </c>
      <c r="AD370" s="289">
        <v>482</v>
      </c>
      <c r="AE370" s="289">
        <v>35</v>
      </c>
      <c r="AF370" s="289">
        <v>16</v>
      </c>
      <c r="AG370" s="289">
        <v>5</v>
      </c>
      <c r="AH370" s="289">
        <v>538</v>
      </c>
      <c r="AI370" s="289">
        <v>1.4285533718765218</v>
      </c>
      <c r="AJ370" s="289">
        <v>3110</v>
      </c>
      <c r="AK370" s="289">
        <v>329</v>
      </c>
      <c r="AL370" s="289">
        <v>1.080251802592317</v>
      </c>
      <c r="AM370" s="289">
        <v>1.1967601120914007</v>
      </c>
      <c r="AN370" s="289">
        <v>0</v>
      </c>
      <c r="AO370" s="289">
        <v>0</v>
      </c>
      <c r="AP370" s="289">
        <f t="shared" si="4"/>
        <v>0</v>
      </c>
      <c r="AQ370" s="289">
        <v>46812.20847382769</v>
      </c>
      <c r="AR370" s="289">
        <v>5092044.738481017</v>
      </c>
      <c r="AS370" s="289">
        <v>1</v>
      </c>
      <c r="AT370" s="289">
        <v>7384</v>
      </c>
      <c r="AU370" s="289">
        <v>0</v>
      </c>
      <c r="AV370" s="289">
        <v>0</v>
      </c>
      <c r="AW370" s="289">
        <v>0</v>
      </c>
      <c r="AX370" s="289">
        <v>0.38</v>
      </c>
      <c r="AY370" s="289">
        <v>1162.35</v>
      </c>
      <c r="AZ370" s="289">
        <v>6.352647653460662</v>
      </c>
      <c r="BA370" s="289">
        <v>3775</v>
      </c>
      <c r="BB370" s="289">
        <v>0.511240520043337</v>
      </c>
      <c r="BC370" s="289">
        <v>0</v>
      </c>
      <c r="BD370" s="289">
        <v>0</v>
      </c>
      <c r="BE370" s="289">
        <v>7612</v>
      </c>
      <c r="BF370" s="289">
        <v>7384</v>
      </c>
      <c r="BG370" s="289">
        <v>-0.02995270625328429</v>
      </c>
      <c r="BH370" s="289">
        <v>0</v>
      </c>
      <c r="BI370" s="289">
        <v>0</v>
      </c>
      <c r="BJ370" s="289">
        <v>0</v>
      </c>
      <c r="BK370" s="289">
        <v>1512773.2468785786</v>
      </c>
      <c r="BL370" s="289">
        <v>7248.18</v>
      </c>
      <c r="BM370" s="301">
        <v>1964</v>
      </c>
    </row>
    <row r="371" spans="6:65" s="289" customFormat="1" ht="12.75">
      <c r="F371" s="289">
        <v>946</v>
      </c>
      <c r="G371" s="289" t="s">
        <v>413</v>
      </c>
      <c r="H371" s="289">
        <v>535</v>
      </c>
      <c r="I371" s="289">
        <v>66</v>
      </c>
      <c r="J371" s="289">
        <v>408</v>
      </c>
      <c r="K371" s="289">
        <v>241</v>
      </c>
      <c r="L371" s="289">
        <v>4593</v>
      </c>
      <c r="M371" s="289">
        <v>752</v>
      </c>
      <c r="N371" s="289">
        <v>520</v>
      </c>
      <c r="O371" s="289">
        <v>280</v>
      </c>
      <c r="P371" s="289">
        <v>6680</v>
      </c>
      <c r="Q371" s="289">
        <v>566</v>
      </c>
      <c r="R371" s="289">
        <v>66</v>
      </c>
      <c r="S371" s="289">
        <v>781.98</v>
      </c>
      <c r="T371" s="289">
        <v>8.542417964653827</v>
      </c>
      <c r="U371" s="289">
        <v>1</v>
      </c>
      <c r="V371" s="289">
        <v>3</v>
      </c>
      <c r="W371" s="289">
        <v>3071</v>
      </c>
      <c r="X371" s="289">
        <v>428</v>
      </c>
      <c r="Y371" s="289">
        <v>35</v>
      </c>
      <c r="Z371" s="289">
        <v>0.8923900714510117</v>
      </c>
      <c r="AA371" s="289">
        <v>5</v>
      </c>
      <c r="AB371" s="289">
        <v>5</v>
      </c>
      <c r="AC371" s="289">
        <v>0.45030075255707247</v>
      </c>
      <c r="AD371" s="289">
        <v>299</v>
      </c>
      <c r="AE371" s="289">
        <v>29</v>
      </c>
      <c r="AF371" s="289">
        <v>13</v>
      </c>
      <c r="AG371" s="289">
        <v>0</v>
      </c>
      <c r="AH371" s="289">
        <v>341</v>
      </c>
      <c r="AI371" s="289">
        <v>1.0008841215513924</v>
      </c>
      <c r="AJ371" s="289">
        <v>3142</v>
      </c>
      <c r="AK371" s="289">
        <v>116</v>
      </c>
      <c r="AL371" s="289">
        <v>0.37699995579375056</v>
      </c>
      <c r="AM371" s="289">
        <v>0.889091971748608</v>
      </c>
      <c r="AN371" s="289">
        <v>0</v>
      </c>
      <c r="AO371" s="289">
        <v>0</v>
      </c>
      <c r="AP371" s="289">
        <f t="shared" si="4"/>
        <v>0</v>
      </c>
      <c r="AQ371" s="289">
        <v>511241.87484688405</v>
      </c>
      <c r="AR371" s="289">
        <v>2111139.217368424</v>
      </c>
      <c r="AS371" s="289">
        <v>1</v>
      </c>
      <c r="AT371" s="289">
        <v>6680</v>
      </c>
      <c r="AU371" s="289">
        <v>1</v>
      </c>
      <c r="AV371" s="289">
        <v>601</v>
      </c>
      <c r="AW371" s="289">
        <v>0.08997005988023953</v>
      </c>
      <c r="AX371" s="289">
        <v>0</v>
      </c>
      <c r="AY371" s="289">
        <v>781.31</v>
      </c>
      <c r="AZ371" s="289">
        <v>8.549743379708438</v>
      </c>
      <c r="BA371" s="289">
        <v>3298</v>
      </c>
      <c r="BB371" s="289">
        <v>0.4937125748502994</v>
      </c>
      <c r="BC371" s="289">
        <v>3</v>
      </c>
      <c r="BD371" s="289">
        <v>0</v>
      </c>
      <c r="BE371" s="289">
        <v>6686</v>
      </c>
      <c r="BF371" s="289">
        <v>6680</v>
      </c>
      <c r="BG371" s="289">
        <v>-0.0008973975471133712</v>
      </c>
      <c r="BH371" s="289">
        <v>0</v>
      </c>
      <c r="BI371" s="289">
        <v>0</v>
      </c>
      <c r="BJ371" s="289">
        <v>0</v>
      </c>
      <c r="BK371" s="289">
        <v>1339756.572846282</v>
      </c>
      <c r="BL371" s="289">
        <v>8042.82</v>
      </c>
      <c r="BM371" s="301">
        <v>2209</v>
      </c>
    </row>
    <row r="372" spans="6:65" s="289" customFormat="1" ht="12.75">
      <c r="F372" s="289">
        <v>976</v>
      </c>
      <c r="G372" s="289" t="s">
        <v>414</v>
      </c>
      <c r="H372" s="289">
        <v>210</v>
      </c>
      <c r="I372" s="289">
        <v>31</v>
      </c>
      <c r="J372" s="289">
        <v>227</v>
      </c>
      <c r="K372" s="289">
        <v>145</v>
      </c>
      <c r="L372" s="289">
        <v>2997</v>
      </c>
      <c r="M372" s="289">
        <v>640</v>
      </c>
      <c r="N372" s="289">
        <v>518</v>
      </c>
      <c r="O372" s="289">
        <v>191</v>
      </c>
      <c r="P372" s="289">
        <v>4556</v>
      </c>
      <c r="Q372" s="289">
        <v>0</v>
      </c>
      <c r="R372" s="289">
        <v>2</v>
      </c>
      <c r="S372" s="289">
        <v>2028.5500000000002</v>
      </c>
      <c r="T372" s="289">
        <v>2.245939217667792</v>
      </c>
      <c r="U372" s="289">
        <v>0</v>
      </c>
      <c r="V372" s="289">
        <v>0</v>
      </c>
      <c r="W372" s="289">
        <v>1558</v>
      </c>
      <c r="X372" s="289">
        <v>182</v>
      </c>
      <c r="Y372" s="289">
        <v>72</v>
      </c>
      <c r="Z372" s="289">
        <v>0.8795025383267191</v>
      </c>
      <c r="AA372" s="289">
        <v>7</v>
      </c>
      <c r="AB372" s="289">
        <v>7</v>
      </c>
      <c r="AC372" s="289">
        <v>0.924322352483262</v>
      </c>
      <c r="AD372" s="289">
        <v>358</v>
      </c>
      <c r="AE372" s="289">
        <v>22</v>
      </c>
      <c r="AF372" s="289">
        <v>3</v>
      </c>
      <c r="AG372" s="289">
        <v>4</v>
      </c>
      <c r="AH372" s="289">
        <v>387</v>
      </c>
      <c r="AI372" s="289">
        <v>1.6654558814967326</v>
      </c>
      <c r="AJ372" s="289">
        <v>1806</v>
      </c>
      <c r="AK372" s="289">
        <v>237</v>
      </c>
      <c r="AL372" s="289">
        <v>1.3400471850614786</v>
      </c>
      <c r="AM372" s="289">
        <v>1.5274021967022269</v>
      </c>
      <c r="AN372" s="289">
        <v>0.17</v>
      </c>
      <c r="AO372" s="289">
        <v>0</v>
      </c>
      <c r="AP372" s="289">
        <f t="shared" si="4"/>
        <v>0.17</v>
      </c>
      <c r="AQ372" s="289">
        <v>-68346.25052626431</v>
      </c>
      <c r="AR372" s="289">
        <v>3663618.86</v>
      </c>
      <c r="AS372" s="289">
        <v>1</v>
      </c>
      <c r="AT372" s="289">
        <v>4556</v>
      </c>
      <c r="AU372" s="289">
        <v>0</v>
      </c>
      <c r="AV372" s="289">
        <v>0</v>
      </c>
      <c r="AW372" s="289">
        <v>0</v>
      </c>
      <c r="AX372" s="289">
        <v>1.5247166666666665</v>
      </c>
      <c r="AY372" s="289">
        <v>2028.86</v>
      </c>
      <c r="AZ372" s="289">
        <v>2.2455960490127462</v>
      </c>
      <c r="BA372" s="289">
        <v>2092</v>
      </c>
      <c r="BB372" s="289">
        <v>0.4591747146619842</v>
      </c>
      <c r="BC372" s="289">
        <v>0</v>
      </c>
      <c r="BD372" s="289">
        <v>0</v>
      </c>
      <c r="BE372" s="289">
        <v>4807</v>
      </c>
      <c r="BF372" s="289">
        <v>4556</v>
      </c>
      <c r="BG372" s="289">
        <v>-0.052215519034741004</v>
      </c>
      <c r="BH372" s="289">
        <v>0</v>
      </c>
      <c r="BI372" s="289">
        <v>3</v>
      </c>
      <c r="BJ372" s="289">
        <v>0.0006584723441615452</v>
      </c>
      <c r="BK372" s="289">
        <v>940382.7487769783</v>
      </c>
      <c r="BL372" s="289">
        <v>8236.83</v>
      </c>
      <c r="BM372" s="301">
        <v>1206</v>
      </c>
    </row>
    <row r="373" spans="6:65" s="289" customFormat="1" ht="12.75">
      <c r="F373" s="289">
        <v>977</v>
      </c>
      <c r="G373" s="289" t="s">
        <v>415</v>
      </c>
      <c r="H373" s="289">
        <v>1479</v>
      </c>
      <c r="I373" s="289">
        <v>190</v>
      </c>
      <c r="J373" s="289">
        <v>1193</v>
      </c>
      <c r="K373" s="289">
        <v>538</v>
      </c>
      <c r="L373" s="289">
        <v>10757</v>
      </c>
      <c r="M373" s="289">
        <v>1239</v>
      </c>
      <c r="N373" s="289">
        <v>758</v>
      </c>
      <c r="O373" s="289">
        <v>300</v>
      </c>
      <c r="P373" s="289">
        <v>14533</v>
      </c>
      <c r="Q373" s="289">
        <v>5</v>
      </c>
      <c r="R373" s="289">
        <v>10</v>
      </c>
      <c r="S373" s="289">
        <v>568.57</v>
      </c>
      <c r="T373" s="289">
        <v>25.560616986474837</v>
      </c>
      <c r="U373" s="289">
        <v>0</v>
      </c>
      <c r="V373" s="289">
        <v>0</v>
      </c>
      <c r="W373" s="289">
        <v>6057</v>
      </c>
      <c r="X373" s="289">
        <v>227</v>
      </c>
      <c r="Y373" s="289">
        <v>75</v>
      </c>
      <c r="Z373" s="289">
        <v>0.9984233136903757</v>
      </c>
      <c r="AA373" s="289">
        <v>26</v>
      </c>
      <c r="AB373" s="289">
        <v>26</v>
      </c>
      <c r="AC373" s="289">
        <v>1.0762847960381523</v>
      </c>
      <c r="AD373" s="289">
        <v>665</v>
      </c>
      <c r="AE373" s="289">
        <v>131</v>
      </c>
      <c r="AF373" s="289">
        <v>44</v>
      </c>
      <c r="AG373" s="289">
        <v>3</v>
      </c>
      <c r="AH373" s="289">
        <v>843</v>
      </c>
      <c r="AI373" s="289">
        <v>1.1373082356293913</v>
      </c>
      <c r="AJ373" s="289">
        <v>6552</v>
      </c>
      <c r="AK373" s="289">
        <v>628</v>
      </c>
      <c r="AL373" s="289">
        <v>0.9787578217407814</v>
      </c>
      <c r="AM373" s="289">
        <v>1.2301418542973126</v>
      </c>
      <c r="AN373" s="289">
        <v>0</v>
      </c>
      <c r="AO373" s="289">
        <v>0</v>
      </c>
      <c r="AP373" s="289">
        <f t="shared" si="4"/>
        <v>0</v>
      </c>
      <c r="AQ373" s="289">
        <v>31894.618232842535</v>
      </c>
      <c r="AR373" s="289">
        <v>4591506.065833339</v>
      </c>
      <c r="AS373" s="289">
        <v>1</v>
      </c>
      <c r="AT373" s="289">
        <v>14533</v>
      </c>
      <c r="AU373" s="289">
        <v>0</v>
      </c>
      <c r="AV373" s="289">
        <v>0</v>
      </c>
      <c r="AW373" s="289">
        <v>0</v>
      </c>
      <c r="AX373" s="289">
        <v>0</v>
      </c>
      <c r="AY373" s="289">
        <v>568.57</v>
      </c>
      <c r="AZ373" s="289">
        <v>25.560616986474837</v>
      </c>
      <c r="BA373" s="289">
        <v>12329</v>
      </c>
      <c r="BB373" s="289">
        <v>0.8483451455308608</v>
      </c>
      <c r="BC373" s="289">
        <v>0</v>
      </c>
      <c r="BD373" s="289">
        <v>0</v>
      </c>
      <c r="BE373" s="289">
        <v>13895</v>
      </c>
      <c r="BF373" s="289">
        <v>14533</v>
      </c>
      <c r="BG373" s="289">
        <v>0.04591579704929831</v>
      </c>
      <c r="BH373" s="289">
        <v>0</v>
      </c>
      <c r="BI373" s="289">
        <v>1</v>
      </c>
      <c r="BJ373" s="289">
        <v>6.88089176357256E-05</v>
      </c>
      <c r="BK373" s="289">
        <v>2370337.7835669382</v>
      </c>
      <c r="BL373" s="289">
        <v>6252.92</v>
      </c>
      <c r="BM373" s="301">
        <v>5772</v>
      </c>
    </row>
    <row r="374" spans="6:65" s="289" customFormat="1" ht="12.75">
      <c r="F374" s="289">
        <v>980</v>
      </c>
      <c r="G374" s="289" t="s">
        <v>416</v>
      </c>
      <c r="H374" s="289">
        <v>3460</v>
      </c>
      <c r="I374" s="289">
        <v>491</v>
      </c>
      <c r="J374" s="289">
        <v>2802</v>
      </c>
      <c r="K374" s="289">
        <v>1260</v>
      </c>
      <c r="L374" s="289">
        <v>23327</v>
      </c>
      <c r="M374" s="289">
        <v>2840</v>
      </c>
      <c r="N374" s="289">
        <v>1455</v>
      </c>
      <c r="O374" s="289">
        <v>433</v>
      </c>
      <c r="P374" s="289">
        <v>31515</v>
      </c>
      <c r="Q374" s="289">
        <v>16</v>
      </c>
      <c r="R374" s="289">
        <v>66</v>
      </c>
      <c r="S374" s="289">
        <v>1115.46</v>
      </c>
      <c r="T374" s="289">
        <v>28.252918078640203</v>
      </c>
      <c r="U374" s="289">
        <v>0</v>
      </c>
      <c r="V374" s="289">
        <v>0</v>
      </c>
      <c r="W374" s="289">
        <v>13818</v>
      </c>
      <c r="X374" s="289">
        <v>283</v>
      </c>
      <c r="Y374" s="289">
        <v>201</v>
      </c>
      <c r="Z374" s="289">
        <v>1.0140099617853924</v>
      </c>
      <c r="AA374" s="289">
        <v>43</v>
      </c>
      <c r="AB374" s="289">
        <v>43</v>
      </c>
      <c r="AC374" s="289">
        <v>0.8208433327906932</v>
      </c>
      <c r="AD374" s="289">
        <v>909</v>
      </c>
      <c r="AE374" s="289">
        <v>273</v>
      </c>
      <c r="AF374" s="289">
        <v>40</v>
      </c>
      <c r="AG374" s="289">
        <v>19</v>
      </c>
      <c r="AH374" s="289">
        <v>1241</v>
      </c>
      <c r="AI374" s="289">
        <v>0.7720765340124734</v>
      </c>
      <c r="AJ374" s="289">
        <v>14906</v>
      </c>
      <c r="AK374" s="289">
        <v>1231</v>
      </c>
      <c r="AL374" s="289">
        <v>0.843308401048282</v>
      </c>
      <c r="AM374" s="289">
        <v>0.6896197682501599</v>
      </c>
      <c r="AN374" s="289">
        <v>0</v>
      </c>
      <c r="AO374" s="289">
        <v>0</v>
      </c>
      <c r="AP374" s="289">
        <f t="shared" si="4"/>
        <v>0</v>
      </c>
      <c r="AQ374" s="289">
        <v>-347209.93432351947</v>
      </c>
      <c r="AR374" s="289">
        <v>-835218.3653177154</v>
      </c>
      <c r="AS374" s="289">
        <v>1</v>
      </c>
      <c r="AT374" s="289">
        <v>31515</v>
      </c>
      <c r="AU374" s="289">
        <v>0</v>
      </c>
      <c r="AV374" s="289">
        <v>0</v>
      </c>
      <c r="AW374" s="289">
        <v>0</v>
      </c>
      <c r="AX374" s="289">
        <v>0</v>
      </c>
      <c r="AY374" s="289">
        <v>1115.46</v>
      </c>
      <c r="AZ374" s="289">
        <v>28.252918078640203</v>
      </c>
      <c r="BA374" s="289">
        <v>26997</v>
      </c>
      <c r="BB374" s="289">
        <v>0.8566396953831509</v>
      </c>
      <c r="BC374" s="289">
        <v>0</v>
      </c>
      <c r="BD374" s="289">
        <v>0</v>
      </c>
      <c r="BE374" s="289">
        <v>30175</v>
      </c>
      <c r="BF374" s="289">
        <v>31515</v>
      </c>
      <c r="BG374" s="289">
        <v>0.0444076222038111</v>
      </c>
      <c r="BH374" s="289">
        <v>0</v>
      </c>
      <c r="BI374" s="289">
        <v>0</v>
      </c>
      <c r="BJ374" s="289">
        <v>0</v>
      </c>
      <c r="BK374" s="289">
        <v>3914505.2503229273</v>
      </c>
      <c r="BL374" s="289">
        <v>6196.27</v>
      </c>
      <c r="BM374" s="301">
        <v>11145</v>
      </c>
    </row>
    <row r="375" spans="6:65" s="289" customFormat="1" ht="12.75">
      <c r="F375" s="289">
        <v>981</v>
      </c>
      <c r="G375" s="289" t="s">
        <v>417</v>
      </c>
      <c r="H375" s="289">
        <v>159</v>
      </c>
      <c r="I375" s="289">
        <v>33</v>
      </c>
      <c r="J375" s="289">
        <v>152</v>
      </c>
      <c r="K375" s="289">
        <v>84</v>
      </c>
      <c r="L375" s="289">
        <v>1801</v>
      </c>
      <c r="M375" s="289">
        <v>274</v>
      </c>
      <c r="N375" s="289">
        <v>182</v>
      </c>
      <c r="O375" s="289">
        <v>93</v>
      </c>
      <c r="P375" s="289">
        <v>2509</v>
      </c>
      <c r="Q375" s="289">
        <v>3</v>
      </c>
      <c r="R375" s="289">
        <v>4</v>
      </c>
      <c r="S375" s="289">
        <v>182.75</v>
      </c>
      <c r="T375" s="289">
        <v>13.729138166894664</v>
      </c>
      <c r="U375" s="289">
        <v>0</v>
      </c>
      <c r="V375" s="289">
        <v>0</v>
      </c>
      <c r="W375" s="289">
        <v>1108</v>
      </c>
      <c r="X375" s="289">
        <v>159</v>
      </c>
      <c r="Y375" s="289">
        <v>15</v>
      </c>
      <c r="Z375" s="289">
        <v>0.8857967346390228</v>
      </c>
      <c r="AA375" s="289">
        <v>4</v>
      </c>
      <c r="AB375" s="289">
        <v>2</v>
      </c>
      <c r="AC375" s="289">
        <v>0.47955504616679856</v>
      </c>
      <c r="AD375" s="289">
        <v>131</v>
      </c>
      <c r="AE375" s="289">
        <v>9</v>
      </c>
      <c r="AF375" s="289">
        <v>3</v>
      </c>
      <c r="AG375" s="289">
        <v>0</v>
      </c>
      <c r="AH375" s="289">
        <v>143</v>
      </c>
      <c r="AI375" s="289">
        <v>1.1174838595960725</v>
      </c>
      <c r="AJ375" s="289">
        <v>1213</v>
      </c>
      <c r="AK375" s="289">
        <v>113</v>
      </c>
      <c r="AL375" s="289">
        <v>0.9512772998319069</v>
      </c>
      <c r="AM375" s="289">
        <v>0.9008487394974197</v>
      </c>
      <c r="AN375" s="289">
        <v>0</v>
      </c>
      <c r="AO375" s="289">
        <v>0</v>
      </c>
      <c r="AP375" s="289">
        <f t="shared" si="4"/>
        <v>0</v>
      </c>
      <c r="AQ375" s="289">
        <v>26663.14650002122</v>
      </c>
      <c r="AR375" s="289">
        <v>1442088.0780246917</v>
      </c>
      <c r="AS375" s="289">
        <v>1</v>
      </c>
      <c r="AT375" s="289">
        <v>2509</v>
      </c>
      <c r="AU375" s="289">
        <v>0</v>
      </c>
      <c r="AV375" s="289">
        <v>0</v>
      </c>
      <c r="AW375" s="289">
        <v>0</v>
      </c>
      <c r="AX375" s="289">
        <v>0</v>
      </c>
      <c r="AY375" s="289">
        <v>182.75</v>
      </c>
      <c r="AZ375" s="289">
        <v>13.729138166894664</v>
      </c>
      <c r="BA375" s="289">
        <v>985</v>
      </c>
      <c r="BB375" s="289">
        <v>0.3925866879234755</v>
      </c>
      <c r="BC375" s="289">
        <v>0</v>
      </c>
      <c r="BD375" s="289">
        <v>0</v>
      </c>
      <c r="BE375" s="289">
        <v>2584</v>
      </c>
      <c r="BF375" s="289">
        <v>2509</v>
      </c>
      <c r="BG375" s="289">
        <v>-0.029024767801857584</v>
      </c>
      <c r="BH375" s="289">
        <v>0</v>
      </c>
      <c r="BI375" s="289">
        <v>0</v>
      </c>
      <c r="BJ375" s="289">
        <v>0</v>
      </c>
      <c r="BK375" s="289">
        <v>564685.3451365898</v>
      </c>
      <c r="BL375" s="289">
        <v>6701.52</v>
      </c>
      <c r="BM375" s="301">
        <v>752</v>
      </c>
    </row>
    <row r="376" spans="6:65" s="289" customFormat="1" ht="12.75">
      <c r="F376" s="289">
        <v>989</v>
      </c>
      <c r="G376" s="289" t="s">
        <v>418</v>
      </c>
      <c r="H376" s="289">
        <v>424</v>
      </c>
      <c r="I376" s="289">
        <v>61</v>
      </c>
      <c r="J376" s="289">
        <v>388</v>
      </c>
      <c r="K376" s="289">
        <v>210</v>
      </c>
      <c r="L376" s="289">
        <v>4372</v>
      </c>
      <c r="M376" s="289">
        <v>811</v>
      </c>
      <c r="N376" s="289">
        <v>531</v>
      </c>
      <c r="O376" s="289">
        <v>225</v>
      </c>
      <c r="P376" s="289">
        <v>6363</v>
      </c>
      <c r="Q376" s="289">
        <v>0</v>
      </c>
      <c r="R376" s="289">
        <v>12</v>
      </c>
      <c r="S376" s="289">
        <v>804.94</v>
      </c>
      <c r="T376" s="289">
        <v>7.904937013938927</v>
      </c>
      <c r="U376" s="289">
        <v>0</v>
      </c>
      <c r="V376" s="289">
        <v>0</v>
      </c>
      <c r="W376" s="289">
        <v>2475</v>
      </c>
      <c r="X376" s="289">
        <v>232</v>
      </c>
      <c r="Y376" s="289">
        <v>29</v>
      </c>
      <c r="Z376" s="289">
        <v>0.9400032873937674</v>
      </c>
      <c r="AA376" s="289">
        <v>10</v>
      </c>
      <c r="AB376" s="289">
        <v>10</v>
      </c>
      <c r="AC376" s="289">
        <v>0.9454688125353589</v>
      </c>
      <c r="AD376" s="289">
        <v>376</v>
      </c>
      <c r="AE376" s="289">
        <v>37</v>
      </c>
      <c r="AF376" s="289">
        <v>15</v>
      </c>
      <c r="AG376" s="289">
        <v>3</v>
      </c>
      <c r="AH376" s="289">
        <v>431</v>
      </c>
      <c r="AI376" s="289">
        <v>1.328070805548842</v>
      </c>
      <c r="AJ376" s="289">
        <v>2791</v>
      </c>
      <c r="AK376" s="289">
        <v>282</v>
      </c>
      <c r="AL376" s="289">
        <v>1.0317601799852911</v>
      </c>
      <c r="AM376" s="289">
        <v>1.2273204327377794</v>
      </c>
      <c r="AN376" s="289">
        <v>0</v>
      </c>
      <c r="AO376" s="289">
        <v>0</v>
      </c>
      <c r="AP376" s="289">
        <f t="shared" si="4"/>
        <v>0</v>
      </c>
      <c r="AQ376" s="289">
        <v>96496.76393330097</v>
      </c>
      <c r="AR376" s="289">
        <v>3560727.6410843385</v>
      </c>
      <c r="AS376" s="289">
        <v>1</v>
      </c>
      <c r="AT376" s="289">
        <v>6363</v>
      </c>
      <c r="AU376" s="289">
        <v>0</v>
      </c>
      <c r="AV376" s="289">
        <v>0</v>
      </c>
      <c r="AW376" s="289">
        <v>0</v>
      </c>
      <c r="AX376" s="289">
        <v>0.13835</v>
      </c>
      <c r="AY376" s="289">
        <v>804.96</v>
      </c>
      <c r="AZ376" s="289">
        <v>7.90474060822898</v>
      </c>
      <c r="BA376" s="289">
        <v>3916</v>
      </c>
      <c r="BB376" s="289">
        <v>0.6154329718686155</v>
      </c>
      <c r="BC376" s="289">
        <v>0</v>
      </c>
      <c r="BD376" s="289">
        <v>0</v>
      </c>
      <c r="BE376" s="289">
        <v>6565</v>
      </c>
      <c r="BF376" s="289">
        <v>6363</v>
      </c>
      <c r="BG376" s="289">
        <v>-0.03076923076923077</v>
      </c>
      <c r="BH376" s="289">
        <v>0</v>
      </c>
      <c r="BI376" s="289">
        <v>0</v>
      </c>
      <c r="BJ376" s="289">
        <v>0</v>
      </c>
      <c r="BK376" s="289">
        <v>1398755.3569196917</v>
      </c>
      <c r="BL376" s="289">
        <v>7077.1</v>
      </c>
      <c r="BM376" s="301">
        <v>1906</v>
      </c>
    </row>
    <row r="377" spans="6:65" s="289" customFormat="1" ht="12.75">
      <c r="F377" s="289">
        <v>992</v>
      </c>
      <c r="G377" s="289" t="s">
        <v>419</v>
      </c>
      <c r="H377" s="289">
        <v>1629</v>
      </c>
      <c r="I377" s="289">
        <v>238</v>
      </c>
      <c r="J377" s="289">
        <v>1427</v>
      </c>
      <c r="K377" s="289">
        <v>727</v>
      </c>
      <c r="L377" s="289">
        <v>14288</v>
      </c>
      <c r="M377" s="289">
        <v>2427</v>
      </c>
      <c r="N377" s="289">
        <v>1471</v>
      </c>
      <c r="O377" s="289">
        <v>450</v>
      </c>
      <c r="P377" s="289">
        <v>20265</v>
      </c>
      <c r="Q377" s="289">
        <v>0</v>
      </c>
      <c r="R377" s="289">
        <v>22</v>
      </c>
      <c r="S377" s="289">
        <v>884.4800000000001</v>
      </c>
      <c r="T377" s="289">
        <v>22.911767366136033</v>
      </c>
      <c r="U377" s="289">
        <v>0</v>
      </c>
      <c r="V377" s="289">
        <v>0</v>
      </c>
      <c r="W377" s="289">
        <v>7679</v>
      </c>
      <c r="X377" s="289">
        <v>239</v>
      </c>
      <c r="Y377" s="289">
        <v>80</v>
      </c>
      <c r="Z377" s="289">
        <v>1.0071637957204504</v>
      </c>
      <c r="AA377" s="289">
        <v>42</v>
      </c>
      <c r="AB377" s="289">
        <v>42</v>
      </c>
      <c r="AC377" s="289">
        <v>1.2468431200336763</v>
      </c>
      <c r="AD377" s="289">
        <v>1054</v>
      </c>
      <c r="AE377" s="289">
        <v>149</v>
      </c>
      <c r="AF377" s="289">
        <v>44</v>
      </c>
      <c r="AG377" s="289">
        <v>4</v>
      </c>
      <c r="AH377" s="289">
        <v>1251</v>
      </c>
      <c r="AI377" s="289">
        <v>1.2103656349391227</v>
      </c>
      <c r="AJ377" s="289">
        <v>9057</v>
      </c>
      <c r="AK377" s="289">
        <v>1416</v>
      </c>
      <c r="AL377" s="289">
        <v>1.5964979910025903</v>
      </c>
      <c r="AM377" s="289">
        <v>1.2212911511219797</v>
      </c>
      <c r="AN377" s="289">
        <v>0</v>
      </c>
      <c r="AO377" s="289">
        <v>0</v>
      </c>
      <c r="AP377" s="289">
        <f t="shared" si="4"/>
        <v>0</v>
      </c>
      <c r="AQ377" s="289">
        <v>18012.54996163398</v>
      </c>
      <c r="AR377" s="289">
        <v>4346213.0566666685</v>
      </c>
      <c r="AS377" s="289">
        <v>1</v>
      </c>
      <c r="AT377" s="289">
        <v>20265</v>
      </c>
      <c r="AU377" s="289">
        <v>0</v>
      </c>
      <c r="AV377" s="289">
        <v>0</v>
      </c>
      <c r="AW377" s="289">
        <v>0</v>
      </c>
      <c r="AX377" s="289">
        <v>0</v>
      </c>
      <c r="AY377" s="289">
        <v>884.54</v>
      </c>
      <c r="AZ377" s="289">
        <v>22.910213218169897</v>
      </c>
      <c r="BA377" s="289">
        <v>15266</v>
      </c>
      <c r="BB377" s="289">
        <v>0.7533185294843326</v>
      </c>
      <c r="BC377" s="289">
        <v>0</v>
      </c>
      <c r="BD377" s="289">
        <v>0</v>
      </c>
      <c r="BE377" s="289">
        <v>20243</v>
      </c>
      <c r="BF377" s="289">
        <v>20265</v>
      </c>
      <c r="BG377" s="289">
        <v>0.001086795435459171</v>
      </c>
      <c r="BH377" s="289">
        <v>0</v>
      </c>
      <c r="BI377" s="289">
        <v>9</v>
      </c>
      <c r="BJ377" s="289">
        <v>0.00044411547002220575</v>
      </c>
      <c r="BK377" s="289">
        <v>3822873.194171071</v>
      </c>
      <c r="BL377" s="289">
        <v>6333.42</v>
      </c>
      <c r="BM377" s="301">
        <v>6461</v>
      </c>
    </row>
    <row r="378" ht="12.75">
      <c r="BM378" s="289"/>
    </row>
    <row r="379" ht="12.75">
      <c r="BM379" s="289"/>
    </row>
    <row r="380" ht="12.75">
      <c r="BM380" s="289"/>
    </row>
    <row r="381" ht="12.75">
      <c r="BM381" s="289"/>
    </row>
    <row r="382" ht="12.75">
      <c r="BM382" s="289"/>
    </row>
    <row r="383" ht="12.75">
      <c r="BM383" s="289"/>
    </row>
    <row r="384" ht="12.75">
      <c r="BM384" s="289"/>
    </row>
    <row r="385" ht="12.75">
      <c r="BM385" s="289"/>
    </row>
    <row r="386" ht="12.75">
      <c r="BM386" s="289"/>
    </row>
    <row r="387" ht="12.75">
      <c r="BM387" s="289"/>
    </row>
    <row r="388" ht="12.75">
      <c r="BM388" s="289"/>
    </row>
    <row r="389" ht="12.75">
      <c r="BM389" s="289"/>
    </row>
    <row r="390" ht="12.75">
      <c r="BM390" s="289"/>
    </row>
    <row r="391" ht="12.75">
      <c r="BM391" s="289"/>
    </row>
    <row r="392" ht="12.75">
      <c r="BM392" s="289"/>
    </row>
    <row r="393" ht="12.75">
      <c r="BM393" s="289"/>
    </row>
    <row r="394" ht="12.75">
      <c r="BM394" s="289"/>
    </row>
    <row r="395" ht="12.75">
      <c r="BM395" s="289"/>
    </row>
    <row r="396" ht="12.75">
      <c r="BM396" s="289"/>
    </row>
    <row r="397" ht="12.75">
      <c r="BM397" s="289"/>
    </row>
    <row r="398" ht="12.75">
      <c r="BM398" s="289"/>
    </row>
    <row r="399" ht="12.75">
      <c r="BM399" s="289"/>
    </row>
    <row r="400" ht="12.75">
      <c r="BM400" s="289"/>
    </row>
    <row r="401" ht="12.75">
      <c r="BM401" s="289"/>
    </row>
    <row r="402" ht="12.75">
      <c r="BM402" s="289"/>
    </row>
    <row r="403" ht="12.75">
      <c r="BM403" s="289"/>
    </row>
    <row r="404" ht="12.75">
      <c r="BM404" s="289"/>
    </row>
    <row r="405" ht="12.75">
      <c r="BM405" s="289"/>
    </row>
    <row r="406" ht="12.75">
      <c r="BM406" s="289"/>
    </row>
    <row r="407" ht="12.75">
      <c r="BM407" s="289"/>
    </row>
    <row r="408" ht="12.75">
      <c r="BM408" s="289"/>
    </row>
    <row r="409" ht="12.75">
      <c r="BM409" s="289"/>
    </row>
  </sheetData>
  <sheetProtection sheet="1"/>
  <protectedRanges>
    <protectedRange sqref="G12:H12" name="Alue1"/>
    <protectedRange sqref="J32" name="Alue2"/>
    <protectedRange sqref="L36" name="Alue3"/>
    <protectedRange sqref="L42" name="Alue4"/>
  </protectedRanges>
  <mergeCells count="2">
    <mergeCell ref="B3:M3"/>
    <mergeCell ref="G12:H12"/>
  </mergeCells>
  <dataValidations count="1">
    <dataValidation type="list" allowBlank="1" showInputMessage="1" showErrorMessage="1" sqref="G12">
      <formula1>kuntanimi</formula1>
    </dataValidation>
  </dataValidations>
  <printOptions/>
  <pageMargins left="0.25" right="0.25" top="0.75" bottom="0.75" header="0.3" footer="0.3"/>
  <pageSetup fitToHeight="1" fitToWidth="1" horizontalDpi="600" verticalDpi="600" orientation="portrait" paperSize="9" scale="14"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I55"/>
  <sheetViews>
    <sheetView zoomScalePageLayoutView="0" workbookViewId="0" topLeftCell="A1">
      <selection activeCell="M56" sqref="M56"/>
    </sheetView>
  </sheetViews>
  <sheetFormatPr defaultColWidth="9.140625" defaultRowHeight="12.75"/>
  <cols>
    <col min="1" max="4" width="2.140625" style="5" customWidth="1"/>
    <col min="5" max="5" width="16.00390625" style="5" customWidth="1"/>
    <col min="6" max="7" width="17.00390625" style="5" customWidth="1"/>
    <col min="8" max="8" width="15.57421875" style="5" customWidth="1"/>
    <col min="9" max="9" width="19.28125" style="5" customWidth="1"/>
    <col min="10" max="13" width="9.140625" style="5" customWidth="1"/>
    <col min="14" max="14" width="15.57421875" style="5" bestFit="1" customWidth="1"/>
    <col min="15" max="16384" width="9.140625" style="5" customWidth="1"/>
  </cols>
  <sheetData>
    <row r="1" spans="1:9" ht="12.75">
      <c r="A1" s="108" t="str">
        <f>'2.Yhteenveto'!A1</f>
        <v>12.1.2014, Kuntaliitto / SL</v>
      </c>
      <c r="E1" s="126"/>
      <c r="F1" s="34"/>
      <c r="G1" s="34"/>
      <c r="H1" s="34"/>
      <c r="I1" s="34"/>
    </row>
    <row r="2" spans="5:9" ht="12.75">
      <c r="E2" s="126"/>
      <c r="F2" s="34"/>
      <c r="G2" s="34"/>
      <c r="H2" s="81"/>
      <c r="I2" s="81"/>
    </row>
    <row r="3" spans="1:9" ht="18">
      <c r="A3" s="303" t="s">
        <v>558</v>
      </c>
      <c r="B3" s="304"/>
      <c r="C3" s="304"/>
      <c r="D3" s="304"/>
      <c r="E3" s="304"/>
      <c r="F3" s="304"/>
      <c r="G3" s="304"/>
      <c r="H3" s="304"/>
      <c r="I3" s="305"/>
    </row>
    <row r="4" spans="1:9" ht="12.75">
      <c r="A4" s="34"/>
      <c r="B4" s="34"/>
      <c r="C4" s="34"/>
      <c r="D4" s="34"/>
      <c r="E4" s="34"/>
      <c r="F4" s="32"/>
      <c r="G4" s="34"/>
      <c r="H4" s="34"/>
      <c r="I4" s="34"/>
    </row>
    <row r="5" spans="1:9" ht="12.75">
      <c r="A5" s="34"/>
      <c r="B5" s="76" t="s">
        <v>67</v>
      </c>
      <c r="C5" s="34"/>
      <c r="D5" s="34"/>
      <c r="E5" s="48"/>
      <c r="F5" s="77" t="s">
        <v>564</v>
      </c>
      <c r="H5" s="88"/>
      <c r="I5" s="88"/>
    </row>
    <row r="6" spans="1:9" ht="12.75">
      <c r="A6" s="34"/>
      <c r="B6" s="34"/>
      <c r="C6" s="34"/>
      <c r="D6" s="34"/>
      <c r="E6" s="138"/>
      <c r="F6" s="77" t="s">
        <v>563</v>
      </c>
      <c r="H6" s="88"/>
      <c r="I6" s="88"/>
    </row>
    <row r="7" spans="1:9" ht="12.75">
      <c r="A7" s="34"/>
      <c r="B7" s="34"/>
      <c r="C7" s="34"/>
      <c r="D7" s="34"/>
      <c r="E7" s="34"/>
      <c r="F7" s="32"/>
      <c r="G7" s="34"/>
      <c r="H7" s="34"/>
      <c r="I7" s="34"/>
    </row>
    <row r="8" spans="2:9" ht="12.75">
      <c r="B8" s="113" t="s">
        <v>1</v>
      </c>
      <c r="F8" s="11" t="str">
        <f>'2.Yhteenveto'!G12</f>
        <v>Kangasala</v>
      </c>
      <c r="G8" s="118"/>
      <c r="H8" s="34"/>
      <c r="I8" s="34"/>
    </row>
    <row r="9" spans="2:9" ht="12.75">
      <c r="B9" s="113" t="s">
        <v>634</v>
      </c>
      <c r="F9" s="221">
        <f>'2.Yhteenveto'!$H$13</f>
        <v>30126</v>
      </c>
      <c r="G9" s="118"/>
      <c r="H9" s="34"/>
      <c r="I9" s="34"/>
    </row>
    <row r="10" spans="5:9" ht="12.75">
      <c r="E10" s="32"/>
      <c r="F10" s="34"/>
      <c r="G10" s="34"/>
      <c r="H10" s="34"/>
      <c r="I10" s="220" t="s">
        <v>3</v>
      </c>
    </row>
    <row r="11" spans="2:9" ht="12.75">
      <c r="B11" s="32" t="s">
        <v>444</v>
      </c>
      <c r="F11" s="34"/>
      <c r="G11" s="34"/>
      <c r="H11" s="34"/>
      <c r="I11" s="220" t="s">
        <v>440</v>
      </c>
    </row>
    <row r="12" spans="3:9" ht="18" customHeight="1">
      <c r="C12" s="32" t="s">
        <v>443</v>
      </c>
      <c r="D12" s="32"/>
      <c r="F12" s="147" t="s">
        <v>12</v>
      </c>
      <c r="G12" s="147" t="s">
        <v>456</v>
      </c>
      <c r="H12" s="147" t="s">
        <v>13</v>
      </c>
      <c r="I12" s="136"/>
    </row>
    <row r="13" spans="5:9" ht="12.75">
      <c r="E13" s="34" t="s">
        <v>451</v>
      </c>
      <c r="F13" s="48">
        <f>INDEX(ika06v.,MATCH($F$8,kuntanimi,0),1,1)</f>
        <v>2951</v>
      </c>
      <c r="G13" s="131">
        <v>7316.69</v>
      </c>
      <c r="H13" s="215">
        <f>INDEX(phkerroin,MATCH($F$8,kuntanimi,0),1,1)</f>
        <v>1.0047745452569183</v>
      </c>
      <c r="I13" s="116">
        <f>F13*G13*H13</f>
        <v>21694642.033098266</v>
      </c>
    </row>
    <row r="14" spans="5:9" ht="12.75">
      <c r="E14" s="34" t="s">
        <v>454</v>
      </c>
      <c r="F14" s="48">
        <f>INDEX(ika764v,MATCH($F$8,kuntanimi,0),1,1)</f>
        <v>22036</v>
      </c>
      <c r="G14" s="131">
        <v>342.09</v>
      </c>
      <c r="H14" s="114"/>
      <c r="I14" s="116">
        <f>F14*G14</f>
        <v>7538295.239999999</v>
      </c>
    </row>
    <row r="15" spans="5:9" ht="12.75">
      <c r="E15" s="34" t="s">
        <v>452</v>
      </c>
      <c r="F15" s="48">
        <f>INDEX(ika6574v,MATCH($F$8,kuntanimi,0),1,1)</f>
        <v>3020</v>
      </c>
      <c r="G15" s="131">
        <v>1016.79</v>
      </c>
      <c r="H15" s="114"/>
      <c r="I15" s="116">
        <f>F15*G15</f>
        <v>3070705.8</v>
      </c>
    </row>
    <row r="16" spans="5:9" ht="12.75">
      <c r="E16" s="34" t="s">
        <v>453</v>
      </c>
      <c r="F16" s="48">
        <f>INDEX(ika7584v,MATCH($F$8,kuntanimi,0),1,1)</f>
        <v>1589</v>
      </c>
      <c r="G16" s="131">
        <v>6074.12</v>
      </c>
      <c r="H16" s="114"/>
      <c r="I16" s="116">
        <f>F16*G16</f>
        <v>9651776.68</v>
      </c>
    </row>
    <row r="17" spans="3:9" ht="13.5" thickBot="1">
      <c r="C17" s="252"/>
      <c r="D17" s="252"/>
      <c r="E17" s="151" t="s">
        <v>455</v>
      </c>
      <c r="F17" s="253">
        <f>INDEX(ika85v,MATCH($F$8,kuntanimi,0),1,1)</f>
        <v>530</v>
      </c>
      <c r="G17" s="254">
        <v>16670.53</v>
      </c>
      <c r="H17" s="255"/>
      <c r="I17" s="256">
        <f>F17*G17</f>
        <v>8835380.899999999</v>
      </c>
    </row>
    <row r="18" spans="3:9" ht="13.5" thickTop="1">
      <c r="C18" s="19" t="s">
        <v>430</v>
      </c>
      <c r="D18" s="19"/>
      <c r="F18" s="17">
        <f>SUM(F13:F17)</f>
        <v>30126</v>
      </c>
      <c r="G18" s="115"/>
      <c r="H18" s="115"/>
      <c r="I18" s="27">
        <f>SUM(I13:I17)</f>
        <v>50790800.65309826</v>
      </c>
    </row>
    <row r="19" spans="5:9" ht="12.75">
      <c r="E19" s="34"/>
      <c r="F19" s="116"/>
      <c r="G19" s="114"/>
      <c r="H19" s="114"/>
      <c r="I19" s="116"/>
    </row>
    <row r="20" spans="3:9" ht="12.75">
      <c r="C20" s="32" t="s">
        <v>561</v>
      </c>
      <c r="D20" s="32"/>
      <c r="F20" s="116"/>
      <c r="G20" s="147" t="s">
        <v>456</v>
      </c>
      <c r="H20" s="147" t="s">
        <v>13</v>
      </c>
      <c r="I20" s="116"/>
    </row>
    <row r="21" spans="5:9" ht="12.75">
      <c r="E21" s="32"/>
      <c r="F21" s="116"/>
      <c r="G21" s="131">
        <v>49.72</v>
      </c>
      <c r="H21" s="215">
        <f>INDEX(lskerroin,MATCH($F$8,kuntanimi,0),1,1)</f>
        <v>0.5591466026573381</v>
      </c>
      <c r="I21" s="19">
        <f>F9*G21*H21</f>
        <v>837525.9694282849</v>
      </c>
    </row>
    <row r="22" spans="3:9" ht="12.75">
      <c r="C22" s="32" t="s">
        <v>431</v>
      </c>
      <c r="D22" s="32"/>
      <c r="F22" s="116"/>
      <c r="G22" s="147" t="s">
        <v>456</v>
      </c>
      <c r="H22" s="147" t="s">
        <v>13</v>
      </c>
      <c r="I22" s="116"/>
    </row>
    <row r="23" spans="5:9" ht="12.75">
      <c r="E23" s="32"/>
      <c r="F23" s="116"/>
      <c r="G23" s="131">
        <v>17.59</v>
      </c>
      <c r="H23" s="215">
        <f>INDEX(Vammaiskerroin,MATCH($F$8,kuntanimi,0),1,1)</f>
        <v>1.0016200997152644</v>
      </c>
      <c r="I23" s="19">
        <f>F9*G23*H23</f>
        <v>530774.857311548</v>
      </c>
    </row>
    <row r="24" spans="3:9" ht="12.75">
      <c r="C24" s="32" t="s">
        <v>432</v>
      </c>
      <c r="D24" s="32"/>
      <c r="F24" s="116"/>
      <c r="G24" s="114"/>
      <c r="H24" s="114"/>
      <c r="I24" s="116"/>
    </row>
    <row r="25" spans="4:9" ht="12.75">
      <c r="D25" s="118" t="s">
        <v>433</v>
      </c>
      <c r="F25" s="148" t="s">
        <v>12</v>
      </c>
      <c r="G25" s="149" t="s">
        <v>456</v>
      </c>
      <c r="H25" s="119"/>
      <c r="I25" s="216"/>
    </row>
    <row r="26" spans="4:9" ht="12.75">
      <c r="D26" s="34"/>
      <c r="F26" s="48">
        <f>INDEX(tyottomat,MATCH($F$8,kuntanimi,0),1,1)</f>
        <v>1165</v>
      </c>
      <c r="G26" s="131">
        <v>647.07</v>
      </c>
      <c r="H26" s="114"/>
      <c r="I26" s="116">
        <f>F26*G26</f>
        <v>753836.55</v>
      </c>
    </row>
    <row r="27" spans="4:9" ht="12.75">
      <c r="D27" s="118" t="s">
        <v>434</v>
      </c>
      <c r="F27" s="99"/>
      <c r="G27" s="129"/>
      <c r="H27" s="114"/>
      <c r="I27" s="116"/>
    </row>
    <row r="28" spans="5:9" ht="12.75">
      <c r="E28" s="132">
        <f>SUM(tyottomat)/SUM(tyovoima)*100</f>
        <v>9.792881724114674</v>
      </c>
      <c r="F28" s="99" t="s">
        <v>103</v>
      </c>
      <c r="G28" s="149" t="s">
        <v>456</v>
      </c>
      <c r="H28" s="218" t="s">
        <v>13</v>
      </c>
      <c r="I28" s="116"/>
    </row>
    <row r="29" spans="5:9" ht="12.75">
      <c r="E29" s="127">
        <f>INDEX(tyottomat,MATCH($F$8,kuntanimi,0),1,1)/INDEX(tyovoima,MATCH($F$8,kuntanimi,0),1,1)*100</f>
        <v>8.001923209011608</v>
      </c>
      <c r="F29" s="100" t="s">
        <v>104</v>
      </c>
      <c r="G29" s="131">
        <v>59.01</v>
      </c>
      <c r="H29" s="215">
        <f>INDEX(tyottomyyskerroin,MATCH($F$8,kuntanimi,0),1,1)</f>
        <v>0.8171162926748228</v>
      </c>
      <c r="I29" s="116">
        <f>H29*G29*F9</f>
        <v>1452616.4450085121</v>
      </c>
    </row>
    <row r="30" spans="3:9" ht="12.75">
      <c r="C30" s="32" t="s">
        <v>435</v>
      </c>
      <c r="D30" s="32"/>
      <c r="F30" s="19"/>
      <c r="G30" s="117"/>
      <c r="H30" s="117"/>
      <c r="I30" s="19">
        <f>SUM(I26:I29)</f>
        <v>2206452.9950085124</v>
      </c>
    </row>
    <row r="31" spans="5:9" ht="12.75">
      <c r="E31" s="34"/>
      <c r="F31" s="116"/>
      <c r="G31" s="114"/>
      <c r="H31" s="114"/>
      <c r="I31" s="116"/>
    </row>
    <row r="32" spans="2:9" ht="12.75">
      <c r="B32" s="75" t="s">
        <v>446</v>
      </c>
      <c r="C32" s="139"/>
      <c r="D32" s="139"/>
      <c r="E32" s="140"/>
      <c r="F32" s="141"/>
      <c r="G32" s="142"/>
      <c r="H32" s="142"/>
      <c r="I32" s="217">
        <f>I18+I21+I23+I30</f>
        <v>54365554.47484661</v>
      </c>
    </row>
    <row r="33" spans="5:9" ht="12.75">
      <c r="E33" s="34"/>
      <c r="F33" s="116"/>
      <c r="G33" s="114"/>
      <c r="H33" s="114"/>
      <c r="I33" s="114"/>
    </row>
    <row r="34" spans="2:9" ht="12.75">
      <c r="B34" s="1" t="s">
        <v>445</v>
      </c>
      <c r="E34" s="32"/>
      <c r="F34" s="116"/>
      <c r="G34" s="114"/>
      <c r="H34" s="120"/>
      <c r="I34" s="114"/>
    </row>
    <row r="35" spans="3:9" ht="12.75">
      <c r="C35" s="1" t="s">
        <v>443</v>
      </c>
      <c r="D35" s="1"/>
      <c r="E35" s="32"/>
      <c r="F35" s="116"/>
      <c r="G35" s="114"/>
      <c r="H35" s="120"/>
      <c r="I35" s="114"/>
    </row>
    <row r="36" spans="5:9" ht="12.75">
      <c r="E36" s="118"/>
      <c r="F36" s="147" t="s">
        <v>12</v>
      </c>
      <c r="G36" s="147" t="s">
        <v>456</v>
      </c>
      <c r="H36" s="119"/>
      <c r="I36" s="119"/>
    </row>
    <row r="37" spans="5:9" ht="12.75">
      <c r="E37" s="34" t="s">
        <v>451</v>
      </c>
      <c r="F37" s="99">
        <f>F13</f>
        <v>2951</v>
      </c>
      <c r="G37" s="131">
        <v>940.05</v>
      </c>
      <c r="H37" s="114"/>
      <c r="I37" s="116">
        <f>F37*G37</f>
        <v>2774087.55</v>
      </c>
    </row>
    <row r="38" spans="5:9" ht="12.75">
      <c r="E38" s="34" t="s">
        <v>454</v>
      </c>
      <c r="F38" s="116">
        <f>F14</f>
        <v>22036</v>
      </c>
      <c r="G38" s="131">
        <v>1018.36</v>
      </c>
      <c r="H38" s="114"/>
      <c r="I38" s="116">
        <f>F38*G38</f>
        <v>22440580.96</v>
      </c>
    </row>
    <row r="39" spans="5:9" ht="12.75">
      <c r="E39" s="34" t="s">
        <v>452</v>
      </c>
      <c r="F39" s="116">
        <f>F15</f>
        <v>3020</v>
      </c>
      <c r="G39" s="131">
        <v>2398.41</v>
      </c>
      <c r="H39" s="34"/>
      <c r="I39" s="116">
        <f>F39*G39</f>
        <v>7243198.199999999</v>
      </c>
    </row>
    <row r="40" spans="5:9" ht="12.75">
      <c r="E40" s="34" t="s">
        <v>453</v>
      </c>
      <c r="F40" s="116">
        <f>F16</f>
        <v>1589</v>
      </c>
      <c r="G40" s="131">
        <v>4622.5</v>
      </c>
      <c r="H40" s="34"/>
      <c r="I40" s="116">
        <f>F40*G40</f>
        <v>7345152.5</v>
      </c>
    </row>
    <row r="41" spans="5:9" ht="12.75">
      <c r="E41" s="34" t="s">
        <v>455</v>
      </c>
      <c r="F41" s="116">
        <f>F17</f>
        <v>530</v>
      </c>
      <c r="G41" s="131">
        <v>8019.4</v>
      </c>
      <c r="H41" s="34"/>
      <c r="I41" s="116">
        <f>F41*G41</f>
        <v>4250282</v>
      </c>
    </row>
    <row r="42" spans="3:9" ht="12.75">
      <c r="C42" s="19" t="s">
        <v>430</v>
      </c>
      <c r="D42" s="19"/>
      <c r="F42" s="34"/>
      <c r="G42" s="114"/>
      <c r="H42" s="117"/>
      <c r="I42" s="19">
        <f>SUM(I37:I41)</f>
        <v>44053301.21</v>
      </c>
    </row>
    <row r="43" spans="5:9" ht="12.75">
      <c r="E43" s="34"/>
      <c r="F43" s="34"/>
      <c r="G43" s="114"/>
      <c r="H43" s="34"/>
      <c r="I43" s="116"/>
    </row>
    <row r="44" spans="3:9" ht="12.75">
      <c r="C44" s="32" t="s">
        <v>436</v>
      </c>
      <c r="D44" s="32"/>
      <c r="F44" s="147"/>
      <c r="G44" s="147" t="s">
        <v>456</v>
      </c>
      <c r="H44" s="147" t="s">
        <v>13</v>
      </c>
      <c r="I44" s="116"/>
    </row>
    <row r="45" spans="5:9" ht="12.75">
      <c r="E45" s="34"/>
      <c r="F45" s="116">
        <f>$F$9</f>
        <v>30126</v>
      </c>
      <c r="G45" s="131">
        <v>437.69</v>
      </c>
      <c r="H45" s="215">
        <f>INDEX(Sairastavuuskerroin,MATCH($F$8,kuntanimi,0),1,1)</f>
        <v>0.8115213366598739</v>
      </c>
      <c r="I45" s="19">
        <f>F45*G45*H45</f>
        <v>10700597.75678398</v>
      </c>
    </row>
    <row r="46" spans="5:9" ht="12.75">
      <c r="E46" s="34"/>
      <c r="F46" s="34"/>
      <c r="G46" s="114"/>
      <c r="H46" s="34"/>
      <c r="I46" s="34"/>
    </row>
    <row r="47" spans="2:9" ht="12.75">
      <c r="B47" s="121" t="s">
        <v>447</v>
      </c>
      <c r="C47" s="144"/>
      <c r="D47" s="144"/>
      <c r="E47" s="145"/>
      <c r="F47" s="145"/>
      <c r="G47" s="146"/>
      <c r="H47" s="145"/>
      <c r="I47" s="219">
        <f>I42+I45</f>
        <v>54753898.966783985</v>
      </c>
    </row>
    <row r="48" spans="5:9" ht="12.75">
      <c r="E48" s="34"/>
      <c r="F48" s="34"/>
      <c r="G48" s="114"/>
      <c r="H48" s="34"/>
      <c r="I48" s="34"/>
    </row>
    <row r="49" spans="2:9" ht="12.75">
      <c r="B49" s="19" t="s">
        <v>448</v>
      </c>
      <c r="E49" s="34"/>
      <c r="F49" s="34"/>
      <c r="G49" s="114"/>
      <c r="H49" s="34"/>
      <c r="I49" s="34"/>
    </row>
    <row r="50" spans="2:9" ht="12.75">
      <c r="B50" s="19" t="s">
        <v>449</v>
      </c>
      <c r="F50" s="34"/>
      <c r="G50" s="114"/>
      <c r="H50" s="34"/>
      <c r="I50" s="19">
        <f>I18+I21+I23+I30+I42+I45</f>
        <v>109119453.44163059</v>
      </c>
    </row>
    <row r="51" spans="5:9" ht="12.75">
      <c r="E51" s="34"/>
      <c r="F51" s="34"/>
      <c r="G51" s="114"/>
      <c r="H51" s="34"/>
      <c r="I51" s="34"/>
    </row>
    <row r="52" spans="5:9" ht="12.75">
      <c r="E52" s="34" t="s">
        <v>450</v>
      </c>
      <c r="F52" s="34"/>
      <c r="G52" s="129"/>
      <c r="H52" s="128">
        <f>INDEX(syrjaisyyskerroin,MATCH($F$8,kuntanimi,0),1,1)</f>
        <v>0</v>
      </c>
      <c r="I52" s="19">
        <f>I50*H52</f>
        <v>0</v>
      </c>
    </row>
    <row r="53" spans="5:9" ht="12.75">
      <c r="E53" s="34"/>
      <c r="F53" s="34"/>
      <c r="G53" s="114"/>
      <c r="H53" s="34"/>
      <c r="I53" s="34"/>
    </row>
    <row r="54" spans="1:9" ht="12.75">
      <c r="A54" s="124" t="s">
        <v>437</v>
      </c>
      <c r="B54" s="143"/>
      <c r="C54" s="143"/>
      <c r="D54" s="143"/>
      <c r="E54" s="143"/>
      <c r="F54" s="125"/>
      <c r="G54" s="130"/>
      <c r="H54" s="125"/>
      <c r="I54" s="135">
        <f>I18+I21+I23+I30+I42+I45+I52</f>
        <v>109119453.44163059</v>
      </c>
    </row>
    <row r="55" ht="12.75">
      <c r="I55" s="193" t="s">
        <v>565</v>
      </c>
    </row>
    <row r="56" ht="12.75"/>
    <row r="57" ht="12.75"/>
    <row r="59" ht="12.75"/>
    <row r="60" ht="12.75"/>
    <row r="61" ht="12.75"/>
    <row r="62" ht="12.75"/>
  </sheetData>
  <sheetProtection sheet="1"/>
  <protectedRanges>
    <protectedRange sqref="F13:F17" name="Alue1"/>
    <protectedRange sqref="H13" name="Alue2"/>
    <protectedRange sqref="G21:H21" name="Alue3"/>
    <protectedRange sqref="G23:H23" name="Alue4"/>
    <protectedRange sqref="F26:G26" name="Alue5"/>
    <protectedRange sqref="G13:G17" name="Alue6"/>
    <protectedRange sqref="E28:E29" name="Alue7"/>
    <protectedRange sqref="G29:H29" name="Alue8"/>
    <protectedRange sqref="G37:G41" name="Alue9"/>
    <protectedRange sqref="G45:H45" name="Alue10"/>
    <protectedRange sqref="H52" name="Alue11"/>
  </protectedRanges>
  <mergeCells count="1">
    <mergeCell ref="A3:I3"/>
  </mergeCells>
  <printOptions/>
  <pageMargins left="0.75" right="0.75" top="1" bottom="1" header="0.4921259845" footer="0.4921259845"/>
  <pageSetup fitToHeight="1" fitToWidth="1" horizontalDpi="600" verticalDpi="600" orientation="portrait" paperSize="9" scale="94"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J47"/>
  <sheetViews>
    <sheetView zoomScalePageLayoutView="0" workbookViewId="0" topLeftCell="A1">
      <selection activeCell="L6" sqref="L6"/>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108" t="str">
        <f>'2.Yhteenveto'!A1</f>
        <v>12.1.2014, Kuntaliitto / SL</v>
      </c>
      <c r="F1" s="126"/>
      <c r="G1" s="6"/>
      <c r="H1" s="6"/>
      <c r="I1" s="6"/>
      <c r="J1" s="6"/>
    </row>
    <row r="2" spans="6:10" ht="12.75">
      <c r="F2" s="126"/>
      <c r="G2" s="6"/>
      <c r="H2" s="6"/>
      <c r="I2" s="6"/>
      <c r="J2" s="6"/>
    </row>
    <row r="3" spans="1:10" ht="15.75">
      <c r="A3" s="308" t="s">
        <v>457</v>
      </c>
      <c r="B3" s="309"/>
      <c r="C3" s="309"/>
      <c r="D3" s="309"/>
      <c r="E3" s="309"/>
      <c r="F3" s="309"/>
      <c r="G3" s="309"/>
      <c r="H3" s="309"/>
      <c r="I3" s="309"/>
      <c r="J3" s="310"/>
    </row>
    <row r="4" spans="1:10" ht="15.75">
      <c r="A4" s="311" t="s">
        <v>562</v>
      </c>
      <c r="B4" s="312"/>
      <c r="C4" s="312"/>
      <c r="D4" s="312"/>
      <c r="E4" s="312"/>
      <c r="F4" s="312"/>
      <c r="G4" s="312"/>
      <c r="H4" s="312"/>
      <c r="I4" s="312"/>
      <c r="J4" s="313"/>
    </row>
    <row r="5" spans="6:10" ht="12.75">
      <c r="F5" s="8"/>
      <c r="G5" s="8"/>
      <c r="H5" s="6"/>
      <c r="I5" s="6"/>
      <c r="J5" s="6"/>
    </row>
    <row r="6" spans="3:10" ht="12.75">
      <c r="C6" s="76" t="s">
        <v>67</v>
      </c>
      <c r="D6" s="34"/>
      <c r="E6" s="48"/>
      <c r="F6" s="77" t="s">
        <v>564</v>
      </c>
      <c r="I6" s="6"/>
      <c r="J6" s="6"/>
    </row>
    <row r="7" spans="3:10" ht="12.75">
      <c r="C7" s="34"/>
      <c r="D7" s="34"/>
      <c r="E7" s="138"/>
      <c r="F7" s="77" t="s">
        <v>563</v>
      </c>
      <c r="I7" s="6"/>
      <c r="J7" s="6"/>
    </row>
    <row r="8" spans="6:10" ht="12.75">
      <c r="F8" s="8"/>
      <c r="G8" s="8"/>
      <c r="H8" s="6"/>
      <c r="I8" s="6"/>
      <c r="J8" s="6"/>
    </row>
    <row r="9" spans="2:10" ht="15.75" customHeight="1">
      <c r="B9" s="113" t="s">
        <v>1</v>
      </c>
      <c r="E9" s="9"/>
      <c r="F9" s="221" t="str">
        <f>'2.Yhteenveto'!G12</f>
        <v>Kangasala</v>
      </c>
      <c r="H9" s="6"/>
      <c r="I9" s="6"/>
      <c r="J9" s="6"/>
    </row>
    <row r="10" spans="2:10" ht="15.75" customHeight="1">
      <c r="B10" s="113" t="s">
        <v>634</v>
      </c>
      <c r="E10" s="8"/>
      <c r="F10" s="221">
        <f>'2.Yhteenveto'!$H$13</f>
        <v>30126</v>
      </c>
      <c r="H10" s="6"/>
      <c r="I10" s="6"/>
      <c r="J10" s="6"/>
    </row>
    <row r="11" spans="2:10" ht="15.75" customHeight="1">
      <c r="B11" s="113"/>
      <c r="E11" s="8"/>
      <c r="G11" s="8"/>
      <c r="H11" s="6"/>
      <c r="I11" s="6"/>
      <c r="J11" s="6"/>
    </row>
    <row r="12" spans="2:10" ht="15.75" customHeight="1">
      <c r="B12" s="32" t="s">
        <v>458</v>
      </c>
      <c r="G12" s="8"/>
      <c r="H12" s="6"/>
      <c r="I12" s="6"/>
      <c r="J12" s="6"/>
    </row>
    <row r="13" spans="3:10" ht="15.75" customHeight="1">
      <c r="C13" s="5" t="s">
        <v>65</v>
      </c>
      <c r="E13" s="8"/>
      <c r="G13" s="133">
        <v>7633.52</v>
      </c>
      <c r="I13" s="18"/>
      <c r="J13" s="6"/>
    </row>
    <row r="14" spans="3:10" ht="15.75" customHeight="1">
      <c r="C14" s="5"/>
      <c r="E14" s="8"/>
      <c r="G14" s="18"/>
      <c r="I14" s="18"/>
      <c r="J14" s="6"/>
    </row>
    <row r="15" spans="3:10" ht="15.75" customHeight="1">
      <c r="C15" s="5"/>
      <c r="D15" s="32" t="s">
        <v>443</v>
      </c>
      <c r="E15" s="32"/>
      <c r="F15" s="147" t="s">
        <v>12</v>
      </c>
      <c r="I15" s="18"/>
      <c r="J15" s="6"/>
    </row>
    <row r="16" spans="3:10" ht="15.75" customHeight="1">
      <c r="C16" s="5"/>
      <c r="D16" s="5"/>
      <c r="E16" s="34" t="s">
        <v>53</v>
      </c>
      <c r="F16" s="37">
        <f>INDEX(ika6v,MATCH($F$9,kuntanimi,0),1,1)</f>
        <v>453</v>
      </c>
      <c r="I16" s="18"/>
      <c r="J16" s="6"/>
    </row>
    <row r="17" spans="3:10" ht="15.75" customHeight="1">
      <c r="C17" s="5"/>
      <c r="D17" s="5"/>
      <c r="E17" s="34" t="s">
        <v>52</v>
      </c>
      <c r="F17" s="37">
        <f>INDEX(ika712v,MATCH($F$9,kuntanimi,0),1,1)</f>
        <v>2459</v>
      </c>
      <c r="I17" s="18"/>
      <c r="J17" s="147" t="s">
        <v>3</v>
      </c>
    </row>
    <row r="18" spans="4:10" ht="15.75" customHeight="1" thickBot="1">
      <c r="D18" s="5"/>
      <c r="E18" s="151" t="s">
        <v>51</v>
      </c>
      <c r="F18" s="152">
        <f>INDEX(ika1315v,MATCH($F$9,kuntanimi,0),1,1)</f>
        <v>1081</v>
      </c>
      <c r="H18" s="10"/>
      <c r="I18" s="10"/>
      <c r="J18" s="147" t="s">
        <v>547</v>
      </c>
    </row>
    <row r="19" spans="3:10" ht="15.75" customHeight="1" thickBot="1" thickTop="1">
      <c r="C19" s="154"/>
      <c r="D19" s="252"/>
      <c r="E19" s="151" t="s">
        <v>459</v>
      </c>
      <c r="F19" s="273">
        <f>SUM($F$16:$F$18)</f>
        <v>3993</v>
      </c>
      <c r="G19" s="154"/>
      <c r="H19" s="274"/>
      <c r="I19" s="274"/>
      <c r="J19" s="275" t="s">
        <v>546</v>
      </c>
    </row>
    <row r="20" spans="3:10" ht="15.75" customHeight="1" thickTop="1">
      <c r="C20" s="12" t="s">
        <v>461</v>
      </c>
      <c r="G20" s="17">
        <f>G13*(F17+F18+(0.91*F16))</f>
        <v>30169426.7496</v>
      </c>
      <c r="H20" s="18">
        <v>0.77</v>
      </c>
      <c r="I20" s="18"/>
      <c r="J20" s="19">
        <f>G20*H20</f>
        <v>23230458.597192</v>
      </c>
    </row>
    <row r="21" spans="7:10" ht="14.25" customHeight="1">
      <c r="G21" s="17"/>
      <c r="H21" s="18"/>
      <c r="I21" s="18"/>
      <c r="J21" s="19"/>
    </row>
    <row r="22" spans="3:10" ht="15.75" customHeight="1">
      <c r="C22" s="1" t="s">
        <v>460</v>
      </c>
      <c r="G22" s="153"/>
      <c r="H22" s="18"/>
      <c r="I22" s="18"/>
      <c r="J22" s="276" t="s">
        <v>439</v>
      </c>
    </row>
    <row r="23" spans="4:10" ht="15.75" customHeight="1">
      <c r="D23" s="6" t="s">
        <v>63</v>
      </c>
      <c r="G23" s="222">
        <f>INDEX(asukastiheys,MATCH($F$9,kuntanimi,0),1,1)</f>
        <v>45.78349873102233</v>
      </c>
      <c r="H23" s="20"/>
      <c r="I23" s="21">
        <f>IF(G23&lt;=40,0.1*(LN(40)-LN(G23)),0)*G20</f>
        <v>0</v>
      </c>
      <c r="J23" s="22">
        <f>IF($G$23=0,0,I23)</f>
        <v>0</v>
      </c>
    </row>
    <row r="24" spans="4:10" ht="15.75" customHeight="1">
      <c r="D24" s="9" t="s">
        <v>66</v>
      </c>
      <c r="G24" s="23"/>
      <c r="H24" s="20"/>
      <c r="I24" s="21">
        <f>IF(G23&lt;4,0.017*MIN(1,4-G23)*(LN(40)-LN(G23)),0)*G20</f>
        <v>0</v>
      </c>
      <c r="J24" s="22">
        <f>IF($G$23=0,0,I24)</f>
        <v>0</v>
      </c>
    </row>
    <row r="25" spans="4:10" ht="15.75" customHeight="1">
      <c r="D25" s="24" t="s">
        <v>4</v>
      </c>
      <c r="G25" s="16">
        <f>F18</f>
        <v>1081</v>
      </c>
      <c r="H25" s="25">
        <v>0.3</v>
      </c>
      <c r="I25" s="25"/>
      <c r="J25" s="26">
        <f>IF(G25=0,0,H25*(F18/F19)*G20)</f>
        <v>2450274.2536677388</v>
      </c>
    </row>
    <row r="26" spans="4:10" ht="15.75" customHeight="1">
      <c r="D26" s="9" t="s">
        <v>5</v>
      </c>
      <c r="G26" s="223">
        <f>INDEX(Kaksikielisyys,MATCH($F$9,kuntanimi,0),1,1)</f>
        <v>0</v>
      </c>
      <c r="H26" s="25">
        <v>0.04</v>
      </c>
      <c r="I26" s="25"/>
      <c r="J26" s="26">
        <f>IF(G26&gt;0,G20*H26,0)</f>
        <v>0</v>
      </c>
    </row>
    <row r="27" spans="4:10" ht="15.75" customHeight="1">
      <c r="D27" s="9" t="s">
        <v>6</v>
      </c>
      <c r="G27" s="223">
        <f>IF(INDEX(Saaristo,MATCH($F$9,kuntanimi,0),1,1)=2,1,0)</f>
        <v>0</v>
      </c>
      <c r="H27" s="25">
        <v>0.06</v>
      </c>
      <c r="I27" s="25"/>
      <c r="J27" s="26">
        <f>IF(G27=1,$G$20*H27,0)</f>
        <v>0</v>
      </c>
    </row>
    <row r="28" spans="4:10" ht="15.75" customHeight="1">
      <c r="D28" s="9" t="s">
        <v>7</v>
      </c>
      <c r="G28" s="223">
        <f>IF(INDEX(Saaristo,MATCH($F$9,kuntanimi,0),1,1)=3,1,0)</f>
        <v>0</v>
      </c>
      <c r="H28" s="25">
        <v>0.25</v>
      </c>
      <c r="I28" s="25"/>
      <c r="J28" s="26">
        <f>IF(G28=2,$G$20*H28,0)</f>
        <v>0</v>
      </c>
    </row>
    <row r="29" spans="4:10" ht="15.75" customHeight="1">
      <c r="D29" s="18" t="s">
        <v>462</v>
      </c>
      <c r="G29" s="37">
        <f>INDEX(ruotsink615v,MATCH($F$9,kuntanimi,0),1,1)</f>
        <v>11</v>
      </c>
      <c r="H29" s="25">
        <v>0.12</v>
      </c>
      <c r="I29" s="25"/>
      <c r="J29" s="26">
        <f>IF(G29=0,0,H29*G29/$F$19*$G$20)</f>
        <v>9973.3642147438</v>
      </c>
    </row>
    <row r="30" spans="3:10" ht="15.75" customHeight="1" thickBot="1">
      <c r="C30" s="154"/>
      <c r="D30" s="151" t="s">
        <v>463</v>
      </c>
      <c r="E30" s="154"/>
      <c r="F30" s="154"/>
      <c r="G30" s="152">
        <f>INDEX(vierask615v,MATCH($F$9,kuntanimi,0),1,1)</f>
        <v>56</v>
      </c>
      <c r="H30" s="155">
        <v>0.2</v>
      </c>
      <c r="I30" s="155"/>
      <c r="J30" s="156">
        <f>IF(G30=0,0,H30*G30/$F$19*$G$20)</f>
        <v>84622.48424631105</v>
      </c>
    </row>
    <row r="31" spans="3:10" ht="15.75" customHeight="1" thickTop="1">
      <c r="C31" s="12" t="s">
        <v>464</v>
      </c>
      <c r="G31" s="9"/>
      <c r="H31" s="25"/>
      <c r="I31" s="25"/>
      <c r="J31" s="27">
        <f>SUM(J23:J30)</f>
        <v>2544870.102128794</v>
      </c>
    </row>
    <row r="32" spans="3:10" ht="12.75" customHeight="1">
      <c r="C32" s="12"/>
      <c r="G32" s="9"/>
      <c r="H32" s="25"/>
      <c r="I32" s="25"/>
      <c r="J32" s="27"/>
    </row>
    <row r="33" spans="2:10" ht="15.75" customHeight="1">
      <c r="B33" s="110" t="s">
        <v>465</v>
      </c>
      <c r="C33" s="111"/>
      <c r="D33" s="111"/>
      <c r="E33" s="125"/>
      <c r="F33" s="111"/>
      <c r="G33" s="188"/>
      <c r="H33" s="270"/>
      <c r="I33" s="270"/>
      <c r="J33" s="135">
        <f>J20+J31</f>
        <v>25775328.699320793</v>
      </c>
    </row>
    <row r="34" spans="5:10" ht="12" customHeight="1">
      <c r="E34" s="15"/>
      <c r="G34" s="28"/>
      <c r="H34" s="8"/>
      <c r="I34" s="8"/>
      <c r="J34" s="8"/>
    </row>
    <row r="35" spans="2:10" ht="15.75" customHeight="1">
      <c r="B35" s="1" t="s">
        <v>466</v>
      </c>
      <c r="E35" s="12"/>
      <c r="G35" s="28"/>
      <c r="H35" s="8"/>
      <c r="I35" s="8"/>
      <c r="J35" s="8"/>
    </row>
    <row r="36" spans="3:10" ht="15.75" customHeight="1">
      <c r="C36" s="12" t="s">
        <v>467</v>
      </c>
      <c r="G36" s="29">
        <f>IF(G23&lt;=2,G37*0.2,0)</f>
        <v>0</v>
      </c>
      <c r="H36" s="29">
        <f>IF(G23&lt;5,G37*0.1,0)</f>
        <v>0</v>
      </c>
      <c r="I36" s="29">
        <f>IF(G23=0,G37*0.2,0)</f>
        <v>0</v>
      </c>
      <c r="J36" s="30">
        <f>IF(G23&lt;=2,G37+G36-I36,G37+H36)</f>
        <v>63.12</v>
      </c>
    </row>
    <row r="37" spans="4:10" ht="15.75" customHeight="1">
      <c r="D37" s="34" t="s">
        <v>570</v>
      </c>
      <c r="G37" s="134">
        <v>63.12</v>
      </c>
      <c r="H37" s="8" t="s">
        <v>2</v>
      </c>
      <c r="I37" s="8"/>
      <c r="J37" s="8"/>
    </row>
    <row r="38" spans="4:10" ht="15.75" customHeight="1">
      <c r="D38" s="34" t="s">
        <v>571</v>
      </c>
      <c r="G38" s="31">
        <f>IF(OR(G27&gt;0,G28&gt;0,G23&lt;=2),0.2*G37,IF(G23&lt;=5,0.1*G37,0))+G37</f>
        <v>63.12</v>
      </c>
      <c r="H38" s="8" t="s">
        <v>2</v>
      </c>
      <c r="I38" s="22"/>
      <c r="J38" s="22">
        <f>G38*$F$10</f>
        <v>1901553.1199999999</v>
      </c>
    </row>
    <row r="39" spans="3:10" ht="15.75" customHeight="1">
      <c r="C39" s="1" t="s">
        <v>468</v>
      </c>
      <c r="E39" s="32"/>
      <c r="G39" s="8"/>
      <c r="H39" s="33"/>
      <c r="I39" s="33"/>
      <c r="J39" s="27">
        <f>J37+J38</f>
        <v>1901553.1199999999</v>
      </c>
    </row>
    <row r="40" spans="5:10" ht="15.75" customHeight="1">
      <c r="E40" s="15"/>
      <c r="G40" s="9"/>
      <c r="H40" s="25"/>
      <c r="I40" s="25"/>
      <c r="J40" s="13"/>
    </row>
    <row r="41" spans="3:10" ht="15.75" customHeight="1">
      <c r="C41" s="32" t="s">
        <v>469</v>
      </c>
      <c r="G41" s="134">
        <v>3.5</v>
      </c>
      <c r="H41" s="8" t="s">
        <v>2</v>
      </c>
      <c r="I41" s="22"/>
      <c r="J41" s="19">
        <f>G41*$F$10</f>
        <v>105441</v>
      </c>
    </row>
    <row r="42" spans="3:9" ht="15.75" customHeight="1">
      <c r="C42" s="32" t="s">
        <v>470</v>
      </c>
      <c r="G42" s="133">
        <v>1.4</v>
      </c>
      <c r="H42" s="8" t="s">
        <v>2</v>
      </c>
      <c r="I42" s="22"/>
    </row>
    <row r="43" spans="3:10" ht="15.75" customHeight="1">
      <c r="C43" s="32"/>
      <c r="D43" s="5" t="s">
        <v>569</v>
      </c>
      <c r="G43" s="37">
        <f>INDEX(tpojarj,MATCH(F9,kuntanimi,0),1,1)</f>
        <v>1</v>
      </c>
      <c r="H43" s="164" t="s">
        <v>90</v>
      </c>
      <c r="I43" s="22"/>
      <c r="J43" s="19">
        <f>IF(G43=1,G42*$F$10,0)</f>
        <v>42176.399999999994</v>
      </c>
    </row>
    <row r="44" spans="5:10" ht="12" customHeight="1">
      <c r="E44" s="9"/>
      <c r="G44" s="6"/>
      <c r="H44" s="6"/>
      <c r="I44" s="6"/>
      <c r="J44" s="6"/>
    </row>
    <row r="45" spans="7:10" ht="12" customHeight="1">
      <c r="G45" s="32"/>
      <c r="H45" s="32"/>
      <c r="I45" s="32"/>
      <c r="J45" s="32"/>
    </row>
    <row r="46" spans="1:10" ht="15.75" customHeight="1">
      <c r="A46" s="124" t="s">
        <v>438</v>
      </c>
      <c r="B46" s="111"/>
      <c r="C46" s="111"/>
      <c r="D46" s="111"/>
      <c r="E46" s="111"/>
      <c r="F46" s="111"/>
      <c r="G46" s="125"/>
      <c r="H46" s="125"/>
      <c r="I46" s="125"/>
      <c r="J46" s="135">
        <f>J33+J39+J41+J43</f>
        <v>27824499.219320793</v>
      </c>
    </row>
    <row r="47" spans="6:10" ht="15.75" customHeight="1">
      <c r="F47" s="12"/>
      <c r="G47" s="32"/>
      <c r="H47" s="32"/>
      <c r="I47" s="32"/>
      <c r="J47" s="193" t="s">
        <v>565</v>
      </c>
    </row>
    <row r="48" ht="15.75" customHeight="1"/>
    <row r="49" ht="15.75" customHeight="1"/>
    <row r="50" ht="15.75" customHeight="1"/>
  </sheetData>
  <sheetProtection sheet="1"/>
  <protectedRanges>
    <protectedRange sqref="G41:G43" name="Alue6"/>
    <protectedRange sqref="G37" name="Alue5"/>
    <protectedRange sqref="G26:G30" name="Alue4"/>
    <protectedRange sqref="G23" name="Alue3"/>
    <protectedRange sqref="F16:F18" name="Alue2"/>
    <protectedRange sqref="G13"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57"/>
  <sheetViews>
    <sheetView zoomScalePageLayoutView="0" workbookViewId="0" topLeftCell="A1">
      <selection activeCell="A57" sqref="A57"/>
    </sheetView>
  </sheetViews>
  <sheetFormatPr defaultColWidth="9.140625" defaultRowHeight="12.75"/>
  <cols>
    <col min="1" max="2" width="2.28125" style="8" customWidth="1"/>
    <col min="3" max="4" width="3.8515625" style="8" customWidth="1"/>
    <col min="5" max="5" width="11.140625" style="8" customWidth="1"/>
    <col min="6" max="6" width="26.421875" style="8" customWidth="1"/>
    <col min="7" max="7" width="8.57421875" style="8" customWidth="1"/>
    <col min="8" max="8" width="10.8515625" style="8" customWidth="1"/>
    <col min="9" max="9" width="12.8515625" style="31" customWidth="1"/>
    <col min="10" max="10" width="12.140625" style="22" customWidth="1"/>
    <col min="11" max="16384" width="9.140625" style="8" customWidth="1"/>
  </cols>
  <sheetData>
    <row r="1" spans="1:6" ht="15.75">
      <c r="A1" s="108" t="str">
        <f>'2.Yhteenveto'!A1</f>
        <v>12.1.2014, Kuntaliitto / SL</v>
      </c>
      <c r="E1" s="56"/>
      <c r="F1" s="56"/>
    </row>
    <row r="2" spans="5:6" ht="15.75">
      <c r="E2" s="56"/>
      <c r="F2" s="56"/>
    </row>
    <row r="3" spans="1:10" ht="18">
      <c r="A3" s="303" t="s">
        <v>573</v>
      </c>
      <c r="B3" s="304"/>
      <c r="C3" s="304"/>
      <c r="D3" s="304"/>
      <c r="E3" s="304"/>
      <c r="F3" s="304"/>
      <c r="G3" s="304"/>
      <c r="H3" s="304"/>
      <c r="I3" s="304"/>
      <c r="J3" s="305"/>
    </row>
    <row r="4" spans="5:6" ht="12.75">
      <c r="E4" s="7"/>
      <c r="F4" s="7"/>
    </row>
    <row r="5" spans="3:6" ht="12.75">
      <c r="C5" s="76" t="s">
        <v>67</v>
      </c>
      <c r="D5" s="34"/>
      <c r="E5" s="48"/>
      <c r="F5" s="77" t="s">
        <v>564</v>
      </c>
    </row>
    <row r="6" spans="3:6" ht="12.75">
      <c r="C6" s="34"/>
      <c r="D6" s="34"/>
      <c r="E6" s="138"/>
      <c r="F6" s="77" t="s">
        <v>592</v>
      </c>
    </row>
    <row r="7" spans="5:6" ht="12.75">
      <c r="E7" s="7"/>
      <c r="F7" s="7"/>
    </row>
    <row r="8" spans="2:6" ht="12.75">
      <c r="B8" s="113" t="s">
        <v>1</v>
      </c>
      <c r="E8" s="12"/>
      <c r="F8" s="277" t="str">
        <f>'2.Yhteenveto'!G12</f>
        <v>Kangasala</v>
      </c>
    </row>
    <row r="9" spans="2:6" ht="12.75">
      <c r="B9" s="113" t="s">
        <v>634</v>
      </c>
      <c r="E9" s="7"/>
      <c r="F9" s="221">
        <f>'2.Yhteenveto'!$H$13</f>
        <v>30126</v>
      </c>
    </row>
    <row r="10" ht="12.75">
      <c r="H10" s="59"/>
    </row>
    <row r="11" spans="2:10" ht="25.5">
      <c r="B11" s="32" t="s">
        <v>471</v>
      </c>
      <c r="H11" s="59"/>
      <c r="J11" s="281" t="s">
        <v>612</v>
      </c>
    </row>
    <row r="12" spans="3:10" ht="12.75">
      <c r="C12" s="6" t="s">
        <v>81</v>
      </c>
      <c r="G12" s="161">
        <v>33.55</v>
      </c>
      <c r="H12" s="166" t="s">
        <v>555</v>
      </c>
      <c r="J12" s="22">
        <f>F9*G12</f>
        <v>1010727.2999999999</v>
      </c>
    </row>
    <row r="13" spans="8:9" ht="12.75">
      <c r="H13" s="59"/>
      <c r="I13" s="8"/>
    </row>
    <row r="14" spans="3:10" ht="12.75">
      <c r="C14" s="32" t="s">
        <v>593</v>
      </c>
      <c r="H14" s="59"/>
      <c r="I14" s="259" t="s">
        <v>13</v>
      </c>
      <c r="J14" s="276" t="s">
        <v>439</v>
      </c>
    </row>
    <row r="15" spans="4:10" ht="12.75">
      <c r="D15" s="6" t="s">
        <v>85</v>
      </c>
      <c r="G15" s="94"/>
      <c r="H15" s="94"/>
      <c r="I15" s="8"/>
      <c r="J15" s="8"/>
    </row>
    <row r="16" spans="5:10" ht="12.75">
      <c r="E16" s="14" t="s">
        <v>594</v>
      </c>
      <c r="G16" s="278">
        <f>IF(OR(INDEX(ykaks,MATCH(F8,kuntanimi,0),1,1)=1,INDEX(ykaks,MATCH(F8,kuntanimi,0),1,1)=3,INDEX(ysaamk,MATCH(F8,kuntanimi,0),1,1)=1),1,0)</f>
        <v>0</v>
      </c>
      <c r="H16" s="164" t="s">
        <v>595</v>
      </c>
      <c r="I16" s="25">
        <v>0.1</v>
      </c>
      <c r="J16" s="22">
        <f>IF(G16=1,$F$9*$G$12*I16,0)</f>
        <v>0</v>
      </c>
    </row>
    <row r="17" spans="4:9" ht="12.75">
      <c r="D17" s="14" t="s">
        <v>596</v>
      </c>
      <c r="E17" s="14"/>
      <c r="G17" s="94"/>
      <c r="H17" s="164"/>
      <c r="I17" s="25"/>
    </row>
    <row r="18" spans="5:10" ht="12.75">
      <c r="E18" s="280" t="s">
        <v>597</v>
      </c>
      <c r="G18" s="36">
        <f>INDEX(ytaaj,MATCH(F8,kuntanimi,0),1,1)</f>
        <v>25166</v>
      </c>
      <c r="H18" s="165" t="s">
        <v>78</v>
      </c>
      <c r="I18" s="163" t="s">
        <v>100</v>
      </c>
      <c r="J18" s="22">
        <f>IF(G18&lt;40000,0,IF(G18&lt;100000,G18*G12*0.75,IF(G18&lt;200000,G18*G12*0.7,IF(G18&gt;=200000,G18*G12*0.01,0))))</f>
        <v>0</v>
      </c>
    </row>
    <row r="19" spans="4:8" ht="12.75">
      <c r="D19" s="9" t="s">
        <v>82</v>
      </c>
      <c r="H19" s="165"/>
    </row>
    <row r="20" spans="5:8" ht="12.75">
      <c r="E20" s="14" t="s">
        <v>86</v>
      </c>
      <c r="H20" s="165"/>
    </row>
    <row r="21" spans="5:10" ht="12.75">
      <c r="E21" s="14" t="s">
        <v>598</v>
      </c>
      <c r="G21" s="162">
        <f>IF(INDEX(ysaar,MATCH(F8,kuntanimi,0),1,1)=3,1,0)</f>
        <v>0</v>
      </c>
      <c r="H21" s="164" t="s">
        <v>595</v>
      </c>
      <c r="I21" s="258">
        <v>7</v>
      </c>
      <c r="J21" s="22">
        <f>IF(J30&gt;F9*G12*I21,0,IF(G21=1,$F$9*$G$12*I21,0))</f>
        <v>0</v>
      </c>
    </row>
    <row r="22" spans="5:10" ht="12.75">
      <c r="E22" s="14" t="s">
        <v>600</v>
      </c>
      <c r="G22" s="162">
        <f>IF(INDEX(ysaar,MATCH(F8,kuntanimi,0),1,1)=2,1,0)</f>
        <v>0</v>
      </c>
      <c r="H22" s="164" t="s">
        <v>595</v>
      </c>
      <c r="I22" s="258">
        <v>4</v>
      </c>
      <c r="J22" s="22">
        <f>IF(G21+G27+G28&gt;0,0,IF(G22=1,$F$9*$G$12*I22,0))</f>
        <v>0</v>
      </c>
    </row>
    <row r="23" spans="5:8" ht="12.75">
      <c r="E23" s="9" t="s">
        <v>87</v>
      </c>
      <c r="G23" s="59"/>
      <c r="H23" s="165"/>
    </row>
    <row r="24" spans="5:9" ht="12.75">
      <c r="E24" s="14" t="s">
        <v>599</v>
      </c>
      <c r="G24" s="39"/>
      <c r="H24" s="165"/>
      <c r="I24" s="95"/>
    </row>
    <row r="25" spans="5:10" ht="12.75">
      <c r="E25" s="14" t="s">
        <v>112</v>
      </c>
      <c r="G25" s="36">
        <f>IF((INDEX(ysaar,MATCH(F8,kuntanimi,0),1,1)=1),INDEX(ysaarvae,MATCH(F8,kuntanimi,0),1,1),0)</f>
        <v>0</v>
      </c>
      <c r="H25" s="165" t="s">
        <v>78</v>
      </c>
      <c r="I25" s="95" t="s">
        <v>88</v>
      </c>
      <c r="J25" s="22">
        <f>IF($G$21+$G$22&gt;0,0,IF(G25&gt;=1100,$F$9*$G$12,$G$12*G25*1.5))</f>
        <v>0</v>
      </c>
    </row>
    <row r="26" spans="4:8" ht="12.75">
      <c r="D26" s="9" t="s">
        <v>83</v>
      </c>
      <c r="H26" s="166"/>
    </row>
    <row r="27" spans="5:10" ht="12.75">
      <c r="E27" s="14" t="s">
        <v>601</v>
      </c>
      <c r="G27" s="162">
        <f>IF(INDEX(ysyrj,MATCH(F8,kuntanimi,0),1,1)&gt;=1.5,1,0)</f>
        <v>0</v>
      </c>
      <c r="H27" s="164" t="s">
        <v>595</v>
      </c>
      <c r="I27" s="258">
        <v>6</v>
      </c>
      <c r="J27" s="22">
        <f>IF(G21+G30&gt;0,0,IF(G27=1,$F$9*$G$12*I27,0))</f>
        <v>0</v>
      </c>
    </row>
    <row r="28" spans="5:10" ht="12.75">
      <c r="E28" s="14" t="s">
        <v>602</v>
      </c>
      <c r="G28" s="162">
        <f>IF(INDEX(ysyrj,MATCH(F8,kuntanimi,0),1,1)&gt;=1,IF(INDEX(ysyrj,MATCH(F8,kuntanimi,0),1,1)&gt;=1.5,0,1),0)</f>
        <v>0</v>
      </c>
      <c r="H28" s="164" t="s">
        <v>595</v>
      </c>
      <c r="I28" s="258">
        <v>5</v>
      </c>
      <c r="J28" s="22">
        <f>IF(G21+G27+G30&gt;0,0,IF(G28=1,$F$9*$G$12*I28,0))</f>
        <v>0</v>
      </c>
    </row>
    <row r="29" spans="5:10" ht="12.75">
      <c r="E29" s="14" t="s">
        <v>603</v>
      </c>
      <c r="G29" s="162">
        <f>IF(INDEX(ysyrj,MATCH(F8,kuntanimi,0),1,1)&gt;=0.5,IF(INDEX(ysyrj,MATCH(F8,kuntanimi,0),1,1)&gt;=1,0,1),0)</f>
        <v>0</v>
      </c>
      <c r="H29" s="164" t="s">
        <v>595</v>
      </c>
      <c r="I29" s="258">
        <v>3</v>
      </c>
      <c r="J29" s="22">
        <f>IF(G21+G22+G27+G28+G30&gt;0,0,IF(G29=1,$F$9*$G$12*I29,0))</f>
        <v>0</v>
      </c>
    </row>
    <row r="30" spans="4:10" ht="14.25">
      <c r="D30" s="9" t="s">
        <v>84</v>
      </c>
      <c r="G30" s="162">
        <f>IF(INDEX(yast,MATCH(F8,kuntanimi,0),1,1)&lt;=0.5,1,0)</f>
        <v>0</v>
      </c>
      <c r="H30" s="164" t="s">
        <v>595</v>
      </c>
      <c r="I30" s="258">
        <v>9</v>
      </c>
      <c r="J30" s="22">
        <f>IF(G30=1,$F$9*$G$12*I30,0)</f>
        <v>0</v>
      </c>
    </row>
    <row r="31" spans="4:8" ht="12.75">
      <c r="D31" s="14" t="s">
        <v>591</v>
      </c>
      <c r="H31" s="164"/>
    </row>
    <row r="32" spans="5:10" ht="12.75">
      <c r="E32" s="279" t="s">
        <v>604</v>
      </c>
      <c r="G32" s="162">
        <f>IF(ABS(INDEX(yasmm,MATCH(F8,kuntanimi,0),1,1))&gt;=0.06,1,0)</f>
        <v>0</v>
      </c>
      <c r="H32" s="164" t="s">
        <v>595</v>
      </c>
      <c r="I32" s="31">
        <v>1.39</v>
      </c>
      <c r="J32" s="22">
        <f>IF(G32=1,$F$9*$G$12*I32,0)</f>
        <v>0</v>
      </c>
    </row>
    <row r="33" ht="12.75"/>
    <row r="34" spans="2:10" ht="12.75">
      <c r="B34" s="124" t="s">
        <v>472</v>
      </c>
      <c r="C34" s="188"/>
      <c r="D34" s="188"/>
      <c r="E34" s="125"/>
      <c r="F34" s="125"/>
      <c r="G34" s="188"/>
      <c r="H34" s="188"/>
      <c r="I34" s="270"/>
      <c r="J34" s="135">
        <f>SUM(J12:J33)</f>
        <v>1010727.2999999999</v>
      </c>
    </row>
    <row r="35" ht="12.75">
      <c r="J35" s="193" t="s">
        <v>565</v>
      </c>
    </row>
    <row r="36" ht="12.75"/>
    <row r="37" ht="12.75">
      <c r="B37" s="32" t="s">
        <v>473</v>
      </c>
    </row>
    <row r="38" ht="12.75">
      <c r="B38" s="32" t="s">
        <v>474</v>
      </c>
    </row>
    <row r="39" spans="7:10" ht="12.75">
      <c r="G39" s="10"/>
      <c r="H39" s="11"/>
      <c r="I39" s="92"/>
      <c r="J39" s="91"/>
    </row>
    <row r="40" spans="3:10" ht="12.75">
      <c r="C40" s="8" t="s">
        <v>101</v>
      </c>
      <c r="G40" s="10"/>
      <c r="H40" s="11"/>
      <c r="I40" s="93"/>
      <c r="J40" s="91"/>
    </row>
    <row r="41" spans="4:10" ht="12.75">
      <c r="D41" s="34" t="s">
        <v>605</v>
      </c>
      <c r="G41" s="37">
        <f>IF(INDEX(yast,MATCH(F8,kuntanimi,0),1,1)&lt;0.5,1,0)</f>
        <v>0</v>
      </c>
      <c r="H41" s="164" t="s">
        <v>595</v>
      </c>
      <c r="I41" s="258">
        <v>12</v>
      </c>
      <c r="J41" s="22">
        <f>IF(G41=1,$F$9*$G$12*I41,0)</f>
        <v>0</v>
      </c>
    </row>
    <row r="42" spans="4:10" ht="12.75">
      <c r="D42" s="8" t="s">
        <v>606</v>
      </c>
      <c r="G42" s="37">
        <f>IF(INDEX(yast,MATCH(F8,kuntanimi,0),1,1)&gt;=0.5,IF(INDEX(yast,MATCH(F8,kuntanimi,0),1,1)&gt;1.5,0,1),0)</f>
        <v>0</v>
      </c>
      <c r="H42" s="164" t="s">
        <v>595</v>
      </c>
      <c r="I42" s="258">
        <v>10</v>
      </c>
      <c r="J42" s="22">
        <f>IF(G42=1,$F$9*$G$12*I42,0)</f>
        <v>0</v>
      </c>
    </row>
    <row r="43" spans="4:10" ht="12.75">
      <c r="D43" s="8" t="s">
        <v>607</v>
      </c>
      <c r="G43" s="37">
        <f>IF(INDEX(yast,MATCH(F8,kuntanimi,0),1,1)&gt;=1.5,IF(INDEX(yast,MATCH(F8,kuntanimi,0),1,1)&gt;2,0,1),0)</f>
        <v>0</v>
      </c>
      <c r="H43" s="164" t="s">
        <v>595</v>
      </c>
      <c r="I43" s="258">
        <v>7</v>
      </c>
      <c r="J43" s="22">
        <f>IF(G43=1,$F$9*$G$12*I43,0)</f>
        <v>0</v>
      </c>
    </row>
    <row r="44" spans="8:9" ht="12.75">
      <c r="H44" s="164"/>
      <c r="I44" s="258"/>
    </row>
    <row r="45" spans="3:9" ht="12.75">
      <c r="C45" s="8" t="s">
        <v>82</v>
      </c>
      <c r="H45" s="164"/>
      <c r="I45" s="258"/>
    </row>
    <row r="46" spans="4:10" ht="12.75">
      <c r="D46" s="34" t="s">
        <v>614</v>
      </c>
      <c r="G46" s="37">
        <f>G21</f>
        <v>0</v>
      </c>
      <c r="H46" s="164" t="s">
        <v>595</v>
      </c>
      <c r="I46" s="258">
        <v>5</v>
      </c>
      <c r="J46" s="22">
        <f>IF(G46=1,$F$9*$G$12*I46,0)</f>
        <v>0</v>
      </c>
    </row>
    <row r="47" spans="4:10" ht="12.75">
      <c r="D47" s="34" t="s">
        <v>613</v>
      </c>
      <c r="G47" s="37">
        <f>G22</f>
        <v>0</v>
      </c>
      <c r="H47" s="164" t="s">
        <v>595</v>
      </c>
      <c r="I47" s="258">
        <v>4</v>
      </c>
      <c r="J47" s="22">
        <f>IF(G47=1,$F$9*$G$12*I47,0)</f>
        <v>0</v>
      </c>
    </row>
    <row r="48" ht="12.75">
      <c r="H48" s="164"/>
    </row>
    <row r="49" spans="3:8" ht="12.75">
      <c r="C49" s="8" t="s">
        <v>102</v>
      </c>
      <c r="H49" s="164"/>
    </row>
    <row r="50" spans="4:10" ht="12.75">
      <c r="D50" s="8" t="s">
        <v>608</v>
      </c>
      <c r="G50" s="37">
        <f>IF(INDEX(ysaamo,MATCH(F8,kuntanimi,0),1,1)&gt;=0.3,1,0)</f>
        <v>0</v>
      </c>
      <c r="H50" s="164" t="s">
        <v>595</v>
      </c>
      <c r="I50" s="257">
        <v>2.3</v>
      </c>
      <c r="J50" s="22">
        <f>IF(G50=1,SUM($J$41:$J$47)*I50,0)</f>
        <v>0</v>
      </c>
    </row>
    <row r="51" spans="4:10" ht="12.75">
      <c r="D51" s="8" t="s">
        <v>609</v>
      </c>
      <c r="G51" s="37">
        <f>IF(INDEX(ysaamo,MATCH(F8,kuntanimi,0),1,1)&gt;=0.07,IF(INDEX(ysaamo,MATCH(F8,kuntanimi,0),1,1)&gt;0.3,0,1),0)</f>
        <v>0</v>
      </c>
      <c r="H51" s="164" t="s">
        <v>595</v>
      </c>
      <c r="I51" s="257">
        <v>1.2</v>
      </c>
      <c r="J51" s="22">
        <f>IF(G51=1,SUM($J$41:$J$47)*I51,0)</f>
        <v>0</v>
      </c>
    </row>
    <row r="52" spans="4:10" ht="12.75">
      <c r="D52" s="8" t="s">
        <v>610</v>
      </c>
      <c r="G52" s="37">
        <f>IF(INDEX(ysaamo,MATCH(F8,kuntanimi,0),1,1)&gt;=0.03,IF(INDEX(ysaamo,MATCH(F8,kuntanimi,0),1,1)&gt;0.07,0,1),0)</f>
        <v>0</v>
      </c>
      <c r="H52" s="164" t="s">
        <v>595</v>
      </c>
      <c r="I52" s="257">
        <v>0.3</v>
      </c>
      <c r="J52" s="22">
        <f>IF(G52=1,SUM($J$41:$J$47)*I52,0)</f>
        <v>0</v>
      </c>
    </row>
    <row r="53" spans="4:10" ht="12.75">
      <c r="D53" s="8" t="s">
        <v>611</v>
      </c>
      <c r="G53" s="37">
        <f>IF(INDEX(ysaamo,MATCH(F8,kuntanimi,0),1,1)&gt;=0.005,IF(INDEX(ysaamo,MATCH(F8,kuntanimi,0),1,1)&gt;0.03,0,1),0)</f>
        <v>0</v>
      </c>
      <c r="H53" s="164" t="s">
        <v>595</v>
      </c>
      <c r="I53" s="257">
        <v>0.2</v>
      </c>
      <c r="J53" s="22">
        <f>IF(G53=1,SUM($J$41:$J$47)*I53,0)</f>
        <v>0</v>
      </c>
    </row>
    <row r="54" ht="12.75"/>
    <row r="55" spans="2:10" ht="12.75">
      <c r="B55" s="260" t="s">
        <v>475</v>
      </c>
      <c r="C55" s="261"/>
      <c r="D55" s="261"/>
      <c r="E55" s="261"/>
      <c r="F55" s="262"/>
      <c r="G55" s="261"/>
      <c r="H55" s="261"/>
      <c r="I55" s="263"/>
      <c r="J55" s="264"/>
    </row>
    <row r="56" spans="2:10" ht="12.75">
      <c r="B56" s="265" t="s">
        <v>476</v>
      </c>
      <c r="C56" s="266"/>
      <c r="D56" s="266"/>
      <c r="E56" s="266"/>
      <c r="F56" s="267"/>
      <c r="G56" s="266"/>
      <c r="H56" s="266"/>
      <c r="I56" s="268"/>
      <c r="J56" s="269">
        <f>SUM(J41:J53)</f>
        <v>0</v>
      </c>
    </row>
    <row r="57" ht="12.75">
      <c r="J57" s="193" t="s">
        <v>565</v>
      </c>
    </row>
    <row r="58" ht="12.75"/>
    <row r="59" ht="12.75"/>
  </sheetData>
  <sheetProtection sheet="1"/>
  <protectedRanges>
    <protectedRange sqref="G41:G53" name="Alue2"/>
    <protectedRange sqref="G12:G32" name="Alue1"/>
  </protectedRanges>
  <mergeCells count="1">
    <mergeCell ref="A3:J3"/>
  </mergeCells>
  <printOptions/>
  <pageMargins left="0.75" right="0.75" top="1" bottom="1" header="0.4921259845" footer="0.4921259845"/>
  <pageSetup fitToHeight="1" fitToWidth="1"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tabColor theme="6" tint="0.39998000860214233"/>
  </sheetPr>
  <dimension ref="A1:V72"/>
  <sheetViews>
    <sheetView zoomScalePageLayoutView="0" workbookViewId="0" topLeftCell="A1">
      <selection activeCell="B9" sqref="B9"/>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2.14062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75">
      <c r="A1" s="108" t="str">
        <f>'2.Yhteenveto'!A1</f>
        <v>12.1.2014, Kuntaliitto / SL</v>
      </c>
      <c r="F1" s="56"/>
      <c r="G1" s="56"/>
      <c r="H1" s="96"/>
      <c r="I1" s="87"/>
    </row>
    <row r="2" spans="6:9" ht="12.75">
      <c r="F2" s="83"/>
      <c r="G2" s="83"/>
      <c r="H2" s="96"/>
      <c r="I2" s="87"/>
    </row>
    <row r="3" spans="1:9" ht="18">
      <c r="A3" s="303" t="s">
        <v>477</v>
      </c>
      <c r="B3" s="304"/>
      <c r="C3" s="304"/>
      <c r="D3" s="304"/>
      <c r="E3" s="304"/>
      <c r="F3" s="304"/>
      <c r="G3" s="304"/>
      <c r="H3" s="304"/>
      <c r="I3" s="305"/>
    </row>
    <row r="4" spans="8:9" ht="12.75">
      <c r="H4" s="96"/>
      <c r="I4" s="87"/>
    </row>
    <row r="5" spans="2:9" ht="12.75">
      <c r="B5" s="76" t="s">
        <v>67</v>
      </c>
      <c r="C5" s="34"/>
      <c r="D5" s="34"/>
      <c r="E5" s="48"/>
      <c r="F5" s="77" t="s">
        <v>564</v>
      </c>
      <c r="G5" s="77"/>
      <c r="I5" s="87"/>
    </row>
    <row r="6" spans="2:9" ht="12.75">
      <c r="B6" s="34"/>
      <c r="C6" s="34"/>
      <c r="D6" s="34"/>
      <c r="E6" s="138"/>
      <c r="F6" s="77" t="s">
        <v>563</v>
      </c>
      <c r="G6" s="77"/>
      <c r="I6" s="87"/>
    </row>
    <row r="7" spans="8:9" ht="12.75">
      <c r="H7" s="96"/>
      <c r="I7" s="87"/>
    </row>
    <row r="8" spans="2:9" ht="12.75">
      <c r="B8" s="113" t="s">
        <v>1</v>
      </c>
      <c r="F8" s="282" t="str">
        <f>'2.Yhteenveto'!G12</f>
        <v>Kangasala</v>
      </c>
      <c r="I8" s="87"/>
    </row>
    <row r="9" spans="2:9" ht="12.75">
      <c r="B9" s="113" t="s">
        <v>634</v>
      </c>
      <c r="F9" s="283">
        <f>'2.Yhteenveto'!H13</f>
        <v>30126</v>
      </c>
      <c r="I9" s="87"/>
    </row>
    <row r="10" spans="8:9" ht="12.75">
      <c r="H10" s="96"/>
      <c r="I10" s="87"/>
    </row>
    <row r="11" spans="2:9" ht="12.75">
      <c r="B11" s="1" t="s">
        <v>92</v>
      </c>
      <c r="H11" s="172" t="s">
        <v>2</v>
      </c>
      <c r="I11" s="173" t="s">
        <v>439</v>
      </c>
    </row>
    <row r="12" spans="8:9" ht="12.75">
      <c r="H12" s="96"/>
      <c r="I12" s="87"/>
    </row>
    <row r="13" spans="3:9" ht="12.75">
      <c r="C13" s="5" t="s">
        <v>615</v>
      </c>
      <c r="H13" s="168">
        <v>1.58</v>
      </c>
      <c r="I13" s="87">
        <f>$F$9*-H13</f>
        <v>-47599.08</v>
      </c>
    </row>
    <row r="14" spans="8:9" ht="12.75">
      <c r="H14" s="97"/>
      <c r="I14" s="87"/>
    </row>
    <row r="15" spans="3:9" ht="12.75">
      <c r="C15" t="s">
        <v>93</v>
      </c>
      <c r="H15" s="97"/>
      <c r="I15" s="87"/>
    </row>
    <row r="16" spans="3:9" ht="12.75">
      <c r="C16" t="s">
        <v>94</v>
      </c>
      <c r="H16" s="168">
        <v>0.93</v>
      </c>
      <c r="I16" s="87">
        <f>$F$9*-H16</f>
        <v>-28017.18</v>
      </c>
    </row>
    <row r="17" spans="8:9" ht="12.75">
      <c r="H17" s="97"/>
      <c r="I17" s="87"/>
    </row>
    <row r="18" spans="3:9" ht="12.75">
      <c r="C18" s="5" t="s">
        <v>616</v>
      </c>
      <c r="H18" s="97"/>
      <c r="I18" s="87"/>
    </row>
    <row r="19" spans="4:9" ht="12.75">
      <c r="D19" s="5" t="s">
        <v>617</v>
      </c>
      <c r="H19" s="168">
        <v>6.48</v>
      </c>
      <c r="I19" s="87">
        <f>$F$9*-H19</f>
        <v>-195216.48</v>
      </c>
    </row>
    <row r="20" spans="8:9" ht="12.75">
      <c r="H20" s="96"/>
      <c r="I20" s="87"/>
    </row>
    <row r="21" spans="3:9" ht="12.75">
      <c r="C21" s="5" t="s">
        <v>635</v>
      </c>
      <c r="D21" s="5"/>
      <c r="H21" s="168">
        <v>0.24</v>
      </c>
      <c r="I21" s="87">
        <f>$F$9*-H21</f>
        <v>-7230.24</v>
      </c>
    </row>
    <row r="22" spans="8:9" ht="12.75">
      <c r="H22" s="96"/>
      <c r="I22" s="87"/>
    </row>
    <row r="23" spans="3:9" ht="12.75">
      <c r="C23" s="5" t="s">
        <v>636</v>
      </c>
      <c r="H23" s="168">
        <v>0.28</v>
      </c>
      <c r="I23" s="87">
        <f>$F$9*-H23</f>
        <v>-8435.28</v>
      </c>
    </row>
    <row r="24" spans="8:9" ht="12.75">
      <c r="H24" s="96"/>
      <c r="I24" s="87"/>
    </row>
    <row r="25" spans="3:9" ht="12.75">
      <c r="C25" s="5" t="s">
        <v>637</v>
      </c>
      <c r="H25" s="168">
        <v>0.53</v>
      </c>
      <c r="I25" s="87">
        <f>$F$9*-H25</f>
        <v>-15966.78</v>
      </c>
    </row>
    <row r="26" spans="8:9" ht="12.75">
      <c r="H26" s="96"/>
      <c r="I26" s="87"/>
    </row>
    <row r="27" spans="3:9" ht="12.75">
      <c r="C27" s="5" t="s">
        <v>638</v>
      </c>
      <c r="H27" s="168">
        <v>4.1</v>
      </c>
      <c r="I27" s="87">
        <f>$F$9*-H27</f>
        <v>-123516.59999999999</v>
      </c>
    </row>
    <row r="28" spans="8:9" ht="12.75">
      <c r="H28" s="96"/>
      <c r="I28" s="87"/>
    </row>
    <row r="29" spans="8:9" ht="12.75">
      <c r="H29" s="96"/>
      <c r="I29" s="87"/>
    </row>
    <row r="30" spans="2:9" ht="12.75">
      <c r="B30" s="121" t="s">
        <v>99</v>
      </c>
      <c r="C30" s="122"/>
      <c r="D30" s="122"/>
      <c r="E30" s="122"/>
      <c r="F30" s="122"/>
      <c r="G30" s="122"/>
      <c r="H30" s="169"/>
      <c r="I30" s="123">
        <f>SUM(I13:I27)</f>
        <v>-425981.64</v>
      </c>
    </row>
    <row r="31" spans="8:9" ht="12.75">
      <c r="H31" s="96"/>
      <c r="I31" s="87"/>
    </row>
    <row r="32" spans="2:9" ht="12.75">
      <c r="B32" s="1" t="s">
        <v>95</v>
      </c>
      <c r="H32" s="172" t="s">
        <v>2</v>
      </c>
      <c r="I32" s="173" t="s">
        <v>439</v>
      </c>
    </row>
    <row r="33" spans="2:9" ht="12.75">
      <c r="B33" s="1"/>
      <c r="H33" s="96"/>
      <c r="I33" s="87"/>
    </row>
    <row r="34" spans="3:9" ht="12.75">
      <c r="C34" s="5" t="s">
        <v>622</v>
      </c>
      <c r="H34" s="96"/>
      <c r="I34" s="36"/>
    </row>
    <row r="35" spans="8:9" ht="12.75">
      <c r="H35" s="96"/>
      <c r="I35" s="87"/>
    </row>
    <row r="36" spans="3:9" ht="12.75">
      <c r="C36" s="5" t="s">
        <v>618</v>
      </c>
      <c r="H36" s="96"/>
      <c r="I36" s="36"/>
    </row>
    <row r="37" spans="8:9" ht="12.75">
      <c r="H37" s="96"/>
      <c r="I37" s="87"/>
    </row>
    <row r="38" spans="3:9" ht="12.75">
      <c r="C38" s="5" t="s">
        <v>619</v>
      </c>
      <c r="H38" s="96"/>
      <c r="I38" s="36"/>
    </row>
    <row r="39" spans="8:9" ht="12.75">
      <c r="H39" s="96"/>
      <c r="I39" s="87"/>
    </row>
    <row r="40" spans="3:9" ht="12.75">
      <c r="C40" s="5" t="s">
        <v>620</v>
      </c>
      <c r="H40" s="96"/>
      <c r="I40" s="171"/>
    </row>
    <row r="41" spans="8:9" ht="12.75">
      <c r="H41" s="96"/>
      <c r="I41" s="87"/>
    </row>
    <row r="42" spans="3:9" ht="12.75">
      <c r="C42" s="5" t="s">
        <v>621</v>
      </c>
      <c r="H42" s="96"/>
      <c r="I42" s="171"/>
    </row>
    <row r="43" spans="8:9" ht="12.75">
      <c r="H43" s="96"/>
      <c r="I43" s="87"/>
    </row>
    <row r="44" spans="3:9" ht="12.75">
      <c r="C44" s="5" t="s">
        <v>639</v>
      </c>
      <c r="H44" s="96"/>
      <c r="I44" s="171"/>
    </row>
    <row r="45" spans="3:9" ht="13.5" thickBot="1">
      <c r="C45" s="154"/>
      <c r="D45" s="154"/>
      <c r="E45" s="154"/>
      <c r="F45" s="154"/>
      <c r="G45" s="154"/>
      <c r="H45" s="292"/>
      <c r="I45" s="293"/>
    </row>
    <row r="46" spans="3:9" ht="13.5" thickTop="1">
      <c r="C46" s="5" t="s">
        <v>642</v>
      </c>
      <c r="D46" s="5"/>
      <c r="E46" s="5"/>
      <c r="F46" s="5"/>
      <c r="G46" s="5"/>
      <c r="H46" s="294"/>
      <c r="I46" s="295">
        <f>INDEX(kompyht,MATCH(F8,kuntanimi,0),1,1)</f>
        <v>4334966.235002112</v>
      </c>
    </row>
    <row r="47" spans="8:9" ht="12.75">
      <c r="H47" s="96"/>
      <c r="I47" s="87"/>
    </row>
    <row r="48" spans="3:9" ht="12.75">
      <c r="C48" s="5" t="s">
        <v>640</v>
      </c>
      <c r="H48" s="168">
        <v>1.29</v>
      </c>
      <c r="I48" s="87">
        <f>$F$9*H48</f>
        <v>38862.54</v>
      </c>
    </row>
    <row r="49" spans="8:9" ht="12.75">
      <c r="H49" s="97"/>
      <c r="I49" s="87"/>
    </row>
    <row r="50" spans="3:9" ht="12.75">
      <c r="C50" t="s">
        <v>96</v>
      </c>
      <c r="H50" s="168">
        <v>6.97</v>
      </c>
      <c r="I50" s="87">
        <f>$F$9*H50</f>
        <v>209978.22</v>
      </c>
    </row>
    <row r="51" spans="8:9" ht="12.75">
      <c r="H51" s="97"/>
      <c r="I51" s="87"/>
    </row>
    <row r="52" spans="3:9" ht="12.75">
      <c r="C52" s="5" t="s">
        <v>641</v>
      </c>
      <c r="H52" s="168">
        <v>12.97</v>
      </c>
      <c r="I52" s="87">
        <f>$F$9*H52</f>
        <v>390734.22000000003</v>
      </c>
    </row>
    <row r="53" spans="8:9" ht="12.75">
      <c r="H53" s="97"/>
      <c r="I53" s="87"/>
    </row>
    <row r="54" spans="3:9" ht="12.75">
      <c r="C54" s="5" t="s">
        <v>630</v>
      </c>
      <c r="H54" s="168">
        <v>0.09</v>
      </c>
      <c r="I54" s="87">
        <f>$F$9*H54</f>
        <v>2711.3399999999997</v>
      </c>
    </row>
    <row r="55" spans="8:9" ht="12.75">
      <c r="H55" s="96"/>
      <c r="I55" s="87"/>
    </row>
    <row r="56" spans="2:9" ht="12.75">
      <c r="B56" s="121" t="s">
        <v>97</v>
      </c>
      <c r="C56" s="122"/>
      <c r="D56" s="122"/>
      <c r="E56" s="122"/>
      <c r="F56" s="122"/>
      <c r="G56" s="122"/>
      <c r="H56" s="169"/>
      <c r="I56" s="123">
        <f>IF(OR(I34=0,I36=0,I38=0,I40=0,I42=0,I44=0),SUM(I46:I54),SUM(I34:I44)+I48+I50+I52+I54)</f>
        <v>4977252.555002111</v>
      </c>
    </row>
    <row r="57" spans="8:9" ht="12.75">
      <c r="H57" s="96"/>
      <c r="I57" s="87"/>
    </row>
    <row r="58" spans="1:9" ht="12.75">
      <c r="A58" s="110" t="s">
        <v>98</v>
      </c>
      <c r="B58" s="111"/>
      <c r="C58" s="111"/>
      <c r="D58" s="111"/>
      <c r="E58" s="111"/>
      <c r="F58" s="111"/>
      <c r="G58" s="111"/>
      <c r="H58" s="170"/>
      <c r="I58" s="112">
        <f>I30+I56</f>
        <v>4551270.915002111</v>
      </c>
    </row>
    <row r="59" ht="12.75">
      <c r="I59" s="193" t="s">
        <v>565</v>
      </c>
    </row>
    <row r="72" spans="5:22" ht="12.75">
      <c r="E72" s="290"/>
      <c r="F72" s="290"/>
      <c r="G72" s="290"/>
      <c r="H72" s="290"/>
      <c r="I72" s="290"/>
      <c r="J72" s="290"/>
      <c r="K72" s="290"/>
      <c r="L72" s="290"/>
      <c r="M72" s="290"/>
      <c r="N72" s="290"/>
      <c r="O72" s="290"/>
      <c r="P72" s="290"/>
      <c r="Q72" s="290"/>
      <c r="R72" s="290"/>
      <c r="S72" s="290"/>
      <c r="T72" s="290"/>
      <c r="U72" s="290"/>
      <c r="V72" s="290"/>
    </row>
  </sheetData>
  <sheetProtection sheet="1"/>
  <protectedRanges>
    <protectedRange sqref="H13:H19 H21" name="Alue1"/>
    <protectedRange sqref="I34:I46" name="Alue2"/>
    <protectedRange sqref="H48:H54" name="Alue3"/>
    <protectedRange sqref="H23:H25" name="Alue1_2"/>
  </protectedRanges>
  <mergeCells count="1">
    <mergeCell ref="A3:I3"/>
  </mergeCells>
  <printOptions/>
  <pageMargins left="0.75" right="0.75" top="1" bottom="1"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6" tint="0.39998000860214233"/>
  </sheetPr>
  <dimension ref="A1:J27"/>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108" t="str">
        <f>'2.Yhteenveto'!A1</f>
        <v>12.1.2014, Kuntaliitto / SL</v>
      </c>
      <c r="F1" s="126"/>
      <c r="G1" s="6"/>
      <c r="H1" s="6"/>
      <c r="I1" s="6"/>
      <c r="J1" s="6"/>
    </row>
    <row r="2" spans="6:10" ht="12.75">
      <c r="F2" s="126"/>
      <c r="G2" s="6"/>
      <c r="H2" s="6"/>
      <c r="I2" s="6"/>
      <c r="J2" s="6"/>
    </row>
    <row r="3" spans="1:10" ht="15.75">
      <c r="A3" s="314" t="s">
        <v>553</v>
      </c>
      <c r="B3" s="315"/>
      <c r="C3" s="315"/>
      <c r="D3" s="315"/>
      <c r="E3" s="315"/>
      <c r="F3" s="315"/>
      <c r="G3" s="315"/>
      <c r="H3" s="315"/>
      <c r="I3" s="315"/>
      <c r="J3" s="316"/>
    </row>
    <row r="4" spans="6:10" ht="12.75">
      <c r="F4" s="8"/>
      <c r="G4" s="8"/>
      <c r="H4" s="6"/>
      <c r="I4" s="6"/>
      <c r="J4" s="6"/>
    </row>
    <row r="5" spans="3:10" ht="12.75">
      <c r="C5" s="76" t="s">
        <v>67</v>
      </c>
      <c r="D5" s="34"/>
      <c r="E5" s="48"/>
      <c r="F5" s="77" t="s">
        <v>564</v>
      </c>
      <c r="I5" s="6"/>
      <c r="J5" s="6"/>
    </row>
    <row r="6" spans="6:10" ht="12.75">
      <c r="F6" s="8"/>
      <c r="G6" s="8"/>
      <c r="H6" s="6"/>
      <c r="I6" s="6"/>
      <c r="J6" s="6"/>
    </row>
    <row r="7" spans="2:10" ht="12.75">
      <c r="B7" s="113" t="s">
        <v>1</v>
      </c>
      <c r="E7" s="9"/>
      <c r="F7" s="221" t="str">
        <f>'2.Yhteenveto'!G12</f>
        <v>Kangasala</v>
      </c>
      <c r="H7" s="6"/>
      <c r="I7" s="6"/>
      <c r="J7" s="6"/>
    </row>
    <row r="8" spans="2:10" ht="12.75">
      <c r="B8" s="113" t="s">
        <v>634</v>
      </c>
      <c r="E8" s="8"/>
      <c r="F8" s="221">
        <f>'2.Yhteenveto'!$H$13</f>
        <v>30126</v>
      </c>
      <c r="H8" s="6"/>
      <c r="I8" s="6"/>
      <c r="J8" s="6"/>
    </row>
    <row r="9" spans="2:10" ht="12.75">
      <c r="B9" s="113"/>
      <c r="E9" s="8"/>
      <c r="G9" s="8"/>
      <c r="H9" s="6"/>
      <c r="I9" s="6"/>
      <c r="J9" s="6"/>
    </row>
    <row r="10" spans="2:10" ht="12.75">
      <c r="B10" s="113"/>
      <c r="E10" s="8"/>
      <c r="G10" s="8"/>
      <c r="H10" s="6"/>
      <c r="I10" s="6"/>
      <c r="J10" s="6"/>
    </row>
    <row r="11" spans="2:10" ht="12.75">
      <c r="B11" s="113"/>
      <c r="E11" s="8"/>
      <c r="G11" s="8"/>
      <c r="H11" s="6"/>
      <c r="I11" s="6"/>
      <c r="J11" s="6"/>
    </row>
    <row r="12" spans="2:10" ht="12.75">
      <c r="B12" s="113"/>
      <c r="E12" s="8"/>
      <c r="G12" s="8"/>
      <c r="H12" s="6"/>
      <c r="I12" s="6"/>
      <c r="J12" s="6"/>
    </row>
    <row r="13" spans="2:10" ht="12.75">
      <c r="B13" s="113"/>
      <c r="E13" s="8"/>
      <c r="G13" s="8"/>
      <c r="H13" s="6"/>
      <c r="I13" s="6"/>
      <c r="J13" s="6"/>
    </row>
    <row r="14" spans="2:10" ht="12.75">
      <c r="B14" s="113"/>
      <c r="E14" s="8"/>
      <c r="G14" s="8"/>
      <c r="H14" s="6"/>
      <c r="I14" s="6"/>
      <c r="J14" s="6"/>
    </row>
    <row r="15" spans="2:10" ht="12.75">
      <c r="B15" s="113"/>
      <c r="E15" s="8"/>
      <c r="G15" s="8"/>
      <c r="H15" s="6"/>
      <c r="I15" s="6"/>
      <c r="J15" s="6"/>
    </row>
    <row r="16" spans="2:10" ht="12.75">
      <c r="B16" s="113"/>
      <c r="E16" s="8"/>
      <c r="G16" s="8"/>
      <c r="H16" s="6"/>
      <c r="I16" s="6"/>
      <c r="J16" s="6"/>
    </row>
    <row r="17" spans="2:10" ht="12.75">
      <c r="B17" s="113"/>
      <c r="E17" s="8"/>
      <c r="G17" s="8"/>
      <c r="H17" s="6"/>
      <c r="I17" s="6"/>
      <c r="J17" s="6"/>
    </row>
    <row r="18" spans="2:10" ht="12.75">
      <c r="B18" s="113"/>
      <c r="E18" s="8"/>
      <c r="G18" s="8"/>
      <c r="H18" s="6"/>
      <c r="I18" s="6"/>
      <c r="J18" s="6"/>
    </row>
    <row r="19" spans="2:10" ht="12.75">
      <c r="B19" s="113"/>
      <c r="E19" s="8"/>
      <c r="G19" s="8"/>
      <c r="H19" s="6"/>
      <c r="I19" s="6"/>
      <c r="J19" s="6"/>
    </row>
    <row r="20" spans="2:10" ht="12.75">
      <c r="B20" s="113"/>
      <c r="E20" s="8"/>
      <c r="G20" s="8"/>
      <c r="H20" s="6"/>
      <c r="I20" s="6"/>
      <c r="J20" s="6"/>
    </row>
    <row r="21" spans="2:10" ht="12.75">
      <c r="B21" s="113"/>
      <c r="E21" s="8"/>
      <c r="G21" s="8"/>
      <c r="H21" s="6"/>
      <c r="I21" s="6"/>
      <c r="J21" s="6"/>
    </row>
    <row r="22" spans="2:10" ht="12.75">
      <c r="B22" s="113"/>
      <c r="E22" s="8"/>
      <c r="G22" s="8"/>
      <c r="H22" s="6"/>
      <c r="I22" s="6"/>
      <c r="J22" s="6"/>
    </row>
    <row r="23" spans="2:10" ht="12.75">
      <c r="B23" s="34" t="str">
        <f>CONCATENATE("Järjestelmämuutoksen tasaus, ",F7," (",F8," asukasta 31.12.2011)")</f>
        <v>Järjestelmämuutoksen tasaus, Kangasala (30126 asukasta 31.12.2011)</v>
      </c>
      <c r="H23" s="6"/>
      <c r="I23" s="6"/>
      <c r="J23" s="36">
        <f>INDEX(jarjmuut,MATCH(F7,kuntanimi,0),1,1)</f>
        <v>-235774.60303405012</v>
      </c>
    </row>
    <row r="24" spans="3:10" ht="12.75">
      <c r="C24" s="5"/>
      <c r="E24" s="8"/>
      <c r="I24" s="18"/>
      <c r="J24" s="6"/>
    </row>
    <row r="25" spans="7:10" ht="12.75">
      <c r="G25" s="32"/>
      <c r="H25" s="32"/>
      <c r="I25" s="32"/>
      <c r="J25" s="32"/>
    </row>
    <row r="26" spans="1:10" ht="12.75">
      <c r="A26" s="124" t="s">
        <v>438</v>
      </c>
      <c r="B26" s="111"/>
      <c r="C26" s="111"/>
      <c r="D26" s="111"/>
      <c r="E26" s="111"/>
      <c r="F26" s="111"/>
      <c r="G26" s="125"/>
      <c r="H26" s="125"/>
      <c r="I26" s="125"/>
      <c r="J26" s="135">
        <f>J23</f>
        <v>-235774.60303405012</v>
      </c>
    </row>
    <row r="27" spans="6:10" ht="12.75">
      <c r="F27" s="12"/>
      <c r="G27" s="32"/>
      <c r="H27" s="32"/>
      <c r="I27" s="32"/>
      <c r="J27" s="193" t="s">
        <v>565</v>
      </c>
    </row>
  </sheetData>
  <sheetProtection sheet="1"/>
  <protectedRanges>
    <protectedRange sqref="J23"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R315"/>
  <sheetViews>
    <sheetView zoomScalePageLayoutView="0" workbookViewId="0" topLeftCell="A1">
      <selection activeCell="N8" sqref="N8"/>
    </sheetView>
  </sheetViews>
  <sheetFormatPr defaultColWidth="9.140625" defaultRowHeight="12.75"/>
  <cols>
    <col min="1" max="4" width="2.57421875" style="0" customWidth="1"/>
    <col min="5" max="5" width="12.421875" style="0" customWidth="1"/>
    <col min="6" max="6" width="7.421875" style="0" customWidth="1"/>
    <col min="7" max="7" width="10.57421875" style="0" customWidth="1"/>
    <col min="8" max="8" width="13.421875" style="0" customWidth="1"/>
    <col min="9" max="9" width="12.28125" style="0" customWidth="1"/>
    <col min="10" max="10" width="7.140625" style="0" customWidth="1"/>
    <col min="11" max="11" width="10.140625" style="0" customWidth="1"/>
    <col min="12" max="12" width="13.140625" style="0" customWidth="1"/>
    <col min="14" max="14" width="15.421875" style="0" customWidth="1"/>
    <col min="15" max="15" width="13.00390625" style="0" customWidth="1"/>
    <col min="16" max="16" width="6.140625" style="0" bestFit="1" customWidth="1"/>
  </cols>
  <sheetData>
    <row r="1" ht="12.75">
      <c r="A1" s="108" t="str">
        <f>'2.Yhteenveto'!A1</f>
        <v>12.1.2014, Kuntaliitto / SL</v>
      </c>
    </row>
    <row r="3" spans="1:12" ht="18">
      <c r="A3" s="303" t="s">
        <v>478</v>
      </c>
      <c r="B3" s="304"/>
      <c r="C3" s="304"/>
      <c r="D3" s="304"/>
      <c r="E3" s="304"/>
      <c r="F3" s="304"/>
      <c r="G3" s="304"/>
      <c r="H3" s="304"/>
      <c r="I3" s="304"/>
      <c r="J3" s="304"/>
      <c r="K3" s="304"/>
      <c r="L3" s="305"/>
    </row>
    <row r="5" spans="2:16" ht="18">
      <c r="B5" s="76" t="s">
        <v>67</v>
      </c>
      <c r="C5" s="34"/>
      <c r="D5" s="34"/>
      <c r="E5" s="48"/>
      <c r="F5" s="77" t="s">
        <v>564</v>
      </c>
      <c r="N5" s="185" t="s">
        <v>113</v>
      </c>
      <c r="O5" s="102"/>
      <c r="P5" s="102"/>
    </row>
    <row r="6" spans="2:16" ht="18">
      <c r="B6" s="34"/>
      <c r="C6" s="34"/>
      <c r="D6" s="34"/>
      <c r="E6" s="138"/>
      <c r="F6" s="77" t="s">
        <v>563</v>
      </c>
      <c r="N6" s="185" t="s">
        <v>651</v>
      </c>
      <c r="O6" s="102"/>
      <c r="P6" s="102"/>
    </row>
    <row r="7" spans="14:16" ht="14.25">
      <c r="N7" s="103" t="s">
        <v>653</v>
      </c>
      <c r="O7" s="103"/>
      <c r="P7" s="103"/>
    </row>
    <row r="8" spans="1:16" ht="14.25">
      <c r="A8" s="113" t="s">
        <v>1</v>
      </c>
      <c r="G8" s="282" t="str">
        <f>'2.Yhteenveto'!G12</f>
        <v>Kangasala</v>
      </c>
      <c r="N8" s="104"/>
      <c r="O8" s="104"/>
      <c r="P8" s="104"/>
    </row>
    <row r="9" spans="1:16" ht="12.75">
      <c r="A9" s="113" t="s">
        <v>634</v>
      </c>
      <c r="G9" s="283">
        <f>'2.Yhteenveto'!H13</f>
        <v>30126</v>
      </c>
      <c r="N9" s="182" t="s">
        <v>91</v>
      </c>
      <c r="O9" s="285" t="s">
        <v>114</v>
      </c>
      <c r="P9" s="285"/>
    </row>
    <row r="10" spans="5:16" ht="12.75">
      <c r="E10" s="1"/>
      <c r="N10" s="183"/>
      <c r="O10" s="286" t="s">
        <v>115</v>
      </c>
      <c r="P10" s="286" t="s">
        <v>628</v>
      </c>
    </row>
    <row r="11" spans="2:16" ht="12.75">
      <c r="B11" s="1" t="s">
        <v>481</v>
      </c>
      <c r="N11" s="184"/>
      <c r="O11" s="287" t="s">
        <v>116</v>
      </c>
      <c r="P11" s="287" t="s">
        <v>629</v>
      </c>
    </row>
    <row r="12" spans="6:18" ht="12.75">
      <c r="F12" s="3" t="s">
        <v>50</v>
      </c>
      <c r="G12" s="3" t="s">
        <v>54</v>
      </c>
      <c r="H12" s="3" t="s">
        <v>55</v>
      </c>
      <c r="N12" s="177" t="s">
        <v>117</v>
      </c>
      <c r="O12" s="178">
        <v>5953.25</v>
      </c>
      <c r="P12" s="296">
        <v>20</v>
      </c>
      <c r="R12" s="87"/>
    </row>
    <row r="13" spans="5:18" ht="12.75">
      <c r="E13" s="57" t="s">
        <v>53</v>
      </c>
      <c r="F13" s="37"/>
      <c r="G13" s="60">
        <f>G14*0.91</f>
        <v>5416.2563</v>
      </c>
      <c r="H13" s="52">
        <f>F13*G13</f>
        <v>0</v>
      </c>
      <c r="N13" s="179" t="s">
        <v>118</v>
      </c>
      <c r="O13" s="180">
        <v>6886.82</v>
      </c>
      <c r="P13" s="297">
        <v>5</v>
      </c>
      <c r="R13" s="87"/>
    </row>
    <row r="14" spans="5:18" ht="12.75">
      <c r="E14" s="57" t="s">
        <v>52</v>
      </c>
      <c r="F14" s="37"/>
      <c r="G14" s="60">
        <f>INDEX(kkkpo,MATCH(G8,kuntanimi,0),1,1)</f>
        <v>5951.93</v>
      </c>
      <c r="H14" s="52">
        <f>F14*G14</f>
        <v>0</v>
      </c>
      <c r="N14" s="179" t="s">
        <v>119</v>
      </c>
      <c r="O14" s="180">
        <v>6846.94</v>
      </c>
      <c r="P14" s="297">
        <v>9</v>
      </c>
      <c r="R14" s="87"/>
    </row>
    <row r="15" spans="5:18" ht="13.5" thickBot="1">
      <c r="E15" t="s">
        <v>51</v>
      </c>
      <c r="F15" s="37"/>
      <c r="G15" s="60">
        <f>G14*1.35</f>
        <v>8035.105500000001</v>
      </c>
      <c r="H15" s="186">
        <f>F15*G15</f>
        <v>0</v>
      </c>
      <c r="N15" s="179" t="s">
        <v>120</v>
      </c>
      <c r="O15" s="180">
        <v>6814.83</v>
      </c>
      <c r="P15" s="297">
        <v>10</v>
      </c>
      <c r="R15" s="87"/>
    </row>
    <row r="16" spans="1:18" ht="13.5" thickTop="1">
      <c r="A16" s="64"/>
      <c r="B16" s="174" t="s">
        <v>480</v>
      </c>
      <c r="C16" s="64"/>
      <c r="D16" s="64"/>
      <c r="E16" s="174"/>
      <c r="F16" s="174"/>
      <c r="G16" s="175"/>
      <c r="H16" s="175">
        <f>SUM(H13:H15)</f>
        <v>0</v>
      </c>
      <c r="I16" s="176"/>
      <c r="N16" s="179" t="s">
        <v>121</v>
      </c>
      <c r="O16" s="180">
        <v>6623</v>
      </c>
      <c r="P16" s="297">
        <v>16</v>
      </c>
      <c r="R16" s="87"/>
    </row>
    <row r="17" spans="1:18" ht="12.75">
      <c r="A17" s="64"/>
      <c r="B17" s="174"/>
      <c r="C17" s="64"/>
      <c r="D17" s="64"/>
      <c r="E17" s="174"/>
      <c r="F17" s="174"/>
      <c r="G17" s="175"/>
      <c r="H17" s="193" t="s">
        <v>565</v>
      </c>
      <c r="I17" s="176"/>
      <c r="N17" s="179" t="s">
        <v>122</v>
      </c>
      <c r="O17" s="180">
        <v>6350.46</v>
      </c>
      <c r="P17" s="297">
        <v>18</v>
      </c>
      <c r="R17" s="87"/>
    </row>
    <row r="18" spans="1:18" ht="12.75">
      <c r="A18" s="64"/>
      <c r="B18" s="174"/>
      <c r="C18" s="64"/>
      <c r="D18" s="64"/>
      <c r="E18" s="174"/>
      <c r="F18" s="174"/>
      <c r="G18" s="175"/>
      <c r="H18" s="175"/>
      <c r="I18" s="176"/>
      <c r="N18" s="179" t="s">
        <v>123</v>
      </c>
      <c r="O18" s="180">
        <v>5988.18</v>
      </c>
      <c r="P18" s="297">
        <v>19</v>
      </c>
      <c r="R18" s="87"/>
    </row>
    <row r="19" spans="14:18" ht="12.75">
      <c r="N19" s="179" t="s">
        <v>124</v>
      </c>
      <c r="O19" s="180">
        <v>7828.93</v>
      </c>
      <c r="P19" s="297">
        <v>46</v>
      </c>
      <c r="R19" s="87"/>
    </row>
    <row r="20" spans="1:18" ht="12.75">
      <c r="A20" s="64"/>
      <c r="B20" s="174" t="s">
        <v>479</v>
      </c>
      <c r="C20" s="64"/>
      <c r="D20" s="64"/>
      <c r="E20" s="174"/>
      <c r="F20" s="64"/>
      <c r="G20" s="64"/>
      <c r="H20" s="175">
        <f>L164</f>
        <v>0</v>
      </c>
      <c r="I20" s="176"/>
      <c r="K20" s="1"/>
      <c r="N20" s="179" t="s">
        <v>125</v>
      </c>
      <c r="O20" s="180">
        <v>9985.91</v>
      </c>
      <c r="P20" s="297">
        <v>47</v>
      </c>
      <c r="R20" s="87"/>
    </row>
    <row r="21" spans="14:18" ht="12.75">
      <c r="N21" s="179" t="s">
        <v>126</v>
      </c>
      <c r="O21" s="180">
        <v>6431.07</v>
      </c>
      <c r="P21" s="297">
        <v>49</v>
      </c>
      <c r="R21" s="87"/>
    </row>
    <row r="22" spans="2:18" ht="12.75">
      <c r="B22" s="291" t="s">
        <v>625</v>
      </c>
      <c r="N22" s="179" t="s">
        <v>127</v>
      </c>
      <c r="O22" s="180">
        <v>6389.83</v>
      </c>
      <c r="P22" s="297">
        <v>50</v>
      </c>
      <c r="R22" s="87"/>
    </row>
    <row r="23" spans="14:18" ht="12.75">
      <c r="N23" s="179" t="s">
        <v>128</v>
      </c>
      <c r="O23" s="180">
        <v>6546.23</v>
      </c>
      <c r="P23" s="297">
        <v>51</v>
      </c>
      <c r="R23" s="87"/>
    </row>
    <row r="24" spans="5:18" ht="12.75">
      <c r="E24" s="78" t="s">
        <v>68</v>
      </c>
      <c r="F24" s="317" t="s">
        <v>117</v>
      </c>
      <c r="G24" s="318"/>
      <c r="H24" s="62"/>
      <c r="I24" s="78" t="s">
        <v>68</v>
      </c>
      <c r="J24" s="317" t="s">
        <v>118</v>
      </c>
      <c r="K24" s="318"/>
      <c r="L24" s="62"/>
      <c r="N24" s="179" t="s">
        <v>129</v>
      </c>
      <c r="O24" s="180">
        <v>7120.92</v>
      </c>
      <c r="P24" s="297">
        <v>52</v>
      </c>
      <c r="R24" s="87"/>
    </row>
    <row r="25" spans="5:18" ht="12.75">
      <c r="E25" s="63"/>
      <c r="F25" s="64"/>
      <c r="G25" s="64"/>
      <c r="H25" s="65"/>
      <c r="I25" s="63"/>
      <c r="J25" s="64"/>
      <c r="K25" s="64"/>
      <c r="L25" s="65"/>
      <c r="N25" s="179" t="s">
        <v>130</v>
      </c>
      <c r="O25" s="180">
        <v>5983.3</v>
      </c>
      <c r="P25" s="297">
        <v>61</v>
      </c>
      <c r="R25" s="87"/>
    </row>
    <row r="26" spans="5:18" ht="12.75">
      <c r="E26" s="63"/>
      <c r="F26" s="66" t="s">
        <v>50</v>
      </c>
      <c r="G26" s="66" t="s">
        <v>54</v>
      </c>
      <c r="H26" s="67" t="s">
        <v>55</v>
      </c>
      <c r="I26" s="63"/>
      <c r="J26" s="66" t="s">
        <v>50</v>
      </c>
      <c r="K26" s="66" t="s">
        <v>54</v>
      </c>
      <c r="L26" s="67" t="s">
        <v>55</v>
      </c>
      <c r="N26" s="179" t="s">
        <v>131</v>
      </c>
      <c r="O26" s="180">
        <v>6901.95</v>
      </c>
      <c r="P26" s="297">
        <v>69</v>
      </c>
      <c r="R26" s="87"/>
    </row>
    <row r="27" spans="5:18" ht="12.75">
      <c r="E27" s="68" t="s">
        <v>53</v>
      </c>
      <c r="F27" s="37"/>
      <c r="G27" s="60">
        <f>G28*0.91</f>
        <v>5417.4575</v>
      </c>
      <c r="H27" s="69">
        <f>F27*G27</f>
        <v>0</v>
      </c>
      <c r="I27" s="68" t="s">
        <v>53</v>
      </c>
      <c r="J27" s="37"/>
      <c r="K27" s="60">
        <f>K28*0.91</f>
        <v>6267.0062</v>
      </c>
      <c r="L27" s="69">
        <f>J27*K27</f>
        <v>0</v>
      </c>
      <c r="N27" s="179" t="s">
        <v>132</v>
      </c>
      <c r="O27" s="180">
        <v>7158.04</v>
      </c>
      <c r="P27" s="297">
        <v>71</v>
      </c>
      <c r="R27" s="87"/>
    </row>
    <row r="28" spans="5:18" ht="12.75">
      <c r="E28" s="68" t="s">
        <v>52</v>
      </c>
      <c r="F28" s="37"/>
      <c r="G28" s="60">
        <f>INDEX(kkkpo,MATCH(F24,kuntanimi,0),1,1)</f>
        <v>5953.25</v>
      </c>
      <c r="H28" s="69">
        <f>F28*G28</f>
        <v>0</v>
      </c>
      <c r="I28" s="68" t="s">
        <v>52</v>
      </c>
      <c r="J28" s="37"/>
      <c r="K28" s="60">
        <f>INDEX(kkkpo,MATCH(J24,kuntanimi,0),1,1)</f>
        <v>6886.82</v>
      </c>
      <c r="L28" s="69">
        <f>J28*K28</f>
        <v>0</v>
      </c>
      <c r="N28" s="179" t="s">
        <v>133</v>
      </c>
      <c r="O28" s="180">
        <v>9154.06</v>
      </c>
      <c r="P28" s="297">
        <v>72</v>
      </c>
      <c r="R28" s="87"/>
    </row>
    <row r="29" spans="5:18" ht="12.75">
      <c r="E29" s="63" t="s">
        <v>51</v>
      </c>
      <c r="F29" s="37"/>
      <c r="G29" s="60">
        <f>G28*1.35</f>
        <v>8036.887500000001</v>
      </c>
      <c r="H29" s="69">
        <f>F29*G29</f>
        <v>0</v>
      </c>
      <c r="I29" s="63" t="s">
        <v>51</v>
      </c>
      <c r="J29" s="37"/>
      <c r="K29" s="60">
        <f>K28*1.35</f>
        <v>9297.207</v>
      </c>
      <c r="L29" s="69">
        <f>J29*K29</f>
        <v>0</v>
      </c>
      <c r="N29" s="179" t="s">
        <v>134</v>
      </c>
      <c r="O29" s="180">
        <v>7999.89</v>
      </c>
      <c r="P29" s="297">
        <v>74</v>
      </c>
      <c r="R29" s="87"/>
    </row>
    <row r="30" spans="5:18" ht="12.75">
      <c r="E30" s="70" t="s">
        <v>10</v>
      </c>
      <c r="F30" s="71"/>
      <c r="G30" s="72"/>
      <c r="H30" s="73">
        <f>SUM(H27:H29)</f>
        <v>0</v>
      </c>
      <c r="I30" s="70" t="s">
        <v>10</v>
      </c>
      <c r="J30" s="71"/>
      <c r="K30" s="72"/>
      <c r="L30" s="73">
        <f>SUM(L27:L29)</f>
        <v>0</v>
      </c>
      <c r="N30" s="179" t="s">
        <v>135</v>
      </c>
      <c r="O30" s="180">
        <v>6102.42</v>
      </c>
      <c r="P30" s="297">
        <v>75</v>
      </c>
      <c r="R30" s="87"/>
    </row>
    <row r="31" spans="5:18" ht="12.75">
      <c r="E31" s="78" t="s">
        <v>68</v>
      </c>
      <c r="F31" s="317" t="s">
        <v>119</v>
      </c>
      <c r="G31" s="318"/>
      <c r="H31" s="62"/>
      <c r="I31" s="78" t="s">
        <v>68</v>
      </c>
      <c r="J31" s="317" t="s">
        <v>120</v>
      </c>
      <c r="K31" s="318"/>
      <c r="L31" s="62"/>
      <c r="N31" s="179" t="s">
        <v>136</v>
      </c>
      <c r="O31" s="180">
        <v>6931.16</v>
      </c>
      <c r="P31" s="297">
        <v>77</v>
      </c>
      <c r="R31" s="87"/>
    </row>
    <row r="32" spans="5:18" ht="12.75">
      <c r="E32" s="63"/>
      <c r="F32" s="64"/>
      <c r="G32" s="64"/>
      <c r="H32" s="65"/>
      <c r="I32" s="63"/>
      <c r="J32" s="64"/>
      <c r="K32" s="64"/>
      <c r="L32" s="65"/>
      <c r="N32" s="179" t="s">
        <v>137</v>
      </c>
      <c r="O32" s="180">
        <v>6629.02</v>
      </c>
      <c r="P32" s="297">
        <v>78</v>
      </c>
      <c r="R32" s="87"/>
    </row>
    <row r="33" spans="5:18" ht="12.75">
      <c r="E33" s="63"/>
      <c r="F33" s="66" t="s">
        <v>50</v>
      </c>
      <c r="G33" s="66" t="s">
        <v>54</v>
      </c>
      <c r="H33" s="67" t="s">
        <v>55</v>
      </c>
      <c r="I33" s="63"/>
      <c r="J33" s="66" t="s">
        <v>50</v>
      </c>
      <c r="K33" s="66" t="s">
        <v>54</v>
      </c>
      <c r="L33" s="67" t="s">
        <v>55</v>
      </c>
      <c r="N33" s="179" t="s">
        <v>138</v>
      </c>
      <c r="O33" s="180">
        <v>5969.63</v>
      </c>
      <c r="P33" s="297">
        <v>79</v>
      </c>
      <c r="R33" s="87"/>
    </row>
    <row r="34" spans="5:18" ht="12.75">
      <c r="E34" s="68" t="s">
        <v>53</v>
      </c>
      <c r="F34" s="37"/>
      <c r="G34" s="60">
        <f>G35*0.91</f>
        <v>6230.7154</v>
      </c>
      <c r="H34" s="69">
        <f>F34*G34</f>
        <v>0</v>
      </c>
      <c r="I34" s="68" t="s">
        <v>53</v>
      </c>
      <c r="J34" s="37"/>
      <c r="K34" s="60">
        <f>K35*0.91</f>
        <v>6201.4953000000005</v>
      </c>
      <c r="L34" s="69">
        <f>J34*K34</f>
        <v>0</v>
      </c>
      <c r="N34" s="179" t="s">
        <v>139</v>
      </c>
      <c r="O34" s="180">
        <v>7244.81</v>
      </c>
      <c r="P34" s="297">
        <v>81</v>
      </c>
      <c r="R34" s="87"/>
    </row>
    <row r="35" spans="5:18" ht="12.75">
      <c r="E35" s="68" t="s">
        <v>52</v>
      </c>
      <c r="F35" s="37"/>
      <c r="G35" s="60">
        <f>INDEX(kkkpo,MATCH(F31,kuntanimi,0),1,1)</f>
        <v>6846.94</v>
      </c>
      <c r="H35" s="69">
        <f>F35*G35</f>
        <v>0</v>
      </c>
      <c r="I35" s="68" t="s">
        <v>52</v>
      </c>
      <c r="J35" s="37"/>
      <c r="K35" s="60">
        <f>INDEX(kkkpo,MATCH(J31,kuntanimi,0),1,1)</f>
        <v>6814.83</v>
      </c>
      <c r="L35" s="69">
        <f>J35*K35</f>
        <v>0</v>
      </c>
      <c r="N35" s="179" t="s">
        <v>140</v>
      </c>
      <c r="O35" s="180">
        <v>6209.73</v>
      </c>
      <c r="P35" s="297">
        <v>82</v>
      </c>
      <c r="R35" s="87"/>
    </row>
    <row r="36" spans="5:18" ht="12.75">
      <c r="E36" s="63" t="s">
        <v>51</v>
      </c>
      <c r="F36" s="37"/>
      <c r="G36" s="60">
        <f>G35*1.35</f>
        <v>9243.369</v>
      </c>
      <c r="H36" s="69">
        <f>F36*G36</f>
        <v>0</v>
      </c>
      <c r="I36" s="63" t="s">
        <v>51</v>
      </c>
      <c r="J36" s="37"/>
      <c r="K36" s="60">
        <f>K35*1.35</f>
        <v>9200.0205</v>
      </c>
      <c r="L36" s="69">
        <f>J36*K36</f>
        <v>0</v>
      </c>
      <c r="N36" s="179" t="s">
        <v>141</v>
      </c>
      <c r="O36" s="180">
        <v>6350.88</v>
      </c>
      <c r="P36" s="297">
        <v>86</v>
      </c>
      <c r="R36" s="87"/>
    </row>
    <row r="37" spans="5:18" ht="12.75">
      <c r="E37" s="70" t="s">
        <v>10</v>
      </c>
      <c r="F37" s="71"/>
      <c r="G37" s="72"/>
      <c r="H37" s="73">
        <f>SUM(H34:H36)</f>
        <v>0</v>
      </c>
      <c r="I37" s="70" t="s">
        <v>10</v>
      </c>
      <c r="J37" s="71"/>
      <c r="K37" s="72"/>
      <c r="L37" s="73">
        <f>SUM(L34:L36)</f>
        <v>0</v>
      </c>
      <c r="N37" s="179" t="s">
        <v>142</v>
      </c>
      <c r="O37" s="180">
        <v>6185.49</v>
      </c>
      <c r="P37" s="297">
        <v>111</v>
      </c>
      <c r="R37" s="87"/>
    </row>
    <row r="38" spans="5:18" ht="12.75">
      <c r="E38" s="78" t="s">
        <v>68</v>
      </c>
      <c r="F38" s="317" t="s">
        <v>121</v>
      </c>
      <c r="G38" s="318"/>
      <c r="H38" s="62"/>
      <c r="I38" s="78" t="s">
        <v>68</v>
      </c>
      <c r="J38" s="317" t="s">
        <v>122</v>
      </c>
      <c r="K38" s="318"/>
      <c r="L38" s="62"/>
      <c r="N38" s="179" t="s">
        <v>143</v>
      </c>
      <c r="O38" s="180">
        <v>7723.11</v>
      </c>
      <c r="P38" s="297">
        <v>90</v>
      </c>
      <c r="R38" s="87"/>
    </row>
    <row r="39" spans="5:18" ht="12.75">
      <c r="E39" s="63"/>
      <c r="F39" s="64"/>
      <c r="G39" s="64"/>
      <c r="H39" s="65"/>
      <c r="I39" s="63"/>
      <c r="J39" s="64"/>
      <c r="K39" s="64"/>
      <c r="L39" s="65"/>
      <c r="N39" s="179" t="s">
        <v>144</v>
      </c>
      <c r="O39" s="180">
        <v>6475.34</v>
      </c>
      <c r="P39" s="297">
        <v>91</v>
      </c>
      <c r="R39" s="87"/>
    </row>
    <row r="40" spans="5:18" ht="12.75">
      <c r="E40" s="63"/>
      <c r="F40" s="66" t="s">
        <v>50</v>
      </c>
      <c r="G40" s="66" t="s">
        <v>54</v>
      </c>
      <c r="H40" s="67" t="s">
        <v>55</v>
      </c>
      <c r="I40" s="63"/>
      <c r="J40" s="66" t="s">
        <v>50</v>
      </c>
      <c r="K40" s="66" t="s">
        <v>54</v>
      </c>
      <c r="L40" s="67" t="s">
        <v>55</v>
      </c>
      <c r="N40" s="179" t="s">
        <v>145</v>
      </c>
      <c r="O40" s="180">
        <v>7347.51</v>
      </c>
      <c r="P40" s="297">
        <v>97</v>
      </c>
      <c r="R40" s="87"/>
    </row>
    <row r="41" spans="5:18" ht="12.75">
      <c r="E41" s="68" t="s">
        <v>53</v>
      </c>
      <c r="F41" s="37"/>
      <c r="G41" s="60">
        <f>G42*0.91</f>
        <v>6026.93</v>
      </c>
      <c r="H41" s="69">
        <f>F41*G41</f>
        <v>0</v>
      </c>
      <c r="I41" s="68" t="s">
        <v>53</v>
      </c>
      <c r="J41" s="37"/>
      <c r="K41" s="60">
        <f>K42*0.91</f>
        <v>5778.9186</v>
      </c>
      <c r="L41" s="69">
        <f>J41*K41</f>
        <v>0</v>
      </c>
      <c r="N41" s="179" t="s">
        <v>146</v>
      </c>
      <c r="O41" s="180">
        <v>5958.42</v>
      </c>
      <c r="P41" s="297">
        <v>98</v>
      </c>
      <c r="R41" s="87"/>
    </row>
    <row r="42" spans="5:18" ht="12.75">
      <c r="E42" s="68" t="s">
        <v>52</v>
      </c>
      <c r="F42" s="37"/>
      <c r="G42" s="60">
        <f>INDEX(kkkpo,MATCH(F38,kuntanimi,0),1,1)</f>
        <v>6623</v>
      </c>
      <c r="H42" s="69">
        <f>F42*G42</f>
        <v>0</v>
      </c>
      <c r="I42" s="68" t="s">
        <v>52</v>
      </c>
      <c r="J42" s="37"/>
      <c r="K42" s="60">
        <f>INDEX(kkkpo,MATCH(J38,kuntanimi,0),1,1)</f>
        <v>6350.46</v>
      </c>
      <c r="L42" s="69">
        <f>J42*K42</f>
        <v>0</v>
      </c>
      <c r="N42" s="179" t="s">
        <v>147</v>
      </c>
      <c r="O42" s="180">
        <v>7420.25</v>
      </c>
      <c r="P42" s="297">
        <v>99</v>
      </c>
      <c r="R42" s="87"/>
    </row>
    <row r="43" spans="5:18" ht="12.75">
      <c r="E43" s="63" t="s">
        <v>51</v>
      </c>
      <c r="F43" s="37"/>
      <c r="G43" s="60">
        <f>G42*1.35</f>
        <v>8941.050000000001</v>
      </c>
      <c r="H43" s="69">
        <f>F43*G43</f>
        <v>0</v>
      </c>
      <c r="I43" s="63" t="s">
        <v>51</v>
      </c>
      <c r="J43" s="37"/>
      <c r="K43" s="60">
        <f>K42*1.35</f>
        <v>8573.121000000001</v>
      </c>
      <c r="L43" s="69">
        <f>J43*K43</f>
        <v>0</v>
      </c>
      <c r="N43" s="179" t="s">
        <v>148</v>
      </c>
      <c r="O43" s="180">
        <v>6443.58</v>
      </c>
      <c r="P43" s="297">
        <v>102</v>
      </c>
      <c r="R43" s="87"/>
    </row>
    <row r="44" spans="5:18" ht="12.75">
      <c r="E44" s="70" t="s">
        <v>10</v>
      </c>
      <c r="F44" s="71"/>
      <c r="G44" s="72"/>
      <c r="H44" s="73">
        <f>SUM(H41:H43)</f>
        <v>0</v>
      </c>
      <c r="I44" s="70" t="s">
        <v>10</v>
      </c>
      <c r="J44" s="71"/>
      <c r="K44" s="72"/>
      <c r="L44" s="73">
        <f>SUM(L41:L43)</f>
        <v>0</v>
      </c>
      <c r="N44" s="179" t="s">
        <v>149</v>
      </c>
      <c r="O44" s="180">
        <v>6558.1</v>
      </c>
      <c r="P44" s="297">
        <v>103</v>
      </c>
      <c r="R44" s="87"/>
    </row>
    <row r="45" spans="5:18" ht="12.75">
      <c r="E45" s="78" t="s">
        <v>68</v>
      </c>
      <c r="F45" s="317" t="s">
        <v>123</v>
      </c>
      <c r="G45" s="318"/>
      <c r="H45" s="62"/>
      <c r="I45" s="78" t="s">
        <v>68</v>
      </c>
      <c r="J45" s="317" t="s">
        <v>124</v>
      </c>
      <c r="K45" s="318"/>
      <c r="L45" s="62"/>
      <c r="N45" s="179" t="s">
        <v>150</v>
      </c>
      <c r="O45" s="180">
        <v>8435.33</v>
      </c>
      <c r="P45" s="297">
        <v>105</v>
      </c>
      <c r="R45" s="87"/>
    </row>
    <row r="46" spans="5:18" ht="12.75">
      <c r="E46" s="63"/>
      <c r="F46" s="64"/>
      <c r="G46" s="64"/>
      <c r="H46" s="65"/>
      <c r="I46" s="63"/>
      <c r="J46" s="64"/>
      <c r="K46" s="64"/>
      <c r="L46" s="65"/>
      <c r="N46" s="179" t="s">
        <v>151</v>
      </c>
      <c r="O46" s="180">
        <v>6001.78</v>
      </c>
      <c r="P46" s="297">
        <v>106</v>
      </c>
      <c r="R46" s="87"/>
    </row>
    <row r="47" spans="5:18" ht="12.75">
      <c r="E47" s="63"/>
      <c r="F47" s="66" t="s">
        <v>50</v>
      </c>
      <c r="G47" s="66" t="s">
        <v>54</v>
      </c>
      <c r="H47" s="67" t="s">
        <v>55</v>
      </c>
      <c r="I47" s="63"/>
      <c r="J47" s="66" t="s">
        <v>50</v>
      </c>
      <c r="K47" s="66" t="s">
        <v>54</v>
      </c>
      <c r="L47" s="67" t="s">
        <v>55</v>
      </c>
      <c r="N47" s="179" t="s">
        <v>152</v>
      </c>
      <c r="O47" s="180">
        <v>6861.39</v>
      </c>
      <c r="P47" s="297">
        <v>283</v>
      </c>
      <c r="R47" s="87"/>
    </row>
    <row r="48" spans="5:18" ht="12.75">
      <c r="E48" s="68" t="s">
        <v>53</v>
      </c>
      <c r="F48" s="37"/>
      <c r="G48" s="60">
        <f>G49*0.91</f>
        <v>5449.2438</v>
      </c>
      <c r="H48" s="69">
        <f>F48*G48</f>
        <v>0</v>
      </c>
      <c r="I48" s="68" t="s">
        <v>53</v>
      </c>
      <c r="J48" s="37"/>
      <c r="K48" s="60">
        <f>K49*0.91</f>
        <v>7124.326300000001</v>
      </c>
      <c r="L48" s="69">
        <f>J48*K48</f>
        <v>0</v>
      </c>
      <c r="N48" s="179" t="s">
        <v>153</v>
      </c>
      <c r="O48" s="180">
        <v>6351.98</v>
      </c>
      <c r="P48" s="297">
        <v>108</v>
      </c>
      <c r="R48" s="87"/>
    </row>
    <row r="49" spans="5:18" ht="12.75">
      <c r="E49" s="68" t="s">
        <v>52</v>
      </c>
      <c r="F49" s="37"/>
      <c r="G49" s="60">
        <f>INDEX(kkkpo,MATCH(F45,kuntanimi,0),1,1)</f>
        <v>5988.18</v>
      </c>
      <c r="H49" s="69">
        <f>F49*G49</f>
        <v>0</v>
      </c>
      <c r="I49" s="68" t="s">
        <v>52</v>
      </c>
      <c r="J49" s="37"/>
      <c r="K49" s="60">
        <f>INDEX(kkkpo,MATCH(J45,kuntanimi,0),1,1)</f>
        <v>7828.93</v>
      </c>
      <c r="L49" s="69">
        <f>J49*K49</f>
        <v>0</v>
      </c>
      <c r="N49" s="179" t="s">
        <v>154</v>
      </c>
      <c r="O49" s="180">
        <v>6026.4</v>
      </c>
      <c r="P49" s="297">
        <v>109</v>
      </c>
      <c r="R49" s="87"/>
    </row>
    <row r="50" spans="5:18" ht="12.75">
      <c r="E50" s="63" t="s">
        <v>51</v>
      </c>
      <c r="F50" s="37"/>
      <c r="G50" s="60">
        <f>G49*1.35</f>
        <v>8084.043000000001</v>
      </c>
      <c r="H50" s="69">
        <f>F50*G50</f>
        <v>0</v>
      </c>
      <c r="I50" s="63" t="s">
        <v>51</v>
      </c>
      <c r="J50" s="37"/>
      <c r="K50" s="60">
        <f>K49*1.35</f>
        <v>10569.0555</v>
      </c>
      <c r="L50" s="69">
        <f>J50*K50</f>
        <v>0</v>
      </c>
      <c r="N50" s="179" t="s">
        <v>155</v>
      </c>
      <c r="O50" s="180">
        <v>7238.77</v>
      </c>
      <c r="P50" s="297">
        <v>139</v>
      </c>
      <c r="R50" s="87"/>
    </row>
    <row r="51" spans="5:18" ht="12.75">
      <c r="E51" s="70" t="s">
        <v>10</v>
      </c>
      <c r="F51" s="71"/>
      <c r="G51" s="72"/>
      <c r="H51" s="73">
        <f>SUM(H48:H50)</f>
        <v>0</v>
      </c>
      <c r="I51" s="70" t="s">
        <v>10</v>
      </c>
      <c r="J51" s="71"/>
      <c r="K51" s="72"/>
      <c r="L51" s="73">
        <f>SUM(L48:L50)</f>
        <v>0</v>
      </c>
      <c r="N51" s="181" t="s">
        <v>156</v>
      </c>
      <c r="O51" s="180">
        <v>6185.65</v>
      </c>
      <c r="P51" s="297">
        <v>140</v>
      </c>
      <c r="R51" s="87"/>
    </row>
    <row r="52" spans="5:18" ht="12.75">
      <c r="E52" s="78" t="s">
        <v>68</v>
      </c>
      <c r="F52" s="317" t="s">
        <v>125</v>
      </c>
      <c r="G52" s="318"/>
      <c r="H52" s="62"/>
      <c r="I52" s="78" t="s">
        <v>68</v>
      </c>
      <c r="J52" s="317" t="s">
        <v>126</v>
      </c>
      <c r="K52" s="318"/>
      <c r="L52" s="62"/>
      <c r="N52" s="179" t="s">
        <v>157</v>
      </c>
      <c r="O52" s="180">
        <v>6804.66</v>
      </c>
      <c r="P52" s="297">
        <v>142</v>
      </c>
      <c r="R52" s="87"/>
    </row>
    <row r="53" spans="5:18" ht="12.75">
      <c r="E53" s="63"/>
      <c r="F53" s="64"/>
      <c r="G53" s="64"/>
      <c r="H53" s="65"/>
      <c r="I53" s="63"/>
      <c r="J53" s="64"/>
      <c r="K53" s="64"/>
      <c r="L53" s="65"/>
      <c r="N53" s="179" t="s">
        <v>158</v>
      </c>
      <c r="O53" s="180">
        <v>6930.31</v>
      </c>
      <c r="P53" s="297">
        <v>143</v>
      </c>
      <c r="R53" s="87"/>
    </row>
    <row r="54" spans="5:18" ht="12.75">
      <c r="E54" s="63"/>
      <c r="F54" s="66" t="s">
        <v>50</v>
      </c>
      <c r="G54" s="66" t="s">
        <v>54</v>
      </c>
      <c r="H54" s="67" t="s">
        <v>55</v>
      </c>
      <c r="I54" s="63"/>
      <c r="J54" s="66" t="s">
        <v>50</v>
      </c>
      <c r="K54" s="66" t="s">
        <v>54</v>
      </c>
      <c r="L54" s="67" t="s">
        <v>55</v>
      </c>
      <c r="N54" s="179" t="s">
        <v>159</v>
      </c>
      <c r="O54" s="180">
        <v>6401.15</v>
      </c>
      <c r="P54" s="297">
        <v>145</v>
      </c>
      <c r="R54" s="87"/>
    </row>
    <row r="55" spans="5:18" ht="12.75">
      <c r="E55" s="68" t="s">
        <v>53</v>
      </c>
      <c r="F55" s="37"/>
      <c r="G55" s="60">
        <f>G56*0.91</f>
        <v>9087.178100000001</v>
      </c>
      <c r="H55" s="69">
        <f>F55*G55</f>
        <v>0</v>
      </c>
      <c r="I55" s="68" t="s">
        <v>53</v>
      </c>
      <c r="J55" s="37"/>
      <c r="K55" s="60">
        <f>K56*0.91</f>
        <v>5852.2737</v>
      </c>
      <c r="L55" s="69">
        <f>J55*K55</f>
        <v>0</v>
      </c>
      <c r="N55" s="179" t="s">
        <v>160</v>
      </c>
      <c r="O55" s="180">
        <v>8335.95</v>
      </c>
      <c r="P55" s="297">
        <v>146</v>
      </c>
      <c r="R55" s="87"/>
    </row>
    <row r="56" spans="5:18" ht="12.75">
      <c r="E56" s="68" t="s">
        <v>52</v>
      </c>
      <c r="F56" s="37"/>
      <c r="G56" s="60">
        <f>INDEX(kkkpo,MATCH(F52,kuntanimi,0),1,1)</f>
        <v>9985.91</v>
      </c>
      <c r="H56" s="69">
        <f>F56*G56</f>
        <v>0</v>
      </c>
      <c r="I56" s="68" t="s">
        <v>52</v>
      </c>
      <c r="J56" s="37"/>
      <c r="K56" s="60">
        <f>INDEX(kkkpo,MATCH(J52,kuntanimi,0),1,1)</f>
        <v>6431.07</v>
      </c>
      <c r="L56" s="69">
        <f>J56*K56</f>
        <v>0</v>
      </c>
      <c r="N56" s="179" t="s">
        <v>161</v>
      </c>
      <c r="O56" s="180">
        <v>5995.08</v>
      </c>
      <c r="P56" s="297">
        <v>153</v>
      </c>
      <c r="R56" s="87"/>
    </row>
    <row r="57" spans="5:18" ht="12.75">
      <c r="E57" s="63" t="s">
        <v>51</v>
      </c>
      <c r="F57" s="37"/>
      <c r="G57" s="60">
        <f>G56*1.35</f>
        <v>13480.978500000001</v>
      </c>
      <c r="H57" s="69">
        <f>F57*G57</f>
        <v>0</v>
      </c>
      <c r="I57" s="63" t="s">
        <v>51</v>
      </c>
      <c r="J57" s="37"/>
      <c r="K57" s="60">
        <f>K56*1.35</f>
        <v>8681.9445</v>
      </c>
      <c r="L57" s="69">
        <f>J57*K57</f>
        <v>0</v>
      </c>
      <c r="N57" s="179" t="s">
        <v>162</v>
      </c>
      <c r="O57" s="180">
        <v>9569.92</v>
      </c>
      <c r="P57" s="297">
        <v>148</v>
      </c>
      <c r="R57" s="87"/>
    </row>
    <row r="58" spans="5:18" ht="12.75">
      <c r="E58" s="70" t="s">
        <v>10</v>
      </c>
      <c r="F58" s="71"/>
      <c r="G58" s="72"/>
      <c r="H58" s="73">
        <f>SUM(H55:H57)</f>
        <v>0</v>
      </c>
      <c r="I58" s="70" t="s">
        <v>10</v>
      </c>
      <c r="J58" s="71"/>
      <c r="K58" s="72"/>
      <c r="L58" s="73">
        <f>SUM(L55:L57)</f>
        <v>0</v>
      </c>
      <c r="N58" s="179" t="s">
        <v>163</v>
      </c>
      <c r="O58" s="180">
        <v>7335.31</v>
      </c>
      <c r="P58" s="297">
        <v>149</v>
      </c>
      <c r="R58" s="87"/>
    </row>
    <row r="59" spans="5:18" ht="12.75">
      <c r="E59" s="78" t="s">
        <v>68</v>
      </c>
      <c r="F59" s="317" t="s">
        <v>127</v>
      </c>
      <c r="G59" s="318"/>
      <c r="H59" s="62"/>
      <c r="I59" s="78" t="s">
        <v>68</v>
      </c>
      <c r="J59" s="317" t="s">
        <v>219</v>
      </c>
      <c r="K59" s="318"/>
      <c r="L59" s="62"/>
      <c r="N59" s="179" t="s">
        <v>164</v>
      </c>
      <c r="O59" s="180">
        <v>7740.2</v>
      </c>
      <c r="P59" s="297">
        <v>151</v>
      </c>
      <c r="R59" s="87"/>
    </row>
    <row r="60" spans="5:18" ht="12.75">
      <c r="E60" s="63"/>
      <c r="F60" s="64"/>
      <c r="G60" s="64"/>
      <c r="H60" s="65"/>
      <c r="I60" s="63"/>
      <c r="J60" s="64"/>
      <c r="K60" s="64"/>
      <c r="L60" s="65"/>
      <c r="N60" s="179" t="s">
        <v>165</v>
      </c>
      <c r="O60" s="180">
        <v>6680.89</v>
      </c>
      <c r="P60" s="297">
        <v>152</v>
      </c>
      <c r="R60" s="87"/>
    </row>
    <row r="61" spans="5:18" ht="12.75">
      <c r="E61" s="63"/>
      <c r="F61" s="66" t="s">
        <v>50</v>
      </c>
      <c r="G61" s="66" t="s">
        <v>54</v>
      </c>
      <c r="H61" s="67" t="s">
        <v>55</v>
      </c>
      <c r="I61" s="63"/>
      <c r="J61" s="66" t="s">
        <v>50</v>
      </c>
      <c r="K61" s="66" t="s">
        <v>54</v>
      </c>
      <c r="L61" s="67" t="s">
        <v>55</v>
      </c>
      <c r="N61" s="179" t="s">
        <v>166</v>
      </c>
      <c r="O61" s="180">
        <v>6911.23</v>
      </c>
      <c r="P61" s="297">
        <v>164</v>
      </c>
      <c r="R61" s="87"/>
    </row>
    <row r="62" spans="5:18" ht="12.75">
      <c r="E62" s="68" t="s">
        <v>53</v>
      </c>
      <c r="F62" s="37"/>
      <c r="G62" s="60">
        <f>G63*0.91</f>
        <v>5814.7453000000005</v>
      </c>
      <c r="H62" s="69">
        <f>F62*G62</f>
        <v>0</v>
      </c>
      <c r="I62" s="68" t="s">
        <v>53</v>
      </c>
      <c r="J62" s="37"/>
      <c r="K62" s="60">
        <f>K63*0.91</f>
        <v>6174.368200000001</v>
      </c>
      <c r="L62" s="69">
        <f>J62*K62</f>
        <v>0</v>
      </c>
      <c r="N62" s="179" t="s">
        <v>167</v>
      </c>
      <c r="O62" s="180">
        <v>6144.8</v>
      </c>
      <c r="P62" s="297">
        <v>165</v>
      </c>
      <c r="R62" s="87"/>
    </row>
    <row r="63" spans="5:18" ht="12.75">
      <c r="E63" s="68" t="s">
        <v>52</v>
      </c>
      <c r="F63" s="37"/>
      <c r="G63" s="60">
        <f>INDEX(kkkpo,MATCH(F59,kuntanimi,0),1,1)</f>
        <v>6389.83</v>
      </c>
      <c r="H63" s="69">
        <f>F63*G63</f>
        <v>0</v>
      </c>
      <c r="I63" s="68" t="s">
        <v>52</v>
      </c>
      <c r="J63" s="37"/>
      <c r="K63" s="60">
        <f>INDEX(kkkpo,MATCH(J59,kuntanimi,0),1,1)</f>
        <v>6785.02</v>
      </c>
      <c r="L63" s="69">
        <f>J63*K63</f>
        <v>0</v>
      </c>
      <c r="N63" s="179" t="s">
        <v>168</v>
      </c>
      <c r="O63" s="180">
        <v>6158</v>
      </c>
      <c r="P63" s="297">
        <v>167</v>
      </c>
      <c r="R63" s="87"/>
    </row>
    <row r="64" spans="5:18" ht="12.75">
      <c r="E64" s="63" t="s">
        <v>51</v>
      </c>
      <c r="F64" s="37"/>
      <c r="G64" s="60">
        <f>G63*1.35</f>
        <v>8626.2705</v>
      </c>
      <c r="H64" s="69">
        <f>F64*G64</f>
        <v>0</v>
      </c>
      <c r="I64" s="63" t="s">
        <v>51</v>
      </c>
      <c r="J64" s="37"/>
      <c r="K64" s="60">
        <f>K63*1.35</f>
        <v>9159.777000000002</v>
      </c>
      <c r="L64" s="69">
        <f>J64*K64</f>
        <v>0</v>
      </c>
      <c r="N64" s="179" t="s">
        <v>169</v>
      </c>
      <c r="O64" s="180">
        <v>6139.12</v>
      </c>
      <c r="P64" s="297">
        <v>169</v>
      </c>
      <c r="R64" s="87"/>
    </row>
    <row r="65" spans="5:18" ht="12.75">
      <c r="E65" s="70" t="s">
        <v>10</v>
      </c>
      <c r="F65" s="71"/>
      <c r="G65" s="72"/>
      <c r="H65" s="73">
        <f>SUM(H62:H64)</f>
        <v>0</v>
      </c>
      <c r="I65" s="70" t="s">
        <v>10</v>
      </c>
      <c r="J65" s="71"/>
      <c r="K65" s="72"/>
      <c r="L65" s="73">
        <f>SUM(L62:L64)</f>
        <v>0</v>
      </c>
      <c r="N65" s="179" t="s">
        <v>170</v>
      </c>
      <c r="O65" s="180">
        <v>6966.83</v>
      </c>
      <c r="P65" s="297">
        <v>171</v>
      </c>
      <c r="R65" s="87"/>
    </row>
    <row r="66" spans="5:18" ht="12.75">
      <c r="E66" s="78" t="s">
        <v>68</v>
      </c>
      <c r="F66" s="317" t="s">
        <v>117</v>
      </c>
      <c r="G66" s="318"/>
      <c r="H66" s="62"/>
      <c r="I66" s="78" t="s">
        <v>68</v>
      </c>
      <c r="J66" s="317" t="s">
        <v>118</v>
      </c>
      <c r="K66" s="318"/>
      <c r="L66" s="62"/>
      <c r="N66" s="179" t="s">
        <v>171</v>
      </c>
      <c r="O66" s="180">
        <v>7302</v>
      </c>
      <c r="P66" s="297">
        <v>172</v>
      </c>
      <c r="R66" s="87"/>
    </row>
    <row r="67" spans="5:18" ht="12.75">
      <c r="E67" s="63"/>
      <c r="F67" s="64"/>
      <c r="G67" s="64"/>
      <c r="H67" s="65"/>
      <c r="I67" s="63"/>
      <c r="J67" s="64"/>
      <c r="K67" s="64"/>
      <c r="L67" s="65"/>
      <c r="N67" s="179" t="s">
        <v>172</v>
      </c>
      <c r="O67" s="180">
        <v>6859</v>
      </c>
      <c r="P67" s="297">
        <v>174</v>
      </c>
      <c r="R67" s="87"/>
    </row>
    <row r="68" spans="5:18" ht="12.75">
      <c r="E68" s="63"/>
      <c r="F68" s="66" t="s">
        <v>50</v>
      </c>
      <c r="G68" s="66" t="s">
        <v>54</v>
      </c>
      <c r="H68" s="67" t="s">
        <v>55</v>
      </c>
      <c r="I68" s="63"/>
      <c r="J68" s="66" t="s">
        <v>50</v>
      </c>
      <c r="K68" s="66" t="s">
        <v>54</v>
      </c>
      <c r="L68" s="67" t="s">
        <v>55</v>
      </c>
      <c r="N68" s="179" t="s">
        <v>173</v>
      </c>
      <c r="O68" s="180">
        <v>7764.67</v>
      </c>
      <c r="P68" s="297">
        <v>176</v>
      </c>
      <c r="R68" s="87"/>
    </row>
    <row r="69" spans="5:18" ht="12.75">
      <c r="E69" s="68" t="s">
        <v>53</v>
      </c>
      <c r="F69" s="37"/>
      <c r="G69" s="60">
        <f>G70*0.91</f>
        <v>5417.4575</v>
      </c>
      <c r="H69" s="69">
        <f>F69*G69</f>
        <v>0</v>
      </c>
      <c r="I69" s="68" t="s">
        <v>53</v>
      </c>
      <c r="J69" s="37"/>
      <c r="K69" s="60">
        <f>K70*0.91</f>
        <v>6267.0062</v>
      </c>
      <c r="L69" s="69">
        <f>J69*K69</f>
        <v>0</v>
      </c>
      <c r="N69" s="179" t="s">
        <v>174</v>
      </c>
      <c r="O69" s="180">
        <v>7092.51</v>
      </c>
      <c r="P69" s="297">
        <v>177</v>
      </c>
      <c r="R69" s="87"/>
    </row>
    <row r="70" spans="5:18" ht="12.75">
      <c r="E70" s="68" t="s">
        <v>52</v>
      </c>
      <c r="F70" s="37"/>
      <c r="G70" s="60">
        <f>INDEX(kkkpo,MATCH(F66,kuntanimi,0),1,1)</f>
        <v>5953.25</v>
      </c>
      <c r="H70" s="69">
        <f>F70*G70</f>
        <v>0</v>
      </c>
      <c r="I70" s="68" t="s">
        <v>52</v>
      </c>
      <c r="J70" s="37"/>
      <c r="K70" s="60">
        <f>INDEX(kkkpo,MATCH(J66,kuntanimi,0),1,1)</f>
        <v>6886.82</v>
      </c>
      <c r="L70" s="69">
        <f>J70*K70</f>
        <v>0</v>
      </c>
      <c r="N70" s="179" t="s">
        <v>175</v>
      </c>
      <c r="O70" s="180">
        <v>7295.83</v>
      </c>
      <c r="P70" s="297">
        <v>178</v>
      </c>
      <c r="R70" s="87"/>
    </row>
    <row r="71" spans="5:18" ht="12.75">
      <c r="E71" s="63" t="s">
        <v>51</v>
      </c>
      <c r="F71" s="37"/>
      <c r="G71" s="60">
        <f>G70*1.35</f>
        <v>8036.887500000001</v>
      </c>
      <c r="H71" s="69">
        <f>F71*G71</f>
        <v>0</v>
      </c>
      <c r="I71" s="63" t="s">
        <v>51</v>
      </c>
      <c r="J71" s="37"/>
      <c r="K71" s="60">
        <f>K70*1.35</f>
        <v>9297.207</v>
      </c>
      <c r="L71" s="69">
        <f>J71*K71</f>
        <v>0</v>
      </c>
      <c r="N71" s="179" t="s">
        <v>176</v>
      </c>
      <c r="O71" s="180">
        <v>5986.2</v>
      </c>
      <c r="P71" s="297">
        <v>179</v>
      </c>
      <c r="R71" s="87"/>
    </row>
    <row r="72" spans="5:18" ht="12.75">
      <c r="E72" s="70" t="s">
        <v>10</v>
      </c>
      <c r="F72" s="71"/>
      <c r="G72" s="72"/>
      <c r="H72" s="73">
        <f>SUM(H69:H71)</f>
        <v>0</v>
      </c>
      <c r="I72" s="70" t="s">
        <v>10</v>
      </c>
      <c r="J72" s="71"/>
      <c r="K72" s="72"/>
      <c r="L72" s="73">
        <f>SUM(L69:L71)</f>
        <v>0</v>
      </c>
      <c r="N72" s="179" t="s">
        <v>177</v>
      </c>
      <c r="O72" s="180">
        <v>6943.97</v>
      </c>
      <c r="P72" s="297">
        <v>181</v>
      </c>
      <c r="R72" s="87"/>
    </row>
    <row r="73" spans="5:18" ht="12.75">
      <c r="E73" s="78" t="s">
        <v>68</v>
      </c>
      <c r="F73" s="317" t="s">
        <v>119</v>
      </c>
      <c r="G73" s="318"/>
      <c r="H73" s="62"/>
      <c r="I73" s="78" t="s">
        <v>68</v>
      </c>
      <c r="J73" s="317" t="s">
        <v>120</v>
      </c>
      <c r="K73" s="318"/>
      <c r="L73" s="62"/>
      <c r="N73" s="179" t="s">
        <v>178</v>
      </c>
      <c r="O73" s="180">
        <v>6667.8</v>
      </c>
      <c r="P73" s="297">
        <v>182</v>
      </c>
      <c r="R73" s="87"/>
    </row>
    <row r="74" spans="5:18" ht="12.75">
      <c r="E74" s="63"/>
      <c r="F74" s="64"/>
      <c r="G74" s="64"/>
      <c r="H74" s="65"/>
      <c r="I74" s="63"/>
      <c r="J74" s="64"/>
      <c r="K74" s="64"/>
      <c r="L74" s="65"/>
      <c r="N74" s="181" t="s">
        <v>179</v>
      </c>
      <c r="O74" s="180">
        <v>5990.2</v>
      </c>
      <c r="P74" s="297">
        <v>186</v>
      </c>
      <c r="R74" s="87"/>
    </row>
    <row r="75" spans="5:18" ht="12.75">
      <c r="E75" s="63"/>
      <c r="F75" s="66" t="s">
        <v>50</v>
      </c>
      <c r="G75" s="66" t="s">
        <v>54</v>
      </c>
      <c r="H75" s="67" t="s">
        <v>55</v>
      </c>
      <c r="I75" s="63"/>
      <c r="J75" s="66" t="s">
        <v>50</v>
      </c>
      <c r="K75" s="66" t="s">
        <v>54</v>
      </c>
      <c r="L75" s="67" t="s">
        <v>55</v>
      </c>
      <c r="N75" s="179" t="s">
        <v>180</v>
      </c>
      <c r="O75" s="180">
        <v>6010.94</v>
      </c>
      <c r="P75" s="297">
        <v>202</v>
      </c>
      <c r="R75" s="87"/>
    </row>
    <row r="76" spans="5:18" ht="12.75">
      <c r="E76" s="68" t="s">
        <v>53</v>
      </c>
      <c r="F76" s="37"/>
      <c r="G76" s="60">
        <f>G77*0.91</f>
        <v>6230.7154</v>
      </c>
      <c r="H76" s="69">
        <f>F76*G76</f>
        <v>0</v>
      </c>
      <c r="I76" s="68" t="s">
        <v>53</v>
      </c>
      <c r="J76" s="37"/>
      <c r="K76" s="60">
        <f>K77*0.91</f>
        <v>6201.4953000000005</v>
      </c>
      <c r="L76" s="69">
        <f>J76*K76</f>
        <v>0</v>
      </c>
      <c r="N76" s="179" t="s">
        <v>181</v>
      </c>
      <c r="O76" s="180">
        <v>7376.6</v>
      </c>
      <c r="P76" s="297">
        <v>204</v>
      </c>
      <c r="R76" s="87"/>
    </row>
    <row r="77" spans="5:18" ht="12.75">
      <c r="E77" s="68" t="s">
        <v>52</v>
      </c>
      <c r="F77" s="37"/>
      <c r="G77" s="60">
        <f>INDEX(kkkpo,MATCH(F73,kuntanimi,0),1,1)</f>
        <v>6846.94</v>
      </c>
      <c r="H77" s="69">
        <f>F77*G77</f>
        <v>0</v>
      </c>
      <c r="I77" s="68" t="s">
        <v>52</v>
      </c>
      <c r="J77" s="37"/>
      <c r="K77" s="60">
        <f>INDEX(kkkpo,MATCH(J73,kuntanimi,0),1,1)</f>
        <v>6814.83</v>
      </c>
      <c r="L77" s="69">
        <f>J77*K77</f>
        <v>0</v>
      </c>
      <c r="N77" s="179" t="s">
        <v>182</v>
      </c>
      <c r="O77" s="180">
        <v>6444.21</v>
      </c>
      <c r="P77" s="297">
        <v>205</v>
      </c>
      <c r="R77" s="87"/>
    </row>
    <row r="78" spans="5:18" ht="12.75">
      <c r="E78" s="63" t="s">
        <v>51</v>
      </c>
      <c r="F78" s="37"/>
      <c r="G78" s="60">
        <f>G77*1.35</f>
        <v>9243.369</v>
      </c>
      <c r="H78" s="69">
        <f>F78*G78</f>
        <v>0</v>
      </c>
      <c r="I78" s="63" t="s">
        <v>51</v>
      </c>
      <c r="J78" s="37"/>
      <c r="K78" s="60">
        <f>K77*1.35</f>
        <v>9200.0205</v>
      </c>
      <c r="L78" s="69">
        <f>J78*K78</f>
        <v>0</v>
      </c>
      <c r="N78" s="181" t="s">
        <v>183</v>
      </c>
      <c r="O78" s="180">
        <v>6691.18</v>
      </c>
      <c r="P78" s="297">
        <v>208</v>
      </c>
      <c r="R78" s="87"/>
    </row>
    <row r="79" spans="5:18" ht="12.75">
      <c r="E79" s="70" t="s">
        <v>10</v>
      </c>
      <c r="F79" s="71"/>
      <c r="G79" s="72"/>
      <c r="H79" s="73">
        <f>SUM(H76:H78)</f>
        <v>0</v>
      </c>
      <c r="I79" s="70" t="s">
        <v>10</v>
      </c>
      <c r="J79" s="71"/>
      <c r="K79" s="72"/>
      <c r="L79" s="73">
        <f>SUM(L76:L78)</f>
        <v>0</v>
      </c>
      <c r="N79" s="179" t="s">
        <v>184</v>
      </c>
      <c r="O79" s="180">
        <v>5951.93</v>
      </c>
      <c r="P79" s="297">
        <v>211</v>
      </c>
      <c r="R79" s="87"/>
    </row>
    <row r="80" spans="5:18" ht="12.75">
      <c r="E80" s="78" t="s">
        <v>68</v>
      </c>
      <c r="F80" s="317" t="s">
        <v>121</v>
      </c>
      <c r="G80" s="318"/>
      <c r="H80" s="62"/>
      <c r="I80" s="78" t="s">
        <v>68</v>
      </c>
      <c r="J80" s="317" t="s">
        <v>122</v>
      </c>
      <c r="K80" s="318"/>
      <c r="L80" s="62"/>
      <c r="N80" s="179" t="s">
        <v>185</v>
      </c>
      <c r="O80" s="180">
        <v>7312.05</v>
      </c>
      <c r="P80" s="297">
        <v>213</v>
      </c>
      <c r="R80" s="87"/>
    </row>
    <row r="81" spans="5:18" ht="12.75">
      <c r="E81" s="63"/>
      <c r="F81" s="64"/>
      <c r="G81" s="64"/>
      <c r="H81" s="65"/>
      <c r="I81" s="63"/>
      <c r="J81" s="64"/>
      <c r="K81" s="64"/>
      <c r="L81" s="65"/>
      <c r="N81" s="179" t="s">
        <v>186</v>
      </c>
      <c r="O81" s="180">
        <v>6532.76</v>
      </c>
      <c r="P81" s="297">
        <v>214</v>
      </c>
      <c r="R81" s="87"/>
    </row>
    <row r="82" spans="5:18" ht="12.75">
      <c r="E82" s="63"/>
      <c r="F82" s="66" t="s">
        <v>50</v>
      </c>
      <c r="G82" s="66" t="s">
        <v>54</v>
      </c>
      <c r="H82" s="67" t="s">
        <v>55</v>
      </c>
      <c r="I82" s="63"/>
      <c r="J82" s="66" t="s">
        <v>50</v>
      </c>
      <c r="K82" s="66" t="s">
        <v>54</v>
      </c>
      <c r="L82" s="67" t="s">
        <v>55</v>
      </c>
      <c r="N82" s="179" t="s">
        <v>187</v>
      </c>
      <c r="O82" s="180">
        <v>7767.94</v>
      </c>
      <c r="P82" s="297">
        <v>216</v>
      </c>
      <c r="R82" s="87"/>
    </row>
    <row r="83" spans="5:18" ht="12.75">
      <c r="E83" s="68" t="s">
        <v>53</v>
      </c>
      <c r="F83" s="37"/>
      <c r="G83" s="60">
        <f>G84*0.91</f>
        <v>6026.93</v>
      </c>
      <c r="H83" s="69">
        <f>F83*G83</f>
        <v>0</v>
      </c>
      <c r="I83" s="68" t="s">
        <v>53</v>
      </c>
      <c r="J83" s="37"/>
      <c r="K83" s="60">
        <f>K84*0.91</f>
        <v>5778.9186</v>
      </c>
      <c r="L83" s="69">
        <f>J83*K83</f>
        <v>0</v>
      </c>
      <c r="N83" s="179" t="s">
        <v>188</v>
      </c>
      <c r="O83" s="180">
        <v>6759.12</v>
      </c>
      <c r="P83" s="297">
        <v>217</v>
      </c>
      <c r="R83" s="87"/>
    </row>
    <row r="84" spans="5:18" ht="12.75">
      <c r="E84" s="68" t="s">
        <v>52</v>
      </c>
      <c r="F84" s="37"/>
      <c r="G84" s="60">
        <f>INDEX(kkkpo,MATCH(F80,kuntanimi,0),1,1)</f>
        <v>6623</v>
      </c>
      <c r="H84" s="69">
        <f>F84*G84</f>
        <v>0</v>
      </c>
      <c r="I84" s="68" t="s">
        <v>52</v>
      </c>
      <c r="J84" s="37"/>
      <c r="K84" s="60">
        <f>INDEX(kkkpo,MATCH(J80,kuntanimi,0),1,1)</f>
        <v>6350.46</v>
      </c>
      <c r="L84" s="69">
        <f>J84*K84</f>
        <v>0</v>
      </c>
      <c r="N84" s="179" t="s">
        <v>189</v>
      </c>
      <c r="O84" s="180">
        <v>7079.13</v>
      </c>
      <c r="P84" s="297">
        <v>218</v>
      </c>
      <c r="R84" s="87"/>
    </row>
    <row r="85" spans="5:18" ht="12.75">
      <c r="E85" s="63" t="s">
        <v>51</v>
      </c>
      <c r="F85" s="37"/>
      <c r="G85" s="60">
        <f>G84*1.35</f>
        <v>8941.050000000001</v>
      </c>
      <c r="H85" s="69">
        <f>F85*G85</f>
        <v>0</v>
      </c>
      <c r="I85" s="63" t="s">
        <v>51</v>
      </c>
      <c r="J85" s="37"/>
      <c r="K85" s="60">
        <f>K84*1.35</f>
        <v>8573.121000000001</v>
      </c>
      <c r="L85" s="69">
        <f>J85*K85</f>
        <v>0</v>
      </c>
      <c r="N85" s="179" t="s">
        <v>190</v>
      </c>
      <c r="O85" s="180">
        <v>6050.91</v>
      </c>
      <c r="P85" s="297">
        <v>224</v>
      </c>
      <c r="R85" s="87"/>
    </row>
    <row r="86" spans="5:18" ht="12.75">
      <c r="E86" s="70" t="s">
        <v>10</v>
      </c>
      <c r="F86" s="71"/>
      <c r="G86" s="72"/>
      <c r="H86" s="73">
        <f>SUM(H83:H85)</f>
        <v>0</v>
      </c>
      <c r="I86" s="70" t="s">
        <v>10</v>
      </c>
      <c r="J86" s="71"/>
      <c r="K86" s="72"/>
      <c r="L86" s="73">
        <f>SUM(L83:L85)</f>
        <v>0</v>
      </c>
      <c r="N86" s="179" t="s">
        <v>191</v>
      </c>
      <c r="O86" s="180">
        <v>7385.77</v>
      </c>
      <c r="P86" s="297">
        <v>226</v>
      </c>
      <c r="R86" s="87"/>
    </row>
    <row r="87" spans="5:18" ht="12.75">
      <c r="E87" s="78" t="s">
        <v>68</v>
      </c>
      <c r="F87" s="317" t="s">
        <v>123</v>
      </c>
      <c r="G87" s="318"/>
      <c r="H87" s="62"/>
      <c r="I87" s="78" t="s">
        <v>68</v>
      </c>
      <c r="J87" s="317" t="s">
        <v>124</v>
      </c>
      <c r="K87" s="318"/>
      <c r="L87" s="62"/>
      <c r="N87" s="179" t="s">
        <v>192</v>
      </c>
      <c r="O87" s="180">
        <v>7388.84</v>
      </c>
      <c r="P87" s="297">
        <v>230</v>
      </c>
      <c r="R87" s="87"/>
    </row>
    <row r="88" spans="5:18" ht="12.75">
      <c r="E88" s="63"/>
      <c r="F88" s="64"/>
      <c r="G88" s="64"/>
      <c r="H88" s="65"/>
      <c r="I88" s="63"/>
      <c r="J88" s="64"/>
      <c r="K88" s="64"/>
      <c r="L88" s="65"/>
      <c r="N88" s="179" t="s">
        <v>193</v>
      </c>
      <c r="O88" s="180">
        <v>6556.37</v>
      </c>
      <c r="P88" s="297">
        <v>231</v>
      </c>
      <c r="R88" s="87"/>
    </row>
    <row r="89" spans="5:18" ht="12.75">
      <c r="E89" s="63"/>
      <c r="F89" s="66" t="s">
        <v>50</v>
      </c>
      <c r="G89" s="66" t="s">
        <v>54</v>
      </c>
      <c r="H89" s="67" t="s">
        <v>55</v>
      </c>
      <c r="I89" s="63"/>
      <c r="J89" s="66" t="s">
        <v>50</v>
      </c>
      <c r="K89" s="66" t="s">
        <v>54</v>
      </c>
      <c r="L89" s="67" t="s">
        <v>55</v>
      </c>
      <c r="N89" s="179" t="s">
        <v>194</v>
      </c>
      <c r="O89" s="180">
        <v>6844.73</v>
      </c>
      <c r="P89" s="297">
        <v>232</v>
      </c>
      <c r="R89" s="87"/>
    </row>
    <row r="90" spans="5:18" ht="12.75">
      <c r="E90" s="68" t="s">
        <v>53</v>
      </c>
      <c r="F90" s="37"/>
      <c r="G90" s="60">
        <f>G91*0.91</f>
        <v>5449.2438</v>
      </c>
      <c r="H90" s="69">
        <f>F90*G90</f>
        <v>0</v>
      </c>
      <c r="I90" s="68" t="s">
        <v>53</v>
      </c>
      <c r="J90" s="37"/>
      <c r="K90" s="60">
        <f>K91*0.91</f>
        <v>7124.326300000001</v>
      </c>
      <c r="L90" s="69">
        <f>J90*K90</f>
        <v>0</v>
      </c>
      <c r="N90" s="179" t="s">
        <v>195</v>
      </c>
      <c r="O90" s="180">
        <v>6721.11</v>
      </c>
      <c r="P90" s="297">
        <v>233</v>
      </c>
      <c r="R90" s="87"/>
    </row>
    <row r="91" spans="5:18" ht="12.75">
      <c r="E91" s="68" t="s">
        <v>52</v>
      </c>
      <c r="F91" s="37"/>
      <c r="G91" s="60">
        <f>INDEX(kkkpo,MATCH(F87,kuntanimi,0),1,1)</f>
        <v>5988.18</v>
      </c>
      <c r="H91" s="69">
        <f>F91*G91</f>
        <v>0</v>
      </c>
      <c r="I91" s="68" t="s">
        <v>52</v>
      </c>
      <c r="J91" s="37"/>
      <c r="K91" s="60">
        <f>INDEX(kkkpo,MATCH(J87,kuntanimi,0),1,1)</f>
        <v>7828.93</v>
      </c>
      <c r="L91" s="69">
        <f>J91*K91</f>
        <v>0</v>
      </c>
      <c r="N91" s="179" t="s">
        <v>196</v>
      </c>
      <c r="O91" s="180">
        <v>6641.59</v>
      </c>
      <c r="P91" s="297">
        <v>235</v>
      </c>
      <c r="R91" s="87"/>
    </row>
    <row r="92" spans="5:18" ht="12.75">
      <c r="E92" s="63" t="s">
        <v>51</v>
      </c>
      <c r="F92" s="37"/>
      <c r="G92" s="60">
        <f>G91*1.35</f>
        <v>8084.043000000001</v>
      </c>
      <c r="H92" s="69">
        <f>F92*G92</f>
        <v>0</v>
      </c>
      <c r="I92" s="63" t="s">
        <v>51</v>
      </c>
      <c r="J92" s="37"/>
      <c r="K92" s="60">
        <f>K91*1.35</f>
        <v>10569.0555</v>
      </c>
      <c r="L92" s="69">
        <f>J92*K92</f>
        <v>0</v>
      </c>
      <c r="N92" s="179" t="s">
        <v>197</v>
      </c>
      <c r="O92" s="180">
        <v>6785.26</v>
      </c>
      <c r="P92" s="297">
        <v>236</v>
      </c>
      <c r="R92" s="87"/>
    </row>
    <row r="93" spans="5:18" ht="12.75">
      <c r="E93" s="70" t="s">
        <v>10</v>
      </c>
      <c r="F93" s="71"/>
      <c r="G93" s="72"/>
      <c r="H93" s="73">
        <f>SUM(H90:H92)</f>
        <v>0</v>
      </c>
      <c r="I93" s="70" t="s">
        <v>10</v>
      </c>
      <c r="J93" s="71"/>
      <c r="K93" s="72"/>
      <c r="L93" s="73">
        <f>SUM(L90:L92)</f>
        <v>0</v>
      </c>
      <c r="N93" s="179" t="s">
        <v>198</v>
      </c>
      <c r="O93" s="180">
        <v>7361.36</v>
      </c>
      <c r="P93" s="297">
        <v>239</v>
      </c>
      <c r="R93" s="87"/>
    </row>
    <row r="94" spans="5:18" ht="12.75">
      <c r="E94" s="78" t="s">
        <v>68</v>
      </c>
      <c r="F94" s="317" t="s">
        <v>117</v>
      </c>
      <c r="G94" s="318"/>
      <c r="H94" s="62"/>
      <c r="I94" s="78" t="s">
        <v>68</v>
      </c>
      <c r="J94" s="317" t="s">
        <v>118</v>
      </c>
      <c r="K94" s="318"/>
      <c r="L94" s="62"/>
      <c r="N94" s="179" t="s">
        <v>199</v>
      </c>
      <c r="O94" s="180">
        <v>6002.43</v>
      </c>
      <c r="P94" s="297">
        <v>240</v>
      </c>
      <c r="R94" s="87"/>
    </row>
    <row r="95" spans="5:18" ht="12.75">
      <c r="E95" s="63"/>
      <c r="F95" s="64"/>
      <c r="G95" s="64"/>
      <c r="H95" s="65"/>
      <c r="I95" s="63"/>
      <c r="J95" s="64"/>
      <c r="K95" s="64"/>
      <c r="L95" s="65"/>
      <c r="N95" s="179" t="s">
        <v>200</v>
      </c>
      <c r="O95" s="180">
        <v>8250.06</v>
      </c>
      <c r="P95" s="297">
        <v>320</v>
      </c>
      <c r="R95" s="87"/>
    </row>
    <row r="96" spans="5:18" ht="12.75">
      <c r="E96" s="63"/>
      <c r="F96" s="66" t="s">
        <v>50</v>
      </c>
      <c r="G96" s="66" t="s">
        <v>54</v>
      </c>
      <c r="H96" s="67" t="s">
        <v>55</v>
      </c>
      <c r="I96" s="63"/>
      <c r="J96" s="66" t="s">
        <v>50</v>
      </c>
      <c r="K96" s="66" t="s">
        <v>54</v>
      </c>
      <c r="L96" s="67" t="s">
        <v>55</v>
      </c>
      <c r="N96" s="179" t="s">
        <v>201</v>
      </c>
      <c r="O96" s="180">
        <v>6683.81</v>
      </c>
      <c r="P96" s="297">
        <v>241</v>
      </c>
      <c r="R96" s="87"/>
    </row>
    <row r="97" spans="5:18" ht="12.75">
      <c r="E97" s="68" t="s">
        <v>53</v>
      </c>
      <c r="F97" s="37"/>
      <c r="G97" s="60">
        <f>G98*0.91</f>
        <v>5417.4575</v>
      </c>
      <c r="H97" s="69">
        <f>F97*G97</f>
        <v>0</v>
      </c>
      <c r="I97" s="68" t="s">
        <v>53</v>
      </c>
      <c r="J97" s="37"/>
      <c r="K97" s="60">
        <f>K98*0.91</f>
        <v>6267.0062</v>
      </c>
      <c r="L97" s="69">
        <f>J97*K97</f>
        <v>0</v>
      </c>
      <c r="N97" s="179" t="s">
        <v>202</v>
      </c>
      <c r="O97" s="180">
        <v>8174.26</v>
      </c>
      <c r="P97" s="297">
        <v>322</v>
      </c>
      <c r="R97" s="87"/>
    </row>
    <row r="98" spans="5:18" ht="12.75">
      <c r="E98" s="68" t="s">
        <v>52</v>
      </c>
      <c r="F98" s="37"/>
      <c r="G98" s="60">
        <f>INDEX(kkkpo,MATCH(F94,kuntanimi,0),1,1)</f>
        <v>5953.25</v>
      </c>
      <c r="H98" s="69">
        <f>F98*G98</f>
        <v>0</v>
      </c>
      <c r="I98" s="68" t="s">
        <v>52</v>
      </c>
      <c r="J98" s="37"/>
      <c r="K98" s="60">
        <f>INDEX(kkkpo,MATCH(J94,kuntanimi,0),1,1)</f>
        <v>6886.82</v>
      </c>
      <c r="L98" s="69">
        <f>J98*K98</f>
        <v>0</v>
      </c>
      <c r="N98" s="179" t="s">
        <v>203</v>
      </c>
      <c r="O98" s="180">
        <v>5940.27</v>
      </c>
      <c r="P98" s="297">
        <v>244</v>
      </c>
      <c r="R98" s="87"/>
    </row>
    <row r="99" spans="5:18" ht="12.75">
      <c r="E99" s="63" t="s">
        <v>51</v>
      </c>
      <c r="F99" s="37"/>
      <c r="G99" s="60">
        <f>G98*1.35</f>
        <v>8036.887500000001</v>
      </c>
      <c r="H99" s="69">
        <f>F99*G99</f>
        <v>0</v>
      </c>
      <c r="I99" s="63" t="s">
        <v>51</v>
      </c>
      <c r="J99" s="37"/>
      <c r="K99" s="60">
        <f>K98*1.35</f>
        <v>9297.207</v>
      </c>
      <c r="L99" s="69">
        <f>J99*K99</f>
        <v>0</v>
      </c>
      <c r="N99" s="179" t="s">
        <v>204</v>
      </c>
      <c r="O99" s="180">
        <v>6039.34</v>
      </c>
      <c r="P99" s="297">
        <v>245</v>
      </c>
      <c r="R99" s="87"/>
    </row>
    <row r="100" spans="5:18" ht="12.75">
      <c r="E100" s="70" t="s">
        <v>10</v>
      </c>
      <c r="F100" s="71"/>
      <c r="G100" s="72"/>
      <c r="H100" s="73">
        <f>SUM(H97:H99)</f>
        <v>0</v>
      </c>
      <c r="I100" s="70" t="s">
        <v>10</v>
      </c>
      <c r="J100" s="71"/>
      <c r="K100" s="72"/>
      <c r="L100" s="73">
        <f>SUM(L97:L99)</f>
        <v>0</v>
      </c>
      <c r="N100" s="179" t="s">
        <v>205</v>
      </c>
      <c r="O100" s="180">
        <v>7033.3</v>
      </c>
      <c r="P100" s="297">
        <v>249</v>
      </c>
      <c r="R100" s="87"/>
    </row>
    <row r="101" spans="5:18" ht="12.75">
      <c r="E101" s="78" t="s">
        <v>68</v>
      </c>
      <c r="F101" s="317" t="s">
        <v>119</v>
      </c>
      <c r="G101" s="318"/>
      <c r="H101" s="62"/>
      <c r="I101" s="78" t="s">
        <v>68</v>
      </c>
      <c r="J101" s="317" t="s">
        <v>120</v>
      </c>
      <c r="K101" s="318"/>
      <c r="L101" s="62"/>
      <c r="N101" s="179" t="s">
        <v>206</v>
      </c>
      <c r="O101" s="180">
        <v>7256.08</v>
      </c>
      <c r="P101" s="297">
        <v>250</v>
      </c>
      <c r="R101" s="87"/>
    </row>
    <row r="102" spans="5:18" ht="12.75">
      <c r="E102" s="63"/>
      <c r="F102" s="64"/>
      <c r="G102" s="64"/>
      <c r="H102" s="65"/>
      <c r="I102" s="63"/>
      <c r="J102" s="64"/>
      <c r="K102" s="64"/>
      <c r="L102" s="65"/>
      <c r="N102" s="179" t="s">
        <v>207</v>
      </c>
      <c r="O102" s="180">
        <v>7585.83</v>
      </c>
      <c r="P102" s="297">
        <v>256</v>
      </c>
      <c r="R102" s="87"/>
    </row>
    <row r="103" spans="5:18" ht="12.75">
      <c r="E103" s="63"/>
      <c r="F103" s="66" t="s">
        <v>50</v>
      </c>
      <c r="G103" s="66" t="s">
        <v>54</v>
      </c>
      <c r="H103" s="67" t="s">
        <v>55</v>
      </c>
      <c r="I103" s="63"/>
      <c r="J103" s="66" t="s">
        <v>50</v>
      </c>
      <c r="K103" s="66" t="s">
        <v>54</v>
      </c>
      <c r="L103" s="67" t="s">
        <v>55</v>
      </c>
      <c r="N103" s="179" t="s">
        <v>208</v>
      </c>
      <c r="O103" s="180">
        <v>6407.98</v>
      </c>
      <c r="P103" s="297">
        <v>257</v>
      </c>
      <c r="R103" s="87"/>
    </row>
    <row r="104" spans="5:18" ht="12.75">
      <c r="E104" s="68" t="s">
        <v>53</v>
      </c>
      <c r="F104" s="37"/>
      <c r="G104" s="60">
        <f>G105*0.91</f>
        <v>6230.7154</v>
      </c>
      <c r="H104" s="69">
        <f>F104*G104</f>
        <v>0</v>
      </c>
      <c r="I104" s="68" t="s">
        <v>53</v>
      </c>
      <c r="J104" s="37"/>
      <c r="K104" s="60">
        <f>K105*0.91</f>
        <v>6201.4953000000005</v>
      </c>
      <c r="L104" s="69">
        <f>J104*K104</f>
        <v>0</v>
      </c>
      <c r="N104" s="179" t="s">
        <v>209</v>
      </c>
      <c r="O104" s="180">
        <v>6997.02</v>
      </c>
      <c r="P104" s="297">
        <v>260</v>
      </c>
      <c r="R104" s="87"/>
    </row>
    <row r="105" spans="5:18" ht="12.75">
      <c r="E105" s="68" t="s">
        <v>52</v>
      </c>
      <c r="F105" s="37"/>
      <c r="G105" s="60">
        <f>INDEX(kkkpo,MATCH(F101,kuntanimi,0),1,1)</f>
        <v>6846.94</v>
      </c>
      <c r="H105" s="69">
        <f>F105*G105</f>
        <v>0</v>
      </c>
      <c r="I105" s="68" t="s">
        <v>52</v>
      </c>
      <c r="J105" s="37"/>
      <c r="K105" s="60">
        <f>INDEX(kkkpo,MATCH(J101,kuntanimi,0),1,1)</f>
        <v>6814.83</v>
      </c>
      <c r="L105" s="69">
        <f>J105*K105</f>
        <v>0</v>
      </c>
      <c r="N105" s="179" t="s">
        <v>210</v>
      </c>
      <c r="O105" s="180">
        <v>9125.88</v>
      </c>
      <c r="P105" s="297">
        <v>261</v>
      </c>
      <c r="R105" s="87"/>
    </row>
    <row r="106" spans="5:18" ht="12.75">
      <c r="E106" s="63" t="s">
        <v>51</v>
      </c>
      <c r="F106" s="37"/>
      <c r="G106" s="60">
        <f>G105*1.35</f>
        <v>9243.369</v>
      </c>
      <c r="H106" s="69">
        <f>F106*G106</f>
        <v>0</v>
      </c>
      <c r="I106" s="63" t="s">
        <v>51</v>
      </c>
      <c r="J106" s="37"/>
      <c r="K106" s="60">
        <f>K105*1.35</f>
        <v>9200.0205</v>
      </c>
      <c r="L106" s="69">
        <f>J106*K106</f>
        <v>0</v>
      </c>
      <c r="N106" s="179" t="s">
        <v>211</v>
      </c>
      <c r="O106" s="180">
        <v>7163.32</v>
      </c>
      <c r="P106" s="297">
        <v>263</v>
      </c>
      <c r="R106" s="87"/>
    </row>
    <row r="107" spans="5:18" ht="12.75">
      <c r="E107" s="70" t="s">
        <v>10</v>
      </c>
      <c r="F107" s="71"/>
      <c r="G107" s="72"/>
      <c r="H107" s="73">
        <f>SUM(H104:H106)</f>
        <v>0</v>
      </c>
      <c r="I107" s="70" t="s">
        <v>10</v>
      </c>
      <c r="J107" s="71"/>
      <c r="K107" s="72"/>
      <c r="L107" s="73">
        <f>SUM(L104:L106)</f>
        <v>0</v>
      </c>
      <c r="N107" s="179" t="s">
        <v>212</v>
      </c>
      <c r="O107" s="180">
        <v>8099.54</v>
      </c>
      <c r="P107" s="297">
        <v>265</v>
      </c>
      <c r="R107" s="87"/>
    </row>
    <row r="108" spans="5:18" ht="12.75">
      <c r="E108" s="78" t="s">
        <v>68</v>
      </c>
      <c r="F108" s="317" t="s">
        <v>121</v>
      </c>
      <c r="G108" s="318"/>
      <c r="H108" s="62"/>
      <c r="I108" s="78" t="s">
        <v>68</v>
      </c>
      <c r="J108" s="317" t="s">
        <v>122</v>
      </c>
      <c r="K108" s="318"/>
      <c r="L108" s="62"/>
      <c r="N108" s="179" t="s">
        <v>213</v>
      </c>
      <c r="O108" s="180">
        <v>6581.83</v>
      </c>
      <c r="P108" s="297">
        <v>271</v>
      </c>
      <c r="R108" s="87"/>
    </row>
    <row r="109" spans="5:18" ht="12.75">
      <c r="E109" s="63"/>
      <c r="F109" s="64"/>
      <c r="G109" s="64"/>
      <c r="H109" s="65"/>
      <c r="I109" s="63"/>
      <c r="J109" s="64"/>
      <c r="K109" s="64"/>
      <c r="L109" s="65"/>
      <c r="N109" s="179" t="s">
        <v>214</v>
      </c>
      <c r="O109" s="180">
        <v>6505.64</v>
      </c>
      <c r="P109" s="297">
        <v>272</v>
      </c>
      <c r="R109" s="87"/>
    </row>
    <row r="110" spans="5:18" ht="12.75">
      <c r="E110" s="63"/>
      <c r="F110" s="66" t="s">
        <v>50</v>
      </c>
      <c r="G110" s="66" t="s">
        <v>54</v>
      </c>
      <c r="H110" s="67" t="s">
        <v>55</v>
      </c>
      <c r="I110" s="63"/>
      <c r="J110" s="66" t="s">
        <v>50</v>
      </c>
      <c r="K110" s="66" t="s">
        <v>54</v>
      </c>
      <c r="L110" s="67" t="s">
        <v>55</v>
      </c>
      <c r="N110" s="179" t="s">
        <v>215</v>
      </c>
      <c r="O110" s="180">
        <v>8623.78</v>
      </c>
      <c r="P110" s="297">
        <v>273</v>
      </c>
      <c r="R110" s="87"/>
    </row>
    <row r="111" spans="5:18" ht="12.75">
      <c r="E111" s="68" t="s">
        <v>53</v>
      </c>
      <c r="F111" s="37"/>
      <c r="G111" s="60">
        <f>G112*0.91</f>
        <v>6026.93</v>
      </c>
      <c r="H111" s="69">
        <f>F111*G111</f>
        <v>0</v>
      </c>
      <c r="I111" s="68" t="s">
        <v>53</v>
      </c>
      <c r="J111" s="37"/>
      <c r="K111" s="60">
        <f>K112*0.91</f>
        <v>5778.9186</v>
      </c>
      <c r="L111" s="69">
        <f>J111*K111</f>
        <v>0</v>
      </c>
      <c r="N111" s="179" t="s">
        <v>216</v>
      </c>
      <c r="O111" s="180">
        <v>7307.41</v>
      </c>
      <c r="P111" s="297">
        <v>275</v>
      </c>
      <c r="R111" s="87"/>
    </row>
    <row r="112" spans="5:18" ht="12.75">
      <c r="E112" s="68" t="s">
        <v>52</v>
      </c>
      <c r="F112" s="37"/>
      <c r="G112" s="60">
        <f>INDEX(kkkpo,MATCH(F108,kuntanimi,0),1,1)</f>
        <v>6623</v>
      </c>
      <c r="H112" s="69">
        <f>F112*G112</f>
        <v>0</v>
      </c>
      <c r="I112" s="68" t="s">
        <v>52</v>
      </c>
      <c r="J112" s="37"/>
      <c r="K112" s="60">
        <f>INDEX(kkkpo,MATCH(J108,kuntanimi,0),1,1)</f>
        <v>6350.46</v>
      </c>
      <c r="L112" s="69">
        <f>J112*K112</f>
        <v>0</v>
      </c>
      <c r="N112" s="179" t="s">
        <v>217</v>
      </c>
      <c r="O112" s="180">
        <v>6526.28</v>
      </c>
      <c r="P112" s="297">
        <v>276</v>
      </c>
      <c r="R112" s="87"/>
    </row>
    <row r="113" spans="5:18" ht="12.75">
      <c r="E113" s="63" t="s">
        <v>51</v>
      </c>
      <c r="F113" s="37"/>
      <c r="G113" s="60">
        <f>G112*1.35</f>
        <v>8941.050000000001</v>
      </c>
      <c r="H113" s="69">
        <f>F113*G113</f>
        <v>0</v>
      </c>
      <c r="I113" s="63" t="s">
        <v>51</v>
      </c>
      <c r="J113" s="37"/>
      <c r="K113" s="60">
        <f>K112*1.35</f>
        <v>8573.121000000001</v>
      </c>
      <c r="L113" s="69">
        <f>J113*K113</f>
        <v>0</v>
      </c>
      <c r="N113" s="179" t="s">
        <v>218</v>
      </c>
      <c r="O113" s="180">
        <v>7793.44</v>
      </c>
      <c r="P113" s="297">
        <v>280</v>
      </c>
      <c r="R113" s="87"/>
    </row>
    <row r="114" spans="5:18" ht="12.75">
      <c r="E114" s="70" t="s">
        <v>10</v>
      </c>
      <c r="F114" s="71"/>
      <c r="G114" s="72"/>
      <c r="H114" s="73">
        <f>SUM(H111:H113)</f>
        <v>0</v>
      </c>
      <c r="I114" s="70" t="s">
        <v>10</v>
      </c>
      <c r="J114" s="71"/>
      <c r="K114" s="72"/>
      <c r="L114" s="73">
        <f>SUM(L111:L113)</f>
        <v>0</v>
      </c>
      <c r="N114" s="179" t="s">
        <v>219</v>
      </c>
      <c r="O114" s="180">
        <v>6785.02</v>
      </c>
      <c r="P114" s="297">
        <v>284</v>
      </c>
      <c r="R114" s="87"/>
    </row>
    <row r="115" spans="5:18" ht="12.75">
      <c r="E115" s="78" t="s">
        <v>68</v>
      </c>
      <c r="F115" s="317" t="s">
        <v>123</v>
      </c>
      <c r="G115" s="318"/>
      <c r="H115" s="62"/>
      <c r="I115" s="78" t="s">
        <v>68</v>
      </c>
      <c r="J115" s="317" t="s">
        <v>124</v>
      </c>
      <c r="K115" s="318"/>
      <c r="L115" s="62"/>
      <c r="N115" s="179" t="s">
        <v>220</v>
      </c>
      <c r="O115" s="180">
        <v>6080.96</v>
      </c>
      <c r="P115" s="297">
        <v>285</v>
      </c>
      <c r="R115" s="87"/>
    </row>
    <row r="116" spans="5:18" ht="12.75">
      <c r="E116" s="63"/>
      <c r="F116" s="64"/>
      <c r="G116" s="64"/>
      <c r="H116" s="65"/>
      <c r="I116" s="63"/>
      <c r="J116" s="64"/>
      <c r="K116" s="64"/>
      <c r="L116" s="65"/>
      <c r="N116" s="179" t="s">
        <v>221</v>
      </c>
      <c r="O116" s="180">
        <v>6099.56</v>
      </c>
      <c r="P116" s="297">
        <v>286</v>
      </c>
      <c r="R116" s="87"/>
    </row>
    <row r="117" spans="5:18" ht="12.75">
      <c r="E117" s="63"/>
      <c r="F117" s="66" t="s">
        <v>50</v>
      </c>
      <c r="G117" s="66" t="s">
        <v>54</v>
      </c>
      <c r="H117" s="67" t="s">
        <v>55</v>
      </c>
      <c r="I117" s="63"/>
      <c r="J117" s="66" t="s">
        <v>50</v>
      </c>
      <c r="K117" s="66" t="s">
        <v>54</v>
      </c>
      <c r="L117" s="67" t="s">
        <v>55</v>
      </c>
      <c r="N117" s="179" t="s">
        <v>222</v>
      </c>
      <c r="O117" s="180">
        <v>7652.64</v>
      </c>
      <c r="P117" s="297">
        <v>287</v>
      </c>
      <c r="R117" s="87"/>
    </row>
    <row r="118" spans="5:18" ht="12.75">
      <c r="E118" s="68" t="s">
        <v>53</v>
      </c>
      <c r="F118" s="37"/>
      <c r="G118" s="60">
        <f>G119*0.91</f>
        <v>5449.2438</v>
      </c>
      <c r="H118" s="69">
        <f>F118*G118</f>
        <v>0</v>
      </c>
      <c r="I118" s="68" t="s">
        <v>53</v>
      </c>
      <c r="J118" s="37"/>
      <c r="K118" s="60">
        <f>K119*0.91</f>
        <v>7124.326300000001</v>
      </c>
      <c r="L118" s="69">
        <f>J118*K118</f>
        <v>0</v>
      </c>
      <c r="N118" s="179" t="s">
        <v>223</v>
      </c>
      <c r="O118" s="180">
        <v>7945.74</v>
      </c>
      <c r="P118" s="297">
        <v>288</v>
      </c>
      <c r="R118" s="87"/>
    </row>
    <row r="119" spans="5:18" ht="12.75">
      <c r="E119" s="68" t="s">
        <v>52</v>
      </c>
      <c r="F119" s="37"/>
      <c r="G119" s="60">
        <f>INDEX(kkkpo,MATCH(F115,kuntanimi,0),1,1)</f>
        <v>5988.18</v>
      </c>
      <c r="H119" s="69">
        <f>F119*G119</f>
        <v>0</v>
      </c>
      <c r="I119" s="68" t="s">
        <v>52</v>
      </c>
      <c r="J119" s="37"/>
      <c r="K119" s="60">
        <f>INDEX(kkkpo,MATCH(J115,kuntanimi,0),1,1)</f>
        <v>7828.93</v>
      </c>
      <c r="L119" s="69">
        <f>J119*K119</f>
        <v>0</v>
      </c>
      <c r="N119" s="179" t="s">
        <v>224</v>
      </c>
      <c r="O119" s="180">
        <v>8401.42</v>
      </c>
      <c r="P119" s="297">
        <v>290</v>
      </c>
      <c r="R119" s="87"/>
    </row>
    <row r="120" spans="5:18" ht="12.75">
      <c r="E120" s="63" t="s">
        <v>51</v>
      </c>
      <c r="F120" s="37"/>
      <c r="G120" s="60">
        <f>G119*1.35</f>
        <v>8084.043000000001</v>
      </c>
      <c r="H120" s="69">
        <f>F120*G120</f>
        <v>0</v>
      </c>
      <c r="I120" s="63" t="s">
        <v>51</v>
      </c>
      <c r="J120" s="37"/>
      <c r="K120" s="60">
        <f>K119*1.35</f>
        <v>10569.0555</v>
      </c>
      <c r="L120" s="69">
        <f>J120*K120</f>
        <v>0</v>
      </c>
      <c r="N120" s="179" t="s">
        <v>225</v>
      </c>
      <c r="O120" s="180">
        <v>7705.41</v>
      </c>
      <c r="P120" s="297">
        <v>291</v>
      </c>
      <c r="R120" s="87"/>
    </row>
    <row r="121" spans="5:18" ht="12.75">
      <c r="E121" s="70" t="s">
        <v>10</v>
      </c>
      <c r="F121" s="71"/>
      <c r="G121" s="72"/>
      <c r="H121" s="73">
        <f>SUM(H118:H120)</f>
        <v>0</v>
      </c>
      <c r="I121" s="70" t="s">
        <v>10</v>
      </c>
      <c r="J121" s="71"/>
      <c r="K121" s="72"/>
      <c r="L121" s="73">
        <f>SUM(L118:L120)</f>
        <v>0</v>
      </c>
      <c r="N121" s="179" t="s">
        <v>226</v>
      </c>
      <c r="O121" s="180">
        <v>5984.13</v>
      </c>
      <c r="P121" s="297">
        <v>297</v>
      </c>
      <c r="R121" s="87"/>
    </row>
    <row r="122" spans="5:18" ht="12.75">
      <c r="E122" s="78" t="s">
        <v>68</v>
      </c>
      <c r="F122" s="317" t="s">
        <v>125</v>
      </c>
      <c r="G122" s="318"/>
      <c r="H122" s="62"/>
      <c r="I122" s="78" t="s">
        <v>68</v>
      </c>
      <c r="J122" s="317" t="s">
        <v>126</v>
      </c>
      <c r="K122" s="318"/>
      <c r="L122" s="62"/>
      <c r="N122" s="179" t="s">
        <v>227</v>
      </c>
      <c r="O122" s="180">
        <v>7042.76</v>
      </c>
      <c r="P122" s="297">
        <v>300</v>
      </c>
      <c r="R122" s="87"/>
    </row>
    <row r="123" spans="5:18" ht="12.75">
      <c r="E123" s="63"/>
      <c r="F123" s="64"/>
      <c r="G123" s="64"/>
      <c r="H123" s="65"/>
      <c r="I123" s="63"/>
      <c r="J123" s="64"/>
      <c r="K123" s="64"/>
      <c r="L123" s="65"/>
      <c r="N123" s="179" t="s">
        <v>228</v>
      </c>
      <c r="O123" s="180">
        <v>6592.48</v>
      </c>
      <c r="P123" s="297">
        <v>301</v>
      </c>
      <c r="R123" s="87"/>
    </row>
    <row r="124" spans="5:18" ht="12.75">
      <c r="E124" s="63"/>
      <c r="F124" s="66" t="s">
        <v>50</v>
      </c>
      <c r="G124" s="66" t="s">
        <v>54</v>
      </c>
      <c r="H124" s="67" t="s">
        <v>55</v>
      </c>
      <c r="I124" s="63"/>
      <c r="J124" s="66" t="s">
        <v>50</v>
      </c>
      <c r="K124" s="66" t="s">
        <v>54</v>
      </c>
      <c r="L124" s="67" t="s">
        <v>55</v>
      </c>
      <c r="N124" s="179" t="s">
        <v>229</v>
      </c>
      <c r="O124" s="180">
        <v>7728.09</v>
      </c>
      <c r="P124" s="297">
        <v>304</v>
      </c>
      <c r="R124" s="87"/>
    </row>
    <row r="125" spans="5:18" ht="12.75">
      <c r="E125" s="68" t="s">
        <v>53</v>
      </c>
      <c r="F125" s="37"/>
      <c r="G125" s="60">
        <f>G126*0.91</f>
        <v>9087.178100000001</v>
      </c>
      <c r="H125" s="69">
        <f>F125*G125</f>
        <v>0</v>
      </c>
      <c r="I125" s="68" t="s">
        <v>53</v>
      </c>
      <c r="J125" s="37"/>
      <c r="K125" s="60">
        <f>K126*0.91</f>
        <v>5852.2737</v>
      </c>
      <c r="L125" s="69">
        <f>J125*K125</f>
        <v>0</v>
      </c>
      <c r="N125" s="179" t="s">
        <v>230</v>
      </c>
      <c r="O125" s="180">
        <v>7883.44</v>
      </c>
      <c r="P125" s="297">
        <v>305</v>
      </c>
      <c r="R125" s="87"/>
    </row>
    <row r="126" spans="5:18" ht="12.75">
      <c r="E126" s="68" t="s">
        <v>52</v>
      </c>
      <c r="F126" s="37"/>
      <c r="G126" s="60">
        <f>INDEX(kkkpo,MATCH(F122,kuntanimi,0),1,1)</f>
        <v>9985.91</v>
      </c>
      <c r="H126" s="69">
        <f>F126*G126</f>
        <v>0</v>
      </c>
      <c r="I126" s="68" t="s">
        <v>52</v>
      </c>
      <c r="J126" s="37"/>
      <c r="K126" s="60">
        <f>INDEX(kkkpo,MATCH(J122,kuntanimi,0),1,1)</f>
        <v>6431.07</v>
      </c>
      <c r="L126" s="69">
        <f>J126*K126</f>
        <v>0</v>
      </c>
      <c r="N126" s="179" t="s">
        <v>231</v>
      </c>
      <c r="O126" s="180">
        <v>7891.36</v>
      </c>
      <c r="P126" s="297">
        <v>312</v>
      </c>
      <c r="R126" s="87"/>
    </row>
    <row r="127" spans="5:18" ht="12.75">
      <c r="E127" s="63" t="s">
        <v>51</v>
      </c>
      <c r="F127" s="37"/>
      <c r="G127" s="60">
        <f>G126*1.35</f>
        <v>13480.978500000001</v>
      </c>
      <c r="H127" s="69">
        <f>F127*G127</f>
        <v>0</v>
      </c>
      <c r="I127" s="63" t="s">
        <v>51</v>
      </c>
      <c r="J127" s="37"/>
      <c r="K127" s="60">
        <f>K126*1.35</f>
        <v>8681.9445</v>
      </c>
      <c r="L127" s="69">
        <f>J127*K127</f>
        <v>0</v>
      </c>
      <c r="N127" s="179" t="s">
        <v>232</v>
      </c>
      <c r="O127" s="180">
        <v>6504.2</v>
      </c>
      <c r="P127" s="297">
        <v>316</v>
      </c>
      <c r="R127" s="87"/>
    </row>
    <row r="128" spans="5:18" ht="12.75">
      <c r="E128" s="70" t="s">
        <v>10</v>
      </c>
      <c r="F128" s="71"/>
      <c r="G128" s="72"/>
      <c r="H128" s="73">
        <f>SUM(H125:H127)</f>
        <v>0</v>
      </c>
      <c r="I128" s="70" t="s">
        <v>10</v>
      </c>
      <c r="J128" s="71"/>
      <c r="K128" s="72"/>
      <c r="L128" s="73">
        <f>SUM(L125:L127)</f>
        <v>0</v>
      </c>
      <c r="N128" s="179" t="s">
        <v>233</v>
      </c>
      <c r="O128" s="180">
        <v>7560.96</v>
      </c>
      <c r="P128" s="297">
        <v>317</v>
      </c>
      <c r="R128" s="87"/>
    </row>
    <row r="129" spans="5:18" ht="12.75">
      <c r="E129" s="78" t="s">
        <v>68</v>
      </c>
      <c r="F129" s="317" t="s">
        <v>127</v>
      </c>
      <c r="G129" s="318"/>
      <c r="H129" s="62"/>
      <c r="I129" s="78" t="s">
        <v>68</v>
      </c>
      <c r="J129" s="317" t="s">
        <v>219</v>
      </c>
      <c r="K129" s="318"/>
      <c r="L129" s="62"/>
      <c r="N129" s="179" t="s">
        <v>234</v>
      </c>
      <c r="O129" s="180">
        <v>6814.36</v>
      </c>
      <c r="P129" s="297">
        <v>319</v>
      </c>
      <c r="R129" s="87"/>
    </row>
    <row r="130" spans="5:18" ht="12.75">
      <c r="E130" s="63"/>
      <c r="F130" s="64"/>
      <c r="G130" s="64"/>
      <c r="H130" s="65"/>
      <c r="I130" s="63"/>
      <c r="J130" s="64"/>
      <c r="K130" s="64"/>
      <c r="L130" s="65"/>
      <c r="N130" s="179" t="s">
        <v>235</v>
      </c>
      <c r="O130" s="180">
        <v>6028.32</v>
      </c>
      <c r="P130" s="297">
        <v>398</v>
      </c>
      <c r="R130" s="87"/>
    </row>
    <row r="131" spans="5:18" ht="12.75">
      <c r="E131" s="63"/>
      <c r="F131" s="66" t="s">
        <v>50</v>
      </c>
      <c r="G131" s="66" t="s">
        <v>54</v>
      </c>
      <c r="H131" s="67" t="s">
        <v>55</v>
      </c>
      <c r="I131" s="63"/>
      <c r="J131" s="66" t="s">
        <v>50</v>
      </c>
      <c r="K131" s="66" t="s">
        <v>54</v>
      </c>
      <c r="L131" s="67" t="s">
        <v>55</v>
      </c>
      <c r="N131" s="179" t="s">
        <v>236</v>
      </c>
      <c r="O131" s="180">
        <v>6595.63</v>
      </c>
      <c r="P131" s="297">
        <v>399</v>
      </c>
      <c r="R131" s="87"/>
    </row>
    <row r="132" spans="5:18" ht="12.75">
      <c r="E132" s="68" t="s">
        <v>53</v>
      </c>
      <c r="F132" s="37"/>
      <c r="G132" s="60">
        <f>G133*0.91</f>
        <v>5814.7453000000005</v>
      </c>
      <c r="H132" s="69">
        <f>F132*G132</f>
        <v>0</v>
      </c>
      <c r="I132" s="68" t="s">
        <v>53</v>
      </c>
      <c r="J132" s="37"/>
      <c r="K132" s="60">
        <f>K133*0.91</f>
        <v>6174.368200000001</v>
      </c>
      <c r="L132" s="69">
        <f>J132*K132</f>
        <v>0</v>
      </c>
      <c r="N132" s="179" t="s">
        <v>237</v>
      </c>
      <c r="O132" s="180">
        <v>6619.36</v>
      </c>
      <c r="P132" s="297">
        <v>400</v>
      </c>
      <c r="R132" s="87"/>
    </row>
    <row r="133" spans="5:18" ht="12.75">
      <c r="E133" s="68" t="s">
        <v>52</v>
      </c>
      <c r="F133" s="37"/>
      <c r="G133" s="60">
        <f>INDEX(kkkpo,MATCH(F129,kuntanimi,0),1,1)</f>
        <v>6389.83</v>
      </c>
      <c r="H133" s="69">
        <f>F133*G133</f>
        <v>0</v>
      </c>
      <c r="I133" s="68" t="s">
        <v>52</v>
      </c>
      <c r="J133" s="37"/>
      <c r="K133" s="60">
        <f>INDEX(kkkpo,MATCH(J129,kuntanimi,0),1,1)</f>
        <v>6785.02</v>
      </c>
      <c r="L133" s="69">
        <f>J133*K133</f>
        <v>0</v>
      </c>
      <c r="N133" s="179" t="s">
        <v>238</v>
      </c>
      <c r="O133" s="180">
        <v>7564.24</v>
      </c>
      <c r="P133" s="297">
        <v>407</v>
      </c>
      <c r="R133" s="87"/>
    </row>
    <row r="134" spans="5:18" ht="12.75">
      <c r="E134" s="63" t="s">
        <v>51</v>
      </c>
      <c r="F134" s="37"/>
      <c r="G134" s="60">
        <f>G133*1.35</f>
        <v>8626.2705</v>
      </c>
      <c r="H134" s="69">
        <f>F134*G134</f>
        <v>0</v>
      </c>
      <c r="I134" s="63" t="s">
        <v>51</v>
      </c>
      <c r="J134" s="37"/>
      <c r="K134" s="60">
        <f>K133*1.35</f>
        <v>9159.777000000002</v>
      </c>
      <c r="L134" s="69">
        <f>J134*K134</f>
        <v>0</v>
      </c>
      <c r="N134" s="179" t="s">
        <v>239</v>
      </c>
      <c r="O134" s="180">
        <v>6959.71</v>
      </c>
      <c r="P134" s="297">
        <v>402</v>
      </c>
      <c r="R134" s="87"/>
    </row>
    <row r="135" spans="5:18" ht="12.75">
      <c r="E135" s="70" t="s">
        <v>10</v>
      </c>
      <c r="F135" s="71"/>
      <c r="G135" s="72"/>
      <c r="H135" s="73">
        <f>SUM(H132:H134)</f>
        <v>0</v>
      </c>
      <c r="I135" s="70" t="s">
        <v>10</v>
      </c>
      <c r="J135" s="71"/>
      <c r="K135" s="72"/>
      <c r="L135" s="73">
        <f>SUM(L132:L134)</f>
        <v>0</v>
      </c>
      <c r="N135" s="179" t="s">
        <v>240</v>
      </c>
      <c r="O135" s="180">
        <v>7053.29</v>
      </c>
      <c r="P135" s="297">
        <v>403</v>
      </c>
      <c r="R135" s="87"/>
    </row>
    <row r="136" spans="5:18" ht="12.75">
      <c r="E136" s="78" t="s">
        <v>68</v>
      </c>
      <c r="F136" s="317" t="s">
        <v>117</v>
      </c>
      <c r="G136" s="318"/>
      <c r="H136" s="62"/>
      <c r="I136" s="78" t="s">
        <v>68</v>
      </c>
      <c r="J136" s="317" t="s">
        <v>118</v>
      </c>
      <c r="K136" s="318"/>
      <c r="L136" s="62"/>
      <c r="N136" s="179" t="s">
        <v>241</v>
      </c>
      <c r="O136" s="180">
        <v>6014.64</v>
      </c>
      <c r="P136" s="297">
        <v>405</v>
      </c>
      <c r="R136" s="87"/>
    </row>
    <row r="137" spans="5:18" ht="12.75">
      <c r="E137" s="63"/>
      <c r="F137" s="64"/>
      <c r="G137" s="64"/>
      <c r="H137" s="65"/>
      <c r="I137" s="63"/>
      <c r="J137" s="64"/>
      <c r="K137" s="64"/>
      <c r="L137" s="65"/>
      <c r="N137" s="179" t="s">
        <v>242</v>
      </c>
      <c r="O137" s="180">
        <v>6439.26</v>
      </c>
      <c r="P137" s="297">
        <v>408</v>
      </c>
      <c r="R137" s="87"/>
    </row>
    <row r="138" spans="5:18" ht="12.75">
      <c r="E138" s="63"/>
      <c r="F138" s="66" t="s">
        <v>50</v>
      </c>
      <c r="G138" s="66" t="s">
        <v>54</v>
      </c>
      <c r="H138" s="67" t="s">
        <v>55</v>
      </c>
      <c r="I138" s="63"/>
      <c r="J138" s="66" t="s">
        <v>50</v>
      </c>
      <c r="K138" s="66" t="s">
        <v>54</v>
      </c>
      <c r="L138" s="67" t="s">
        <v>55</v>
      </c>
      <c r="N138" s="179" t="s">
        <v>243</v>
      </c>
      <c r="O138" s="180">
        <v>6178.88</v>
      </c>
      <c r="P138" s="297">
        <v>410</v>
      </c>
      <c r="R138" s="87"/>
    </row>
    <row r="139" spans="5:18" ht="12.75">
      <c r="E139" s="68" t="s">
        <v>53</v>
      </c>
      <c r="F139" s="37"/>
      <c r="G139" s="60">
        <f>G140*0.91</f>
        <v>5417.4575</v>
      </c>
      <c r="H139" s="69">
        <f>F139*G139</f>
        <v>0</v>
      </c>
      <c r="I139" s="68" t="s">
        <v>53</v>
      </c>
      <c r="J139" s="37"/>
      <c r="K139" s="60">
        <f>K140*0.91</f>
        <v>6267.0062</v>
      </c>
      <c r="L139" s="69">
        <f>J139*K139</f>
        <v>0</v>
      </c>
      <c r="N139" s="179" t="s">
        <v>244</v>
      </c>
      <c r="O139" s="180">
        <v>7253.12</v>
      </c>
      <c r="P139" s="297">
        <v>413</v>
      </c>
      <c r="R139" s="87"/>
    </row>
    <row r="140" spans="5:18" ht="12.75">
      <c r="E140" s="68" t="s">
        <v>52</v>
      </c>
      <c r="F140" s="37"/>
      <c r="G140" s="60">
        <f>INDEX(kkkpo,MATCH(F136,kuntanimi,0),1,1)</f>
        <v>5953.25</v>
      </c>
      <c r="H140" s="69">
        <f>F140*G140</f>
        <v>0</v>
      </c>
      <c r="I140" s="68" t="s">
        <v>52</v>
      </c>
      <c r="J140" s="37"/>
      <c r="K140" s="60">
        <f>INDEX(kkkpo,MATCH(J136,kuntanimi,0),1,1)</f>
        <v>6886.82</v>
      </c>
      <c r="L140" s="69">
        <f>J140*K140</f>
        <v>0</v>
      </c>
      <c r="N140" s="179" t="s">
        <v>245</v>
      </c>
      <c r="O140" s="180">
        <v>6694</v>
      </c>
      <c r="P140" s="297">
        <v>416</v>
      </c>
      <c r="R140" s="87"/>
    </row>
    <row r="141" spans="5:18" ht="12.75">
      <c r="E141" s="63" t="s">
        <v>51</v>
      </c>
      <c r="F141" s="37"/>
      <c r="G141" s="60">
        <f>G140*1.35</f>
        <v>8036.887500000001</v>
      </c>
      <c r="H141" s="69">
        <f>F141*G141</f>
        <v>0</v>
      </c>
      <c r="I141" s="63" t="s">
        <v>51</v>
      </c>
      <c r="J141" s="37"/>
      <c r="K141" s="60">
        <f>K140*1.35</f>
        <v>9297.207</v>
      </c>
      <c r="L141" s="69">
        <f>J141*K141</f>
        <v>0</v>
      </c>
      <c r="N141" s="179" t="s">
        <v>246</v>
      </c>
      <c r="O141" s="180">
        <v>5956.86</v>
      </c>
      <c r="P141" s="297">
        <v>418</v>
      </c>
      <c r="R141" s="87"/>
    </row>
    <row r="142" spans="5:18" ht="12.75">
      <c r="E142" s="70" t="s">
        <v>10</v>
      </c>
      <c r="F142" s="71"/>
      <c r="G142" s="72"/>
      <c r="H142" s="73">
        <f>SUM(H139:H141)</f>
        <v>0</v>
      </c>
      <c r="I142" s="70" t="s">
        <v>10</v>
      </c>
      <c r="J142" s="71"/>
      <c r="K142" s="72"/>
      <c r="L142" s="73">
        <f>SUM(L139:L141)</f>
        <v>0</v>
      </c>
      <c r="N142" s="179" t="s">
        <v>247</v>
      </c>
      <c r="O142" s="180">
        <v>6975.49</v>
      </c>
      <c r="P142" s="297">
        <v>420</v>
      </c>
      <c r="R142" s="87"/>
    </row>
    <row r="143" spans="5:18" ht="12.75">
      <c r="E143" s="78" t="s">
        <v>68</v>
      </c>
      <c r="F143" s="317" t="s">
        <v>119</v>
      </c>
      <c r="G143" s="318"/>
      <c r="H143" s="62"/>
      <c r="I143" s="78" t="s">
        <v>68</v>
      </c>
      <c r="J143" s="317" t="s">
        <v>120</v>
      </c>
      <c r="K143" s="318"/>
      <c r="L143" s="62"/>
      <c r="N143" s="179" t="s">
        <v>248</v>
      </c>
      <c r="O143" s="180">
        <v>8475.28</v>
      </c>
      <c r="P143" s="297">
        <v>421</v>
      </c>
      <c r="R143" s="87"/>
    </row>
    <row r="144" spans="5:18" ht="12.75">
      <c r="E144" s="63"/>
      <c r="F144" s="64"/>
      <c r="G144" s="64"/>
      <c r="H144" s="65"/>
      <c r="I144" s="63"/>
      <c r="J144" s="64"/>
      <c r="K144" s="64"/>
      <c r="L144" s="65"/>
      <c r="N144" s="179" t="s">
        <v>249</v>
      </c>
      <c r="O144" s="180">
        <v>7761.28</v>
      </c>
      <c r="P144" s="297">
        <v>422</v>
      </c>
      <c r="R144" s="87"/>
    </row>
    <row r="145" spans="5:18" ht="12.75">
      <c r="E145" s="63"/>
      <c r="F145" s="66" t="s">
        <v>50</v>
      </c>
      <c r="G145" s="66" t="s">
        <v>54</v>
      </c>
      <c r="H145" s="67" t="s">
        <v>55</v>
      </c>
      <c r="I145" s="63"/>
      <c r="J145" s="66" t="s">
        <v>50</v>
      </c>
      <c r="K145" s="66" t="s">
        <v>54</v>
      </c>
      <c r="L145" s="67" t="s">
        <v>55</v>
      </c>
      <c r="N145" s="179" t="s">
        <v>250</v>
      </c>
      <c r="O145" s="180">
        <v>5978.07</v>
      </c>
      <c r="P145" s="297">
        <v>423</v>
      </c>
      <c r="R145" s="87"/>
    </row>
    <row r="146" spans="5:18" ht="12.75">
      <c r="E146" s="68" t="s">
        <v>53</v>
      </c>
      <c r="F146" s="37"/>
      <c r="G146" s="60">
        <f>G147*0.91</f>
        <v>6230.7154</v>
      </c>
      <c r="H146" s="69">
        <f>F146*G146</f>
        <v>0</v>
      </c>
      <c r="I146" s="68" t="s">
        <v>53</v>
      </c>
      <c r="J146" s="37"/>
      <c r="K146" s="60">
        <f>K147*0.91</f>
        <v>6201.4953000000005</v>
      </c>
      <c r="L146" s="69">
        <f>J146*K146</f>
        <v>0</v>
      </c>
      <c r="N146" s="179" t="s">
        <v>251</v>
      </c>
      <c r="O146" s="180">
        <v>6628.89</v>
      </c>
      <c r="P146" s="297">
        <v>425</v>
      </c>
      <c r="R146" s="87"/>
    </row>
    <row r="147" spans="5:18" ht="12.75">
      <c r="E147" s="68" t="s">
        <v>52</v>
      </c>
      <c r="F147" s="37"/>
      <c r="G147" s="60">
        <f>INDEX(kkkpo,MATCH(F143,kuntanimi,0),1,1)</f>
        <v>6846.94</v>
      </c>
      <c r="H147" s="69">
        <f>F147*G147</f>
        <v>0</v>
      </c>
      <c r="I147" s="68" t="s">
        <v>52</v>
      </c>
      <c r="J147" s="37"/>
      <c r="K147" s="60">
        <f>INDEX(kkkpo,MATCH(J143,kuntanimi,0),1,1)</f>
        <v>6814.83</v>
      </c>
      <c r="L147" s="69">
        <f>J147*K147</f>
        <v>0</v>
      </c>
      <c r="N147" s="179" t="s">
        <v>252</v>
      </c>
      <c r="O147" s="180">
        <v>6537.28</v>
      </c>
      <c r="P147" s="297">
        <v>426</v>
      </c>
      <c r="R147" s="87"/>
    </row>
    <row r="148" spans="5:18" ht="12.75">
      <c r="E148" s="63" t="s">
        <v>51</v>
      </c>
      <c r="F148" s="37"/>
      <c r="G148" s="60">
        <f>G147*1.35</f>
        <v>9243.369</v>
      </c>
      <c r="H148" s="69">
        <f>F148*G148</f>
        <v>0</v>
      </c>
      <c r="I148" s="63" t="s">
        <v>51</v>
      </c>
      <c r="J148" s="37"/>
      <c r="K148" s="60">
        <f>K147*1.35</f>
        <v>9200.0205</v>
      </c>
      <c r="L148" s="69">
        <f>J148*K148</f>
        <v>0</v>
      </c>
      <c r="N148" s="179" t="s">
        <v>253</v>
      </c>
      <c r="O148" s="180">
        <v>6269.49</v>
      </c>
      <c r="P148" s="297">
        <v>444</v>
      </c>
      <c r="R148" s="87"/>
    </row>
    <row r="149" spans="5:18" ht="12.75">
      <c r="E149" s="70" t="s">
        <v>10</v>
      </c>
      <c r="F149" s="71"/>
      <c r="G149" s="72"/>
      <c r="H149" s="73">
        <f>SUM(H146:H148)</f>
        <v>0</v>
      </c>
      <c r="I149" s="70" t="s">
        <v>10</v>
      </c>
      <c r="J149" s="71"/>
      <c r="K149" s="72"/>
      <c r="L149" s="73">
        <f>SUM(L146:L148)</f>
        <v>0</v>
      </c>
      <c r="N149" s="179" t="s">
        <v>254</v>
      </c>
      <c r="O149" s="180">
        <v>6454.03</v>
      </c>
      <c r="P149" s="297">
        <v>430</v>
      </c>
      <c r="R149" s="87"/>
    </row>
    <row r="150" spans="5:18" ht="12.75">
      <c r="E150" s="78" t="s">
        <v>68</v>
      </c>
      <c r="F150" s="317" t="s">
        <v>121</v>
      </c>
      <c r="G150" s="318"/>
      <c r="H150" s="62"/>
      <c r="I150" s="78" t="s">
        <v>68</v>
      </c>
      <c r="J150" s="317" t="s">
        <v>122</v>
      </c>
      <c r="K150" s="318"/>
      <c r="L150" s="62"/>
      <c r="N150" s="179" t="s">
        <v>255</v>
      </c>
      <c r="O150" s="180">
        <v>6679.17</v>
      </c>
      <c r="P150" s="297">
        <v>433</v>
      </c>
      <c r="R150" s="87"/>
    </row>
    <row r="151" spans="5:18" ht="12.75">
      <c r="E151" s="63"/>
      <c r="F151" s="64"/>
      <c r="G151" s="64"/>
      <c r="H151" s="65"/>
      <c r="I151" s="63"/>
      <c r="J151" s="64"/>
      <c r="K151" s="64"/>
      <c r="L151" s="65"/>
      <c r="N151" s="179" t="s">
        <v>256</v>
      </c>
      <c r="O151" s="180">
        <v>7112.33</v>
      </c>
      <c r="P151" s="297">
        <v>434</v>
      </c>
      <c r="R151" s="87"/>
    </row>
    <row r="152" spans="5:18" ht="12.75">
      <c r="E152" s="63"/>
      <c r="F152" s="66" t="s">
        <v>50</v>
      </c>
      <c r="G152" s="66" t="s">
        <v>54</v>
      </c>
      <c r="H152" s="67" t="s">
        <v>55</v>
      </c>
      <c r="I152" s="63"/>
      <c r="J152" s="66" t="s">
        <v>50</v>
      </c>
      <c r="K152" s="66" t="s">
        <v>54</v>
      </c>
      <c r="L152" s="67" t="s">
        <v>55</v>
      </c>
      <c r="N152" s="179" t="s">
        <v>257</v>
      </c>
      <c r="O152" s="180">
        <v>7716.8</v>
      </c>
      <c r="P152" s="297">
        <v>435</v>
      </c>
      <c r="R152" s="87"/>
    </row>
    <row r="153" spans="5:18" ht="12.75">
      <c r="E153" s="68" t="s">
        <v>53</v>
      </c>
      <c r="F153" s="37"/>
      <c r="G153" s="60">
        <f>G154*0.91</f>
        <v>6026.93</v>
      </c>
      <c r="H153" s="69">
        <f>F153*G153</f>
        <v>0</v>
      </c>
      <c r="I153" s="68" t="s">
        <v>53</v>
      </c>
      <c r="J153" s="37"/>
      <c r="K153" s="60">
        <f>K154*0.91</f>
        <v>5778.9186</v>
      </c>
      <c r="L153" s="69">
        <f>J153*K153</f>
        <v>0</v>
      </c>
      <c r="N153" s="179" t="s">
        <v>258</v>
      </c>
      <c r="O153" s="180">
        <v>6922.37</v>
      </c>
      <c r="P153" s="297">
        <v>436</v>
      </c>
      <c r="R153" s="87"/>
    </row>
    <row r="154" spans="5:18" ht="12.75">
      <c r="E154" s="68" t="s">
        <v>52</v>
      </c>
      <c r="F154" s="37"/>
      <c r="G154" s="60">
        <f>INDEX(kkkpo,MATCH(F150,kuntanimi,0),1,1)</f>
        <v>6623</v>
      </c>
      <c r="H154" s="69">
        <f>F154*G154</f>
        <v>0</v>
      </c>
      <c r="I154" s="68" t="s">
        <v>52</v>
      </c>
      <c r="J154" s="37"/>
      <c r="K154" s="60">
        <f>INDEX(kkkpo,MATCH(J150,kuntanimi,0),1,1)</f>
        <v>6350.46</v>
      </c>
      <c r="L154" s="69">
        <f>J154*K154</f>
        <v>0</v>
      </c>
      <c r="N154" s="179" t="s">
        <v>259</v>
      </c>
      <c r="O154" s="180">
        <v>6843.22</v>
      </c>
      <c r="P154" s="297">
        <v>440</v>
      </c>
      <c r="R154" s="87"/>
    </row>
    <row r="155" spans="5:18" ht="12.75">
      <c r="E155" s="63" t="s">
        <v>51</v>
      </c>
      <c r="F155" s="37"/>
      <c r="G155" s="60">
        <f>G154*1.35</f>
        <v>8941.050000000001</v>
      </c>
      <c r="H155" s="69">
        <f>F155*G155</f>
        <v>0</v>
      </c>
      <c r="I155" s="63" t="s">
        <v>51</v>
      </c>
      <c r="J155" s="37"/>
      <c r="K155" s="60">
        <f>K154*1.35</f>
        <v>8573.121000000001</v>
      </c>
      <c r="L155" s="69">
        <f>J155*K155</f>
        <v>0</v>
      </c>
      <c r="N155" s="179" t="s">
        <v>260</v>
      </c>
      <c r="O155" s="180">
        <v>7191.65</v>
      </c>
      <c r="P155" s="297">
        <v>441</v>
      </c>
      <c r="R155" s="87"/>
    </row>
    <row r="156" spans="5:18" ht="12.75">
      <c r="E156" s="70" t="s">
        <v>10</v>
      </c>
      <c r="F156" s="71"/>
      <c r="G156" s="72"/>
      <c r="H156" s="73">
        <f>SUM(H153:H155)</f>
        <v>0</v>
      </c>
      <c r="I156" s="70" t="s">
        <v>10</v>
      </c>
      <c r="J156" s="71"/>
      <c r="K156" s="72"/>
      <c r="L156" s="73">
        <f>SUM(L153:L155)</f>
        <v>0</v>
      </c>
      <c r="N156" s="179" t="s">
        <v>261</v>
      </c>
      <c r="O156" s="180">
        <v>6430.68</v>
      </c>
      <c r="P156" s="297">
        <v>442</v>
      </c>
      <c r="R156" s="87"/>
    </row>
    <row r="157" spans="5:18" ht="12.75">
      <c r="E157" s="78" t="s">
        <v>68</v>
      </c>
      <c r="F157" s="317" t="s">
        <v>123</v>
      </c>
      <c r="G157" s="318"/>
      <c r="H157" s="62"/>
      <c r="I157" s="78" t="s">
        <v>68</v>
      </c>
      <c r="J157" s="317" t="s">
        <v>124</v>
      </c>
      <c r="K157" s="318"/>
      <c r="L157" s="62"/>
      <c r="N157" s="179" t="s">
        <v>262</v>
      </c>
      <c r="O157" s="180">
        <v>8317.69</v>
      </c>
      <c r="P157" s="297">
        <v>475</v>
      </c>
      <c r="R157" s="87"/>
    </row>
    <row r="158" spans="5:18" ht="12.75">
      <c r="E158" s="63"/>
      <c r="F158" s="64"/>
      <c r="G158" s="64"/>
      <c r="H158" s="65"/>
      <c r="I158" s="63"/>
      <c r="J158" s="64"/>
      <c r="K158" s="64"/>
      <c r="L158" s="65"/>
      <c r="N158" s="179" t="s">
        <v>263</v>
      </c>
      <c r="O158" s="180">
        <v>7046.64</v>
      </c>
      <c r="P158" s="297">
        <v>476</v>
      </c>
      <c r="R158" s="87"/>
    </row>
    <row r="159" spans="5:18" ht="12.75">
      <c r="E159" s="63"/>
      <c r="F159" s="66" t="s">
        <v>50</v>
      </c>
      <c r="G159" s="66" t="s">
        <v>54</v>
      </c>
      <c r="H159" s="67" t="s">
        <v>55</v>
      </c>
      <c r="I159" s="63"/>
      <c r="J159" s="66" t="s">
        <v>50</v>
      </c>
      <c r="K159" s="66" t="s">
        <v>54</v>
      </c>
      <c r="L159" s="67" t="s">
        <v>55</v>
      </c>
      <c r="N159" s="179" t="s">
        <v>264</v>
      </c>
      <c r="O159" s="180">
        <v>6884.16</v>
      </c>
      <c r="P159" s="297">
        <v>480</v>
      </c>
      <c r="R159" s="87"/>
    </row>
    <row r="160" spans="5:18" ht="12.75">
      <c r="E160" s="68" t="s">
        <v>53</v>
      </c>
      <c r="F160" s="37"/>
      <c r="G160" s="60">
        <f>G161*0.91</f>
        <v>5449.2438</v>
      </c>
      <c r="H160" s="69">
        <f>F160*G160</f>
        <v>0</v>
      </c>
      <c r="I160" s="68" t="s">
        <v>53</v>
      </c>
      <c r="J160" s="37"/>
      <c r="K160" s="60">
        <f>K161*0.91</f>
        <v>7124.326300000001</v>
      </c>
      <c r="L160" s="69">
        <f>J160*K160</f>
        <v>0</v>
      </c>
      <c r="N160" s="179" t="s">
        <v>265</v>
      </c>
      <c r="O160" s="180">
        <v>5949.2</v>
      </c>
      <c r="P160" s="297">
        <v>481</v>
      </c>
      <c r="R160" s="87"/>
    </row>
    <row r="161" spans="5:18" ht="12.75">
      <c r="E161" s="68" t="s">
        <v>52</v>
      </c>
      <c r="F161" s="37"/>
      <c r="G161" s="60">
        <f>INDEX(kkkpo,MATCH(F157,kuntanimi,0),1,1)</f>
        <v>5988.18</v>
      </c>
      <c r="H161" s="69">
        <f>F161*G161</f>
        <v>0</v>
      </c>
      <c r="I161" s="68" t="s">
        <v>52</v>
      </c>
      <c r="J161" s="37"/>
      <c r="K161" s="60">
        <f>INDEX(kkkpo,MATCH(J157,kuntanimi,0),1,1)</f>
        <v>7828.93</v>
      </c>
      <c r="L161" s="69">
        <f>J161*K161</f>
        <v>0</v>
      </c>
      <c r="N161" s="179" t="s">
        <v>266</v>
      </c>
      <c r="O161" s="180">
        <v>7346.73</v>
      </c>
      <c r="P161" s="297">
        <v>483</v>
      </c>
      <c r="R161" s="87"/>
    </row>
    <row r="162" spans="5:18" ht="12.75">
      <c r="E162" s="63" t="s">
        <v>51</v>
      </c>
      <c r="F162" s="37"/>
      <c r="G162" s="60">
        <f>G161*1.35</f>
        <v>8084.043000000001</v>
      </c>
      <c r="H162" s="69">
        <f>F162*G162</f>
        <v>0</v>
      </c>
      <c r="I162" s="63" t="s">
        <v>51</v>
      </c>
      <c r="J162" s="37"/>
      <c r="K162" s="60">
        <f>K161*1.35</f>
        <v>10569.0555</v>
      </c>
      <c r="L162" s="69">
        <f>J162*K162</f>
        <v>0</v>
      </c>
      <c r="N162" s="179" t="s">
        <v>267</v>
      </c>
      <c r="O162" s="180">
        <v>7116.14</v>
      </c>
      <c r="P162" s="297">
        <v>484</v>
      </c>
      <c r="R162" s="87"/>
    </row>
    <row r="163" spans="5:18" ht="12.75">
      <c r="E163" s="70" t="s">
        <v>10</v>
      </c>
      <c r="F163" s="71"/>
      <c r="G163" s="72"/>
      <c r="H163" s="73">
        <f>SUM(H160:H162)</f>
        <v>0</v>
      </c>
      <c r="I163" s="70" t="s">
        <v>10</v>
      </c>
      <c r="J163" s="71"/>
      <c r="K163" s="72"/>
      <c r="L163" s="73">
        <f>SUM(L160:L162)</f>
        <v>0</v>
      </c>
      <c r="N163" s="179" t="s">
        <v>268</v>
      </c>
      <c r="O163" s="180">
        <v>7400.71</v>
      </c>
      <c r="P163" s="297">
        <v>489</v>
      </c>
      <c r="R163" s="87"/>
    </row>
    <row r="164" spans="5:18" ht="12.75">
      <c r="E164" s="1" t="s">
        <v>56</v>
      </c>
      <c r="L164" s="74">
        <f>H30+L30+H37+L37+H44+L44+H51+L51+H58+L58+H65+L65</f>
        <v>0</v>
      </c>
      <c r="N164" s="179" t="s">
        <v>269</v>
      </c>
      <c r="O164" s="180">
        <v>6419.96</v>
      </c>
      <c r="P164" s="297">
        <v>491</v>
      </c>
      <c r="R164" s="87"/>
    </row>
    <row r="165" spans="12:18" ht="12.75">
      <c r="L165" s="193" t="s">
        <v>565</v>
      </c>
      <c r="N165" s="179" t="s">
        <v>270</v>
      </c>
      <c r="O165" s="180">
        <v>6813.64</v>
      </c>
      <c r="P165" s="297">
        <v>494</v>
      </c>
      <c r="R165" s="87"/>
    </row>
    <row r="166" spans="14:18" ht="12.75">
      <c r="N166" s="179" t="s">
        <v>271</v>
      </c>
      <c r="O166" s="180">
        <v>8159.03</v>
      </c>
      <c r="P166" s="297">
        <v>495</v>
      </c>
      <c r="R166" s="87"/>
    </row>
    <row r="167" spans="14:18" ht="12.75">
      <c r="N167" s="179" t="s">
        <v>272</v>
      </c>
      <c r="O167" s="180">
        <v>8747.85</v>
      </c>
      <c r="P167" s="297">
        <v>498</v>
      </c>
      <c r="R167" s="87"/>
    </row>
    <row r="168" spans="14:18" ht="12.75">
      <c r="N168" s="179" t="s">
        <v>273</v>
      </c>
      <c r="O168" s="180">
        <v>7206.45</v>
      </c>
      <c r="P168" s="297">
        <v>499</v>
      </c>
      <c r="R168" s="87"/>
    </row>
    <row r="169" spans="14:18" ht="12.75">
      <c r="N169" s="179" t="s">
        <v>274</v>
      </c>
      <c r="O169" s="180">
        <v>5943.31</v>
      </c>
      <c r="P169" s="297">
        <v>500</v>
      </c>
      <c r="R169" s="87"/>
    </row>
    <row r="170" spans="14:18" ht="12.75">
      <c r="N170" s="179" t="s">
        <v>275</v>
      </c>
      <c r="O170" s="180">
        <v>6627.2</v>
      </c>
      <c r="P170" s="297">
        <v>503</v>
      </c>
      <c r="R170" s="87"/>
    </row>
    <row r="171" spans="14:18" ht="12.75">
      <c r="N171" s="181" t="s">
        <v>276</v>
      </c>
      <c r="O171" s="180">
        <v>7276.56</v>
      </c>
      <c r="P171" s="297">
        <v>504</v>
      </c>
      <c r="R171" s="87"/>
    </row>
    <row r="172" spans="14:18" ht="12.75">
      <c r="N172" s="179" t="s">
        <v>277</v>
      </c>
      <c r="O172" s="180">
        <v>6047.76</v>
      </c>
      <c r="P172" s="297">
        <v>505</v>
      </c>
      <c r="R172" s="87"/>
    </row>
    <row r="173" spans="14:18" ht="12.75">
      <c r="N173" s="179" t="s">
        <v>278</v>
      </c>
      <c r="O173" s="180">
        <v>6424.34</v>
      </c>
      <c r="P173" s="297">
        <v>508</v>
      </c>
      <c r="R173" s="87"/>
    </row>
    <row r="174" spans="14:18" ht="12.75">
      <c r="N174" s="179" t="s">
        <v>279</v>
      </c>
      <c r="O174" s="180">
        <v>7244.85</v>
      </c>
      <c r="P174" s="297">
        <v>507</v>
      </c>
      <c r="R174" s="87"/>
    </row>
    <row r="175" spans="14:18" ht="12.75">
      <c r="N175" s="179" t="s">
        <v>280</v>
      </c>
      <c r="O175" s="180">
        <v>5957.26</v>
      </c>
      <c r="P175" s="297">
        <v>529</v>
      </c>
      <c r="R175" s="87"/>
    </row>
    <row r="176" spans="14:18" ht="12.75">
      <c r="N176" s="179" t="s">
        <v>281</v>
      </c>
      <c r="O176" s="180">
        <v>6112.02</v>
      </c>
      <c r="P176" s="297">
        <v>531</v>
      </c>
      <c r="R176" s="87"/>
    </row>
    <row r="177" spans="14:18" ht="12.75">
      <c r="N177" s="181" t="s">
        <v>282</v>
      </c>
      <c r="O177" s="180">
        <v>5974.82</v>
      </c>
      <c r="P177" s="297">
        <v>532</v>
      </c>
      <c r="R177" s="87"/>
    </row>
    <row r="178" spans="14:18" ht="12.75">
      <c r="N178" s="179" t="s">
        <v>283</v>
      </c>
      <c r="O178" s="180">
        <v>6393.63</v>
      </c>
      <c r="P178" s="297">
        <v>535</v>
      </c>
      <c r="R178" s="87"/>
    </row>
    <row r="179" spans="14:18" ht="12.75">
      <c r="N179" s="179" t="s">
        <v>284</v>
      </c>
      <c r="O179" s="180">
        <v>5967.55</v>
      </c>
      <c r="P179" s="297">
        <v>536</v>
      </c>
      <c r="R179" s="87"/>
    </row>
    <row r="180" spans="14:18" ht="12.75">
      <c r="N180" s="179" t="s">
        <v>285</v>
      </c>
      <c r="O180" s="180">
        <v>6284.45</v>
      </c>
      <c r="P180" s="297">
        <v>538</v>
      </c>
      <c r="R180" s="87"/>
    </row>
    <row r="181" spans="14:18" ht="12.75">
      <c r="N181" s="179" t="s">
        <v>286</v>
      </c>
      <c r="O181" s="180">
        <v>7371.78</v>
      </c>
      <c r="P181" s="297">
        <v>541</v>
      </c>
      <c r="R181" s="87"/>
    </row>
    <row r="182" spans="14:18" ht="12.75">
      <c r="N182" s="179" t="s">
        <v>287</v>
      </c>
      <c r="O182" s="180">
        <v>5970.85</v>
      </c>
      <c r="P182" s="297">
        <v>543</v>
      </c>
      <c r="R182" s="87"/>
    </row>
    <row r="183" spans="14:18" ht="12.75">
      <c r="N183" s="179" t="s">
        <v>288</v>
      </c>
      <c r="O183" s="180">
        <v>7779.34</v>
      </c>
      <c r="P183" s="297">
        <v>545</v>
      </c>
      <c r="R183" s="87"/>
    </row>
    <row r="184" spans="14:18" ht="12.75">
      <c r="N184" s="179" t="s">
        <v>289</v>
      </c>
      <c r="O184" s="180">
        <v>6417.51</v>
      </c>
      <c r="P184" s="297">
        <v>560</v>
      </c>
      <c r="R184" s="87"/>
    </row>
    <row r="185" spans="14:18" ht="12.75">
      <c r="N185" s="179" t="s">
        <v>290</v>
      </c>
      <c r="O185" s="180">
        <v>6806.06</v>
      </c>
      <c r="P185" s="297">
        <v>561</v>
      </c>
      <c r="R185" s="87"/>
    </row>
    <row r="186" spans="14:18" ht="12.75">
      <c r="N186" s="179" t="s">
        <v>291</v>
      </c>
      <c r="O186" s="180">
        <v>6777.9</v>
      </c>
      <c r="P186" s="297">
        <v>562</v>
      </c>
      <c r="R186" s="87"/>
    </row>
    <row r="187" spans="14:18" ht="12.75">
      <c r="N187" s="179" t="s">
        <v>292</v>
      </c>
      <c r="O187" s="180">
        <v>6707.1</v>
      </c>
      <c r="P187" s="297">
        <v>563</v>
      </c>
      <c r="R187" s="87"/>
    </row>
    <row r="188" spans="14:18" ht="12.75">
      <c r="N188" s="179" t="s">
        <v>293</v>
      </c>
      <c r="O188" s="180">
        <v>5970.88</v>
      </c>
      <c r="P188" s="297">
        <v>564</v>
      </c>
      <c r="R188" s="87"/>
    </row>
    <row r="189" spans="14:18" ht="12.75">
      <c r="N189" s="179" t="s">
        <v>294</v>
      </c>
      <c r="O189" s="180">
        <v>6609.36</v>
      </c>
      <c r="P189" s="297">
        <v>309</v>
      </c>
      <c r="R189" s="87"/>
    </row>
    <row r="190" spans="14:18" ht="12.75">
      <c r="N190" s="179" t="s">
        <v>295</v>
      </c>
      <c r="O190" s="180">
        <v>7207.56</v>
      </c>
      <c r="P190" s="297">
        <v>576</v>
      </c>
      <c r="R190" s="87"/>
    </row>
    <row r="191" spans="14:18" ht="12.75">
      <c r="N191" s="179" t="s">
        <v>296</v>
      </c>
      <c r="O191" s="180">
        <v>5957.37</v>
      </c>
      <c r="P191" s="297">
        <v>577</v>
      </c>
      <c r="R191" s="87"/>
    </row>
    <row r="192" spans="14:18" ht="12.75">
      <c r="N192" s="179" t="s">
        <v>297</v>
      </c>
      <c r="O192" s="180">
        <v>7513.61</v>
      </c>
      <c r="P192" s="297">
        <v>578</v>
      </c>
      <c r="R192" s="87"/>
    </row>
    <row r="193" spans="14:18" ht="12.75">
      <c r="N193" s="179" t="s">
        <v>548</v>
      </c>
      <c r="O193" s="180">
        <v>7677.49</v>
      </c>
      <c r="P193" s="297">
        <v>445</v>
      </c>
      <c r="R193" s="87"/>
    </row>
    <row r="194" spans="14:18" ht="12.75">
      <c r="N194" s="179" t="s">
        <v>298</v>
      </c>
      <c r="O194" s="180">
        <v>6968.67</v>
      </c>
      <c r="P194" s="297">
        <v>580</v>
      </c>
      <c r="R194" s="87"/>
    </row>
    <row r="195" spans="14:18" ht="12.75">
      <c r="N195" s="181" t="s">
        <v>299</v>
      </c>
      <c r="O195" s="180">
        <v>7067.23</v>
      </c>
      <c r="P195" s="297">
        <v>581</v>
      </c>
      <c r="R195" s="87"/>
    </row>
    <row r="196" spans="14:18" ht="12.75">
      <c r="N196" s="179" t="s">
        <v>300</v>
      </c>
      <c r="O196" s="180">
        <v>7734.07</v>
      </c>
      <c r="P196" s="297">
        <v>599</v>
      </c>
      <c r="R196" s="87"/>
    </row>
    <row r="197" spans="14:18" ht="12.75">
      <c r="N197" s="179" t="s">
        <v>301</v>
      </c>
      <c r="O197" s="180">
        <v>9359.71</v>
      </c>
      <c r="P197" s="297">
        <v>583</v>
      </c>
      <c r="R197" s="87"/>
    </row>
    <row r="198" spans="14:18" ht="12.75">
      <c r="N198" s="179" t="s">
        <v>302</v>
      </c>
      <c r="O198" s="180">
        <v>8261.79</v>
      </c>
      <c r="P198" s="297">
        <v>854</v>
      </c>
      <c r="R198" s="87"/>
    </row>
    <row r="199" spans="14:18" ht="12.75">
      <c r="N199" s="179" t="s">
        <v>303</v>
      </c>
      <c r="O199" s="180">
        <v>7581.68</v>
      </c>
      <c r="P199" s="297">
        <v>584</v>
      </c>
      <c r="R199" s="87"/>
    </row>
    <row r="200" spans="14:18" ht="12.75">
      <c r="N200" s="179" t="s">
        <v>304</v>
      </c>
      <c r="O200" s="180">
        <v>7391.66</v>
      </c>
      <c r="P200" s="297">
        <v>588</v>
      </c>
      <c r="R200" s="87"/>
    </row>
    <row r="201" spans="14:18" ht="12.75">
      <c r="N201" s="179" t="s">
        <v>305</v>
      </c>
      <c r="O201" s="180">
        <v>6973.89</v>
      </c>
      <c r="P201" s="297">
        <v>592</v>
      </c>
      <c r="R201" s="87"/>
    </row>
    <row r="202" spans="14:18" ht="12.75">
      <c r="N202" s="179" t="s">
        <v>306</v>
      </c>
      <c r="O202" s="180">
        <v>6766.11</v>
      </c>
      <c r="P202" s="297">
        <v>593</v>
      </c>
      <c r="R202" s="87"/>
    </row>
    <row r="203" spans="14:18" ht="12.75">
      <c r="N203" s="179" t="s">
        <v>307</v>
      </c>
      <c r="O203" s="180">
        <v>7507.56</v>
      </c>
      <c r="P203" s="297">
        <v>595</v>
      </c>
      <c r="R203" s="87"/>
    </row>
    <row r="204" spans="14:18" ht="12.75">
      <c r="N204" s="179" t="s">
        <v>308</v>
      </c>
      <c r="O204" s="180">
        <v>6785.33</v>
      </c>
      <c r="P204" s="297">
        <v>598</v>
      </c>
      <c r="R204" s="87"/>
    </row>
    <row r="205" spans="14:18" ht="12.75">
      <c r="N205" s="179" t="s">
        <v>309</v>
      </c>
      <c r="O205" s="180">
        <v>7509.85</v>
      </c>
      <c r="P205" s="297">
        <v>601</v>
      </c>
      <c r="R205" s="87"/>
    </row>
    <row r="206" spans="14:18" ht="12.75">
      <c r="N206" s="179" t="s">
        <v>310</v>
      </c>
      <c r="O206" s="180">
        <v>5975.85</v>
      </c>
      <c r="P206" s="297">
        <v>604</v>
      </c>
      <c r="R206" s="87"/>
    </row>
    <row r="207" spans="14:18" ht="12.75">
      <c r="N207" s="179" t="s">
        <v>311</v>
      </c>
      <c r="O207" s="180">
        <v>7247.12</v>
      </c>
      <c r="P207" s="297">
        <v>607</v>
      </c>
      <c r="R207" s="87"/>
    </row>
    <row r="208" spans="14:18" ht="12.75">
      <c r="N208" s="179" t="s">
        <v>312</v>
      </c>
      <c r="O208" s="180">
        <v>7069.92</v>
      </c>
      <c r="P208" s="297">
        <v>608</v>
      </c>
      <c r="R208" s="87"/>
    </row>
    <row r="209" spans="14:18" ht="12.75">
      <c r="N209" s="179" t="s">
        <v>313</v>
      </c>
      <c r="O209" s="180">
        <v>5969.97</v>
      </c>
      <c r="P209" s="297">
        <v>609</v>
      </c>
      <c r="R209" s="87"/>
    </row>
    <row r="210" spans="14:18" ht="12.75">
      <c r="N210" s="179" t="s">
        <v>314</v>
      </c>
      <c r="O210" s="180">
        <v>6059.55</v>
      </c>
      <c r="P210" s="297">
        <v>611</v>
      </c>
      <c r="R210" s="87"/>
    </row>
    <row r="211" spans="14:18" ht="12.75">
      <c r="N211" s="181" t="s">
        <v>315</v>
      </c>
      <c r="O211" s="180">
        <v>6518.01</v>
      </c>
      <c r="P211" s="297">
        <v>638</v>
      </c>
      <c r="R211" s="87"/>
    </row>
    <row r="212" spans="14:18" ht="12.75">
      <c r="N212" s="179" t="s">
        <v>316</v>
      </c>
      <c r="O212" s="180">
        <v>8717.36</v>
      </c>
      <c r="P212" s="297">
        <v>614</v>
      </c>
      <c r="R212" s="87"/>
    </row>
    <row r="213" spans="14:18" ht="12.75">
      <c r="N213" s="179" t="s">
        <v>317</v>
      </c>
      <c r="O213" s="180">
        <v>8589.99</v>
      </c>
      <c r="P213" s="297">
        <v>615</v>
      </c>
      <c r="R213" s="87"/>
    </row>
    <row r="214" spans="14:18" ht="12.75">
      <c r="N214" s="179" t="s">
        <v>318</v>
      </c>
      <c r="O214" s="180">
        <v>6666.41</v>
      </c>
      <c r="P214" s="297">
        <v>616</v>
      </c>
      <c r="R214" s="87"/>
    </row>
    <row r="215" spans="14:18" ht="12.75">
      <c r="N215" s="179" t="s">
        <v>319</v>
      </c>
      <c r="O215" s="180">
        <v>7064.77</v>
      </c>
      <c r="P215" s="297">
        <v>619</v>
      </c>
      <c r="R215" s="87"/>
    </row>
    <row r="216" spans="14:18" ht="12.75">
      <c r="N216" s="179" t="s">
        <v>320</v>
      </c>
      <c r="O216" s="180">
        <v>8706.48</v>
      </c>
      <c r="P216" s="297">
        <v>620</v>
      </c>
      <c r="R216" s="87"/>
    </row>
    <row r="217" spans="14:18" ht="12.75">
      <c r="N217" s="179" t="s">
        <v>321</v>
      </c>
      <c r="O217" s="180">
        <v>8437.07</v>
      </c>
      <c r="P217" s="297">
        <v>623</v>
      </c>
      <c r="R217" s="87"/>
    </row>
    <row r="218" spans="14:18" ht="12.75">
      <c r="N218" s="179" t="s">
        <v>322</v>
      </c>
      <c r="O218" s="180">
        <v>6910.29</v>
      </c>
      <c r="P218" s="297">
        <v>624</v>
      </c>
      <c r="R218" s="87"/>
    </row>
    <row r="219" spans="14:18" ht="12.75">
      <c r="N219" s="179" t="s">
        <v>323</v>
      </c>
      <c r="O219" s="180">
        <v>7258.02</v>
      </c>
      <c r="P219" s="297">
        <v>625</v>
      </c>
      <c r="R219" s="87"/>
    </row>
    <row r="220" spans="14:18" ht="12.75">
      <c r="N220" s="179" t="s">
        <v>324</v>
      </c>
      <c r="O220" s="180">
        <v>7453.54</v>
      </c>
      <c r="P220" s="297">
        <v>626</v>
      </c>
      <c r="R220" s="87"/>
    </row>
    <row r="221" spans="14:18" ht="12.75">
      <c r="N221" s="179" t="s">
        <v>325</v>
      </c>
      <c r="O221" s="180">
        <v>8360.1</v>
      </c>
      <c r="P221" s="297">
        <v>630</v>
      </c>
      <c r="R221" s="87"/>
    </row>
    <row r="222" spans="14:18" ht="12.75">
      <c r="N222" s="179" t="s">
        <v>326</v>
      </c>
      <c r="O222" s="180">
        <v>6602.92</v>
      </c>
      <c r="P222" s="297">
        <v>631</v>
      </c>
      <c r="R222" s="87"/>
    </row>
    <row r="223" spans="14:18" ht="12.75">
      <c r="N223" s="179" t="s">
        <v>327</v>
      </c>
      <c r="O223" s="180">
        <v>6781.86</v>
      </c>
      <c r="P223" s="297">
        <v>635</v>
      </c>
      <c r="R223" s="87"/>
    </row>
    <row r="224" spans="14:18" ht="12.75">
      <c r="N224" s="179" t="s">
        <v>328</v>
      </c>
      <c r="O224" s="180">
        <v>6831.71</v>
      </c>
      <c r="P224" s="297">
        <v>636</v>
      </c>
      <c r="R224" s="87"/>
    </row>
    <row r="225" spans="14:18" ht="12.75">
      <c r="N225" s="179" t="s">
        <v>329</v>
      </c>
      <c r="O225" s="180">
        <v>6281.51</v>
      </c>
      <c r="P225" s="297">
        <v>678</v>
      </c>
      <c r="R225" s="87"/>
    </row>
    <row r="226" spans="14:18" ht="12.75">
      <c r="N226" s="179" t="s">
        <v>330</v>
      </c>
      <c r="O226" s="180">
        <v>7109.58</v>
      </c>
      <c r="P226" s="297">
        <v>710</v>
      </c>
      <c r="R226" s="87"/>
    </row>
    <row r="227" spans="14:18" ht="12.75">
      <c r="N227" s="179" t="s">
        <v>331</v>
      </c>
      <c r="O227" s="180">
        <v>6049.35</v>
      </c>
      <c r="P227" s="297">
        <v>680</v>
      </c>
      <c r="R227" s="87"/>
    </row>
    <row r="228" spans="14:18" ht="12.75">
      <c r="N228" s="179" t="s">
        <v>332</v>
      </c>
      <c r="O228" s="180">
        <v>7156.7</v>
      </c>
      <c r="P228" s="297">
        <v>681</v>
      </c>
      <c r="R228" s="87"/>
    </row>
    <row r="229" spans="14:18" ht="12.75">
      <c r="N229" s="179" t="s">
        <v>333</v>
      </c>
      <c r="O229" s="180">
        <v>8720.64</v>
      </c>
      <c r="P229" s="297">
        <v>683</v>
      </c>
      <c r="R229" s="87"/>
    </row>
    <row r="230" spans="14:18" ht="12.75">
      <c r="N230" s="179" t="s">
        <v>334</v>
      </c>
      <c r="O230" s="180">
        <v>5972.39</v>
      </c>
      <c r="P230" s="297">
        <v>684</v>
      </c>
      <c r="R230" s="87"/>
    </row>
    <row r="231" spans="14:18" ht="12.75">
      <c r="N231" s="179" t="s">
        <v>335</v>
      </c>
      <c r="O231" s="180">
        <v>7223.33</v>
      </c>
      <c r="P231" s="297">
        <v>686</v>
      </c>
      <c r="R231" s="87"/>
    </row>
    <row r="232" spans="14:18" ht="12.75">
      <c r="N232" s="179" t="s">
        <v>336</v>
      </c>
      <c r="O232" s="180">
        <v>8583.66</v>
      </c>
      <c r="P232" s="297">
        <v>687</v>
      </c>
      <c r="R232" s="87"/>
    </row>
    <row r="233" spans="14:18" ht="12.75">
      <c r="N233" s="181" t="s">
        <v>337</v>
      </c>
      <c r="O233" s="180">
        <v>6846.66</v>
      </c>
      <c r="P233" s="297">
        <v>689</v>
      </c>
      <c r="R233" s="87"/>
    </row>
    <row r="234" spans="14:18" ht="12.75">
      <c r="N234" s="179" t="s">
        <v>338</v>
      </c>
      <c r="O234" s="180">
        <v>7222.67</v>
      </c>
      <c r="P234" s="297">
        <v>691</v>
      </c>
      <c r="R234" s="87"/>
    </row>
    <row r="235" spans="14:18" ht="12.75">
      <c r="N235" s="179" t="s">
        <v>339</v>
      </c>
      <c r="O235" s="180">
        <v>5984.79</v>
      </c>
      <c r="P235" s="297">
        <v>694</v>
      </c>
      <c r="R235" s="87"/>
    </row>
    <row r="236" spans="14:18" ht="12.75">
      <c r="N236" s="179" t="s">
        <v>340</v>
      </c>
      <c r="O236" s="180">
        <v>8465.03</v>
      </c>
      <c r="P236" s="297">
        <v>697</v>
      </c>
      <c r="R236" s="87"/>
    </row>
    <row r="237" spans="14:18" ht="12.75">
      <c r="N237" s="179" t="s">
        <v>341</v>
      </c>
      <c r="O237" s="180">
        <v>7078.42</v>
      </c>
      <c r="P237" s="297">
        <v>698</v>
      </c>
      <c r="R237" s="87"/>
    </row>
    <row r="238" spans="14:18" ht="12.75">
      <c r="N238" s="179" t="s">
        <v>342</v>
      </c>
      <c r="O238" s="180">
        <v>7260.67</v>
      </c>
      <c r="P238" s="297">
        <v>700</v>
      </c>
      <c r="R238" s="87"/>
    </row>
    <row r="239" spans="14:18" ht="12.75">
      <c r="N239" s="179" t="s">
        <v>343</v>
      </c>
      <c r="O239" s="180">
        <v>7218.36</v>
      </c>
      <c r="P239" s="297">
        <v>702</v>
      </c>
      <c r="R239" s="87"/>
    </row>
    <row r="240" spans="14:18" ht="12.75">
      <c r="N240" s="181" t="s">
        <v>344</v>
      </c>
      <c r="O240" s="180">
        <v>5965.56</v>
      </c>
      <c r="P240" s="297">
        <v>704</v>
      </c>
      <c r="R240" s="87"/>
    </row>
    <row r="241" spans="14:18" ht="12.75">
      <c r="N241" s="179" t="s">
        <v>345</v>
      </c>
      <c r="O241" s="180">
        <v>7360.54</v>
      </c>
      <c r="P241" s="297">
        <v>707</v>
      </c>
      <c r="R241" s="87"/>
    </row>
    <row r="242" spans="14:18" ht="12.75">
      <c r="N242" s="179" t="s">
        <v>346</v>
      </c>
      <c r="O242" s="180">
        <v>7036.9</v>
      </c>
      <c r="P242" s="297">
        <v>729</v>
      </c>
      <c r="R242" s="87"/>
    </row>
    <row r="243" spans="14:18" ht="12.75">
      <c r="N243" s="179" t="s">
        <v>347</v>
      </c>
      <c r="O243" s="180">
        <v>9201.84</v>
      </c>
      <c r="P243" s="297">
        <v>732</v>
      </c>
      <c r="R243" s="87"/>
    </row>
    <row r="244" spans="14:18" ht="12.75">
      <c r="N244" s="179" t="s">
        <v>348</v>
      </c>
      <c r="O244" s="180">
        <v>6279.86</v>
      </c>
      <c r="P244" s="297">
        <v>734</v>
      </c>
      <c r="R244" s="87"/>
    </row>
    <row r="245" spans="14:18" ht="12.75">
      <c r="N245" s="179" t="s">
        <v>349</v>
      </c>
      <c r="O245" s="180">
        <v>6515.29</v>
      </c>
      <c r="P245" s="297">
        <v>790</v>
      </c>
      <c r="R245" s="87"/>
    </row>
    <row r="246" spans="14:18" ht="12.75">
      <c r="N246" s="179" t="s">
        <v>350</v>
      </c>
      <c r="O246" s="180">
        <v>6821.19</v>
      </c>
      <c r="P246" s="297">
        <v>738</v>
      </c>
      <c r="R246" s="87"/>
    </row>
    <row r="247" spans="14:18" ht="12.75">
      <c r="N247" s="179" t="s">
        <v>351</v>
      </c>
      <c r="O247" s="180">
        <v>7154.09</v>
      </c>
      <c r="P247" s="297">
        <v>739</v>
      </c>
      <c r="R247" s="87"/>
    </row>
    <row r="248" spans="14:18" ht="12.75">
      <c r="N248" s="179" t="s">
        <v>352</v>
      </c>
      <c r="O248" s="180">
        <v>6602.01</v>
      </c>
      <c r="P248" s="297">
        <v>740</v>
      </c>
      <c r="R248" s="87"/>
    </row>
    <row r="249" spans="14:18" ht="12.75">
      <c r="N249" s="179" t="s">
        <v>353</v>
      </c>
      <c r="O249" s="180">
        <v>10312.5</v>
      </c>
      <c r="P249" s="297">
        <v>742</v>
      </c>
      <c r="R249" s="87"/>
    </row>
    <row r="250" spans="14:18" ht="12.75">
      <c r="N250" s="179" t="s">
        <v>354</v>
      </c>
      <c r="O250" s="180">
        <v>5958.65</v>
      </c>
      <c r="P250" s="297">
        <v>743</v>
      </c>
      <c r="R250" s="87"/>
    </row>
    <row r="251" spans="14:18" ht="12.75">
      <c r="N251" s="179" t="s">
        <v>355</v>
      </c>
      <c r="O251" s="180">
        <v>7183.28</v>
      </c>
      <c r="P251" s="297">
        <v>746</v>
      </c>
      <c r="R251" s="87"/>
    </row>
    <row r="252" spans="14:18" ht="12.75">
      <c r="N252" s="179" t="s">
        <v>356</v>
      </c>
      <c r="O252" s="180">
        <v>7739.46</v>
      </c>
      <c r="P252" s="297">
        <v>747</v>
      </c>
      <c r="R252" s="87"/>
    </row>
    <row r="253" spans="14:18" ht="12.75">
      <c r="N253" s="179" t="s">
        <v>357</v>
      </c>
      <c r="O253" s="180">
        <v>7352.22</v>
      </c>
      <c r="P253" s="297">
        <v>748</v>
      </c>
      <c r="R253" s="87"/>
    </row>
    <row r="254" spans="14:18" ht="12.75">
      <c r="N254" s="179" t="s">
        <v>358</v>
      </c>
      <c r="O254" s="180">
        <v>8082.05</v>
      </c>
      <c r="P254" s="297">
        <v>791</v>
      </c>
      <c r="R254" s="87"/>
    </row>
    <row r="255" spans="14:18" ht="12.75">
      <c r="N255" s="179" t="s">
        <v>359</v>
      </c>
      <c r="O255" s="180">
        <v>5944.88</v>
      </c>
      <c r="P255" s="297">
        <v>749</v>
      </c>
      <c r="R255" s="87"/>
    </row>
    <row r="256" spans="14:18" ht="12.75">
      <c r="N256" s="181" t="s">
        <v>360</v>
      </c>
      <c r="O256" s="180">
        <v>8225.82</v>
      </c>
      <c r="P256" s="297">
        <v>751</v>
      </c>
      <c r="R256" s="87"/>
    </row>
    <row r="257" spans="14:18" ht="12.75">
      <c r="N257" s="179" t="s">
        <v>361</v>
      </c>
      <c r="O257" s="180">
        <v>6517.84</v>
      </c>
      <c r="P257" s="297">
        <v>753</v>
      </c>
      <c r="R257" s="87"/>
    </row>
    <row r="258" spans="14:18" ht="12.75">
      <c r="N258" s="179" t="s">
        <v>362</v>
      </c>
      <c r="O258" s="180">
        <v>6760.15</v>
      </c>
      <c r="P258" s="297">
        <v>755</v>
      </c>
      <c r="R258" s="87"/>
    </row>
    <row r="259" spans="14:18" ht="12.75">
      <c r="N259" s="179" t="s">
        <v>363</v>
      </c>
      <c r="O259" s="180">
        <v>9087.6</v>
      </c>
      <c r="P259" s="297">
        <v>758</v>
      </c>
      <c r="R259" s="87"/>
    </row>
    <row r="260" spans="14:18" ht="12.75">
      <c r="N260" s="179" t="s">
        <v>364</v>
      </c>
      <c r="O260" s="180">
        <v>7483.74</v>
      </c>
      <c r="P260" s="297">
        <v>759</v>
      </c>
      <c r="R260" s="87"/>
    </row>
    <row r="261" spans="14:18" ht="12.75">
      <c r="N261" s="179" t="s">
        <v>365</v>
      </c>
      <c r="O261" s="180">
        <v>6711.06</v>
      </c>
      <c r="P261" s="297">
        <v>761</v>
      </c>
      <c r="R261" s="87"/>
    </row>
    <row r="262" spans="14:18" ht="12.75">
      <c r="N262" s="179" t="s">
        <v>366</v>
      </c>
      <c r="O262" s="180">
        <v>7996.29</v>
      </c>
      <c r="P262" s="297">
        <v>762</v>
      </c>
      <c r="R262" s="87"/>
    </row>
    <row r="263" spans="14:18" ht="12.75">
      <c r="N263" s="179" t="s">
        <v>367</v>
      </c>
      <c r="O263" s="180">
        <v>7537.22</v>
      </c>
      <c r="P263" s="297">
        <v>765</v>
      </c>
      <c r="R263" s="87"/>
    </row>
    <row r="264" spans="14:18" ht="12.75">
      <c r="N264" s="181" t="s">
        <v>368</v>
      </c>
      <c r="O264" s="180">
        <v>7835.06</v>
      </c>
      <c r="P264" s="297">
        <v>768</v>
      </c>
      <c r="R264" s="87"/>
    </row>
    <row r="265" spans="14:18" ht="12.75">
      <c r="N265" s="179" t="s">
        <v>369</v>
      </c>
      <c r="O265" s="180">
        <v>8506.67</v>
      </c>
      <c r="P265" s="297">
        <v>777</v>
      </c>
      <c r="R265" s="87"/>
    </row>
    <row r="266" spans="14:18" ht="12.75">
      <c r="N266" s="179" t="s">
        <v>370</v>
      </c>
      <c r="O266" s="180">
        <v>6884.15</v>
      </c>
      <c r="P266" s="297">
        <v>778</v>
      </c>
      <c r="R266" s="87"/>
    </row>
    <row r="267" spans="14:18" ht="12.75">
      <c r="N267" s="179" t="s">
        <v>371</v>
      </c>
      <c r="O267" s="180">
        <v>7228.53</v>
      </c>
      <c r="P267" s="297">
        <v>781</v>
      </c>
      <c r="R267" s="87"/>
    </row>
    <row r="268" spans="14:18" ht="12.75">
      <c r="N268" s="179" t="s">
        <v>372</v>
      </c>
      <c r="O268" s="180">
        <v>6207.53</v>
      </c>
      <c r="P268" s="297">
        <v>783</v>
      </c>
      <c r="R268" s="87"/>
    </row>
    <row r="269" spans="14:18" ht="12.75">
      <c r="N269" s="179" t="s">
        <v>373</v>
      </c>
      <c r="O269" s="180">
        <v>6689.7</v>
      </c>
      <c r="P269" s="297">
        <v>831</v>
      </c>
      <c r="R269" s="87"/>
    </row>
    <row r="270" spans="14:18" ht="12.75">
      <c r="N270" s="179" t="s">
        <v>374</v>
      </c>
      <c r="O270" s="180">
        <v>8444.19</v>
      </c>
      <c r="P270" s="297">
        <v>832</v>
      </c>
      <c r="R270" s="87"/>
    </row>
    <row r="271" spans="14:18" ht="12.75">
      <c r="N271" s="179" t="s">
        <v>375</v>
      </c>
      <c r="O271" s="180">
        <v>6845.91</v>
      </c>
      <c r="P271" s="297">
        <v>833</v>
      </c>
      <c r="R271" s="87"/>
    </row>
    <row r="272" spans="14:18" ht="12.75">
      <c r="N272" s="179" t="s">
        <v>376</v>
      </c>
      <c r="O272" s="180">
        <v>6883.31</v>
      </c>
      <c r="P272" s="297">
        <v>834</v>
      </c>
      <c r="R272" s="87"/>
    </row>
    <row r="273" spans="14:18" ht="12.75">
      <c r="N273" s="179" t="s">
        <v>377</v>
      </c>
      <c r="O273" s="180">
        <v>6046.86</v>
      </c>
      <c r="P273" s="297">
        <v>837</v>
      </c>
      <c r="R273" s="87"/>
    </row>
    <row r="274" spans="14:18" ht="12.75">
      <c r="N274" s="179" t="s">
        <v>378</v>
      </c>
      <c r="O274" s="180">
        <v>6452.5</v>
      </c>
      <c r="P274" s="297">
        <v>838</v>
      </c>
      <c r="R274" s="87"/>
    </row>
    <row r="275" spans="14:18" ht="12.75">
      <c r="N275" s="179" t="s">
        <v>379</v>
      </c>
      <c r="O275" s="180">
        <v>7375.8</v>
      </c>
      <c r="P275" s="297">
        <v>844</v>
      </c>
      <c r="R275" s="87"/>
    </row>
    <row r="276" spans="14:18" ht="12.75">
      <c r="N276" s="179" t="s">
        <v>380</v>
      </c>
      <c r="O276" s="180">
        <v>8263.68</v>
      </c>
      <c r="P276" s="297">
        <v>845</v>
      </c>
      <c r="R276" s="87"/>
    </row>
    <row r="277" spans="14:18" ht="12.75">
      <c r="N277" s="179" t="s">
        <v>381</v>
      </c>
      <c r="O277" s="180">
        <v>6886.99</v>
      </c>
      <c r="P277" s="297">
        <v>846</v>
      </c>
      <c r="R277" s="87"/>
    </row>
    <row r="278" spans="14:18" ht="12.75">
      <c r="N278" s="179" t="s">
        <v>382</v>
      </c>
      <c r="O278" s="180">
        <v>7317.32</v>
      </c>
      <c r="P278" s="297">
        <v>848</v>
      </c>
      <c r="R278" s="87"/>
    </row>
    <row r="279" spans="14:18" ht="12.75">
      <c r="N279" s="179" t="s">
        <v>383</v>
      </c>
      <c r="O279" s="180">
        <v>7300.24</v>
      </c>
      <c r="P279" s="297">
        <v>849</v>
      </c>
      <c r="R279" s="87"/>
    </row>
    <row r="280" spans="14:18" ht="12.75">
      <c r="N280" s="179" t="s">
        <v>384</v>
      </c>
      <c r="O280" s="180">
        <v>7174.77</v>
      </c>
      <c r="P280" s="297">
        <v>850</v>
      </c>
      <c r="R280" s="87"/>
    </row>
    <row r="281" spans="14:18" ht="12.75">
      <c r="N281" s="179" t="s">
        <v>385</v>
      </c>
      <c r="O281" s="180">
        <v>6482.31</v>
      </c>
      <c r="P281" s="297">
        <v>851</v>
      </c>
      <c r="R281" s="87"/>
    </row>
    <row r="282" spans="14:18" ht="12.75">
      <c r="N282" s="179" t="s">
        <v>386</v>
      </c>
      <c r="O282" s="180">
        <v>6444.67</v>
      </c>
      <c r="P282" s="297">
        <v>853</v>
      </c>
      <c r="R282" s="87"/>
    </row>
    <row r="283" spans="14:18" ht="12.75">
      <c r="N283" s="179" t="s">
        <v>387</v>
      </c>
      <c r="O283" s="180">
        <v>7362.32</v>
      </c>
      <c r="P283" s="297">
        <v>857</v>
      </c>
      <c r="R283" s="87"/>
    </row>
    <row r="284" spans="14:18" ht="12.75">
      <c r="N284" s="179" t="s">
        <v>388</v>
      </c>
      <c r="O284" s="180">
        <v>5970.16</v>
      </c>
      <c r="P284" s="297">
        <v>858</v>
      </c>
      <c r="R284" s="87"/>
    </row>
    <row r="285" spans="14:18" ht="12.75">
      <c r="N285" s="179" t="s">
        <v>389</v>
      </c>
      <c r="O285" s="180">
        <v>6702.34</v>
      </c>
      <c r="P285" s="297">
        <v>859</v>
      </c>
      <c r="R285" s="87"/>
    </row>
    <row r="286" spans="14:18" ht="12.75">
      <c r="N286" s="179" t="s">
        <v>390</v>
      </c>
      <c r="O286" s="180">
        <v>6077.65</v>
      </c>
      <c r="P286" s="297">
        <v>886</v>
      </c>
      <c r="R286" s="87"/>
    </row>
    <row r="287" spans="14:18" ht="12.75">
      <c r="N287" s="179" t="s">
        <v>391</v>
      </c>
      <c r="O287" s="180">
        <v>6854.34</v>
      </c>
      <c r="P287" s="297">
        <v>887</v>
      </c>
      <c r="R287" s="87"/>
    </row>
    <row r="288" spans="14:18" ht="12.75">
      <c r="N288" s="179" t="s">
        <v>392</v>
      </c>
      <c r="O288" s="180">
        <v>8461.51</v>
      </c>
      <c r="P288" s="297">
        <v>889</v>
      </c>
      <c r="R288" s="87"/>
    </row>
    <row r="289" spans="14:18" ht="12.75">
      <c r="N289" s="179" t="s">
        <v>393</v>
      </c>
      <c r="O289" s="180">
        <v>10162.21</v>
      </c>
      <c r="P289" s="297">
        <v>890</v>
      </c>
      <c r="R289" s="87"/>
    </row>
    <row r="290" spans="14:18" ht="12.75">
      <c r="N290" s="179" t="s">
        <v>394</v>
      </c>
      <c r="O290" s="180">
        <v>6894.72</v>
      </c>
      <c r="P290" s="297">
        <v>892</v>
      </c>
      <c r="R290" s="87"/>
    </row>
    <row r="291" spans="14:18" ht="12.75">
      <c r="N291" s="179" t="s">
        <v>395</v>
      </c>
      <c r="O291" s="180">
        <v>7945.21</v>
      </c>
      <c r="P291" s="297">
        <v>893</v>
      </c>
      <c r="R291" s="87"/>
    </row>
    <row r="292" spans="14:18" ht="12.75">
      <c r="N292" s="179" t="s">
        <v>396</v>
      </c>
      <c r="O292" s="180">
        <v>6133.66</v>
      </c>
      <c r="P292" s="297">
        <v>895</v>
      </c>
      <c r="R292" s="87"/>
    </row>
    <row r="293" spans="14:18" ht="12.75">
      <c r="N293" s="179" t="s">
        <v>397</v>
      </c>
      <c r="O293" s="180">
        <v>8146.8</v>
      </c>
      <c r="P293" s="297">
        <v>785</v>
      </c>
      <c r="R293" s="87"/>
    </row>
    <row r="294" spans="14:18" ht="12.75">
      <c r="N294" s="179" t="s">
        <v>398</v>
      </c>
      <c r="O294" s="180">
        <v>6499.46</v>
      </c>
      <c r="P294" s="297">
        <v>905</v>
      </c>
      <c r="R294" s="87"/>
    </row>
    <row r="295" spans="14:18" ht="12.75">
      <c r="N295" s="179" t="s">
        <v>399</v>
      </c>
      <c r="O295" s="180">
        <v>5961.39</v>
      </c>
      <c r="P295" s="297">
        <v>908</v>
      </c>
      <c r="R295" s="87"/>
    </row>
    <row r="296" spans="14:18" ht="12.75">
      <c r="N296" s="179" t="s">
        <v>400</v>
      </c>
      <c r="O296" s="180">
        <v>8008.75</v>
      </c>
      <c r="P296" s="297">
        <v>911</v>
      </c>
      <c r="R296" s="87"/>
    </row>
    <row r="297" spans="14:18" ht="12.75">
      <c r="N297" s="179" t="s">
        <v>401</v>
      </c>
      <c r="O297" s="180">
        <v>6422.9</v>
      </c>
      <c r="P297" s="297">
        <v>92</v>
      </c>
      <c r="R297" s="87"/>
    </row>
    <row r="298" spans="14:18" ht="12.75">
      <c r="N298" s="179" t="s">
        <v>402</v>
      </c>
      <c r="O298" s="180">
        <v>5965.72</v>
      </c>
      <c r="P298" s="297">
        <v>915</v>
      </c>
      <c r="R298" s="87"/>
    </row>
    <row r="299" spans="14:18" ht="12.75">
      <c r="N299" s="179" t="s">
        <v>403</v>
      </c>
      <c r="O299" s="180">
        <v>6795.69</v>
      </c>
      <c r="P299" s="297">
        <v>918</v>
      </c>
      <c r="R299" s="87"/>
    </row>
    <row r="300" spans="14:18" ht="12.75">
      <c r="N300" s="179" t="s">
        <v>404</v>
      </c>
      <c r="O300" s="180">
        <v>7309.21</v>
      </c>
      <c r="P300" s="297">
        <v>921</v>
      </c>
      <c r="R300" s="87"/>
    </row>
    <row r="301" spans="14:18" ht="12.75">
      <c r="N301" s="179" t="s">
        <v>405</v>
      </c>
      <c r="O301" s="180">
        <v>6645.5</v>
      </c>
      <c r="P301" s="297">
        <v>922</v>
      </c>
      <c r="R301" s="87"/>
    </row>
    <row r="302" spans="14:18" ht="12.75">
      <c r="N302" s="179" t="s">
        <v>406</v>
      </c>
      <c r="O302" s="180">
        <v>7197.87</v>
      </c>
      <c r="P302" s="297">
        <v>924</v>
      </c>
      <c r="R302" s="87"/>
    </row>
    <row r="303" spans="14:18" ht="12.75">
      <c r="N303" s="179" t="s">
        <v>407</v>
      </c>
      <c r="O303" s="180">
        <v>7479.77</v>
      </c>
      <c r="P303" s="297">
        <v>925</v>
      </c>
      <c r="R303" s="87"/>
    </row>
    <row r="304" spans="14:18" ht="12.75">
      <c r="N304" s="179" t="s">
        <v>408</v>
      </c>
      <c r="O304" s="180">
        <v>5980.17</v>
      </c>
      <c r="P304" s="297">
        <v>927</v>
      </c>
      <c r="R304" s="87"/>
    </row>
    <row r="305" spans="14:18" ht="12.75">
      <c r="N305" s="179" t="s">
        <v>409</v>
      </c>
      <c r="O305" s="180">
        <v>7303.68</v>
      </c>
      <c r="P305" s="297">
        <v>931</v>
      </c>
      <c r="R305" s="87"/>
    </row>
    <row r="306" spans="14:18" ht="12.75">
      <c r="N306" s="179" t="s">
        <v>410</v>
      </c>
      <c r="O306" s="180">
        <v>6826.02</v>
      </c>
      <c r="P306" s="297">
        <v>934</v>
      </c>
      <c r="R306" s="87"/>
    </row>
    <row r="307" spans="14:18" ht="12.75">
      <c r="N307" s="179" t="s">
        <v>411</v>
      </c>
      <c r="O307" s="180">
        <v>7033.95</v>
      </c>
      <c r="P307" s="297">
        <v>935</v>
      </c>
      <c r="R307" s="87"/>
    </row>
    <row r="308" spans="14:18" ht="12.75">
      <c r="N308" s="179" t="s">
        <v>412</v>
      </c>
      <c r="O308" s="180">
        <v>7248.18</v>
      </c>
      <c r="P308" s="297">
        <v>936</v>
      </c>
      <c r="R308" s="87"/>
    </row>
    <row r="309" spans="14:18" ht="12.75">
      <c r="N309" s="179" t="s">
        <v>413</v>
      </c>
      <c r="O309" s="180">
        <v>8042.82</v>
      </c>
      <c r="P309" s="297">
        <v>946</v>
      </c>
      <c r="R309" s="87"/>
    </row>
    <row r="310" spans="14:18" ht="12.75">
      <c r="N310" s="179" t="s">
        <v>414</v>
      </c>
      <c r="O310" s="180">
        <v>8236.83</v>
      </c>
      <c r="P310" s="297">
        <v>976</v>
      </c>
      <c r="R310" s="87"/>
    </row>
    <row r="311" spans="14:18" ht="12.75">
      <c r="N311" s="179" t="s">
        <v>415</v>
      </c>
      <c r="O311" s="180">
        <v>6252.92</v>
      </c>
      <c r="P311" s="297">
        <v>977</v>
      </c>
      <c r="R311" s="87"/>
    </row>
    <row r="312" spans="14:18" ht="12.75">
      <c r="N312" s="179" t="s">
        <v>416</v>
      </c>
      <c r="O312" s="180">
        <v>6196.27</v>
      </c>
      <c r="P312" s="297">
        <v>980</v>
      </c>
      <c r="R312" s="87"/>
    </row>
    <row r="313" spans="14:18" ht="12.75">
      <c r="N313" s="179" t="s">
        <v>417</v>
      </c>
      <c r="O313" s="180">
        <v>6701.52</v>
      </c>
      <c r="P313" s="297">
        <v>981</v>
      </c>
      <c r="R313" s="87"/>
    </row>
    <row r="314" spans="14:18" ht="12.75">
      <c r="N314" s="179" t="s">
        <v>418</v>
      </c>
      <c r="O314" s="180">
        <v>7077.1</v>
      </c>
      <c r="P314" s="297">
        <v>989</v>
      </c>
      <c r="R314" s="87"/>
    </row>
    <row r="315" spans="14:18" ht="12.75">
      <c r="N315" s="179" t="s">
        <v>419</v>
      </c>
      <c r="O315" s="180">
        <v>6333.42</v>
      </c>
      <c r="P315" s="297">
        <v>992</v>
      </c>
      <c r="R315" s="87"/>
    </row>
  </sheetData>
  <sheetProtection sheet="1"/>
  <protectedRanges>
    <protectedRange sqref="J24:K163" name="Alue3"/>
    <protectedRange sqref="F24:G163" name="Alue2"/>
    <protectedRange sqref="F13:F15" name="Alue1"/>
  </protectedRanges>
  <mergeCells count="41">
    <mergeCell ref="F150:G150"/>
    <mergeCell ref="J150:K150"/>
    <mergeCell ref="F157:G157"/>
    <mergeCell ref="J157:K157"/>
    <mergeCell ref="F129:G129"/>
    <mergeCell ref="J129:K129"/>
    <mergeCell ref="F136:G136"/>
    <mergeCell ref="J136:K136"/>
    <mergeCell ref="F143:G143"/>
    <mergeCell ref="J143:K143"/>
    <mergeCell ref="F108:G108"/>
    <mergeCell ref="J108:K108"/>
    <mergeCell ref="F115:G115"/>
    <mergeCell ref="J115:K115"/>
    <mergeCell ref="F122:G122"/>
    <mergeCell ref="J122:K122"/>
    <mergeCell ref="F87:G87"/>
    <mergeCell ref="J87:K87"/>
    <mergeCell ref="F94:G94"/>
    <mergeCell ref="J94:K94"/>
    <mergeCell ref="F101:G101"/>
    <mergeCell ref="J101:K101"/>
    <mergeCell ref="F66:G66"/>
    <mergeCell ref="J66:K66"/>
    <mergeCell ref="F73:G73"/>
    <mergeCell ref="J73:K73"/>
    <mergeCell ref="F80:G80"/>
    <mergeCell ref="J80:K80"/>
    <mergeCell ref="F45:G45"/>
    <mergeCell ref="J45:K45"/>
    <mergeCell ref="F52:G52"/>
    <mergeCell ref="J52:K52"/>
    <mergeCell ref="F59:G59"/>
    <mergeCell ref="J59:K59"/>
    <mergeCell ref="A3:L3"/>
    <mergeCell ref="F24:G24"/>
    <mergeCell ref="J24:K24"/>
    <mergeCell ref="F31:G31"/>
    <mergeCell ref="J31:K31"/>
    <mergeCell ref="F38:G38"/>
    <mergeCell ref="J38:K38"/>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P88"/>
  <sheetViews>
    <sheetView zoomScalePageLayoutView="0" workbookViewId="0" topLeftCell="A1">
      <selection activeCell="K53" sqref="K53"/>
    </sheetView>
  </sheetViews>
  <sheetFormatPr defaultColWidth="9.140625" defaultRowHeight="12.75"/>
  <cols>
    <col min="1" max="4" width="2.7109375" style="0" customWidth="1"/>
    <col min="5" max="5" width="25.0039062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6" max="16" width="11.421875" style="0" bestFit="1" customWidth="1"/>
  </cols>
  <sheetData>
    <row r="1" spans="1:11" ht="15.75">
      <c r="A1" s="108" t="str">
        <f>'2.Yhteenveto'!A1</f>
        <v>12.1.2014, Kuntaliitto / SL</v>
      </c>
      <c r="E1" s="35"/>
      <c r="F1" s="8"/>
      <c r="G1" s="8"/>
      <c r="H1" s="8"/>
      <c r="I1" s="8"/>
      <c r="J1" s="8"/>
      <c r="K1" s="147" t="s">
        <v>499</v>
      </c>
    </row>
    <row r="2" spans="5:11" ht="12.75">
      <c r="E2" s="83"/>
      <c r="F2" s="8"/>
      <c r="G2" s="8"/>
      <c r="H2" s="8"/>
      <c r="I2" s="8"/>
      <c r="J2" s="8"/>
      <c r="K2" s="8"/>
    </row>
    <row r="3" spans="2:11" ht="18">
      <c r="B3" s="303" t="s">
        <v>482</v>
      </c>
      <c r="C3" s="304"/>
      <c r="D3" s="304"/>
      <c r="E3" s="304"/>
      <c r="F3" s="304"/>
      <c r="G3" s="304"/>
      <c r="H3" s="304"/>
      <c r="I3" s="304"/>
      <c r="J3" s="304"/>
      <c r="K3" s="305"/>
    </row>
    <row r="4" spans="5:10" ht="12.75">
      <c r="E4" s="8"/>
      <c r="F4" s="8"/>
      <c r="G4" s="8"/>
      <c r="H4" s="8"/>
      <c r="I4" s="8"/>
      <c r="J4" s="8"/>
    </row>
    <row r="5" spans="2:11" ht="12.75">
      <c r="B5" s="76" t="s">
        <v>67</v>
      </c>
      <c r="C5" s="34"/>
      <c r="D5" s="34"/>
      <c r="E5" s="48"/>
      <c r="F5" s="77" t="s">
        <v>442</v>
      </c>
      <c r="G5" s="8"/>
      <c r="H5" s="8"/>
      <c r="I5" s="8"/>
      <c r="J5" s="8"/>
      <c r="K5" s="8"/>
    </row>
    <row r="6" spans="2:11" ht="12.75">
      <c r="B6" s="34"/>
      <c r="C6" s="34"/>
      <c r="D6" s="34"/>
      <c r="E6" s="138"/>
      <c r="F6" s="77" t="s">
        <v>441</v>
      </c>
      <c r="G6" s="8"/>
      <c r="H6" s="8"/>
      <c r="I6" s="8"/>
      <c r="J6" s="8"/>
      <c r="K6" s="8"/>
    </row>
    <row r="7" spans="2:11" ht="12.75">
      <c r="B7" s="34"/>
      <c r="C7" s="34"/>
      <c r="D7" s="34"/>
      <c r="E7" s="8"/>
      <c r="F7" s="77"/>
      <c r="G7" s="8"/>
      <c r="H7" s="8"/>
      <c r="I7" s="8"/>
      <c r="J7" s="8"/>
      <c r="K7" s="8"/>
    </row>
    <row r="8" spans="2:11" ht="12.75">
      <c r="B8" s="166" t="s">
        <v>654</v>
      </c>
      <c r="C8" s="34"/>
      <c r="D8" s="34"/>
      <c r="E8" s="8"/>
      <c r="F8" s="77"/>
      <c r="G8" s="8"/>
      <c r="H8" s="8"/>
      <c r="I8" s="8"/>
      <c r="J8" s="8"/>
      <c r="K8" s="8"/>
    </row>
    <row r="9" spans="5:16" ht="12.75">
      <c r="E9" s="8"/>
      <c r="F9" s="288"/>
      <c r="G9" s="8"/>
      <c r="H9" s="8"/>
      <c r="I9" s="8"/>
      <c r="J9" s="8"/>
      <c r="K9" s="8"/>
      <c r="O9" s="5"/>
      <c r="P9" s="5"/>
    </row>
    <row r="10" spans="2:11" ht="12.75">
      <c r="B10" s="113" t="s">
        <v>1</v>
      </c>
      <c r="E10" s="32"/>
      <c r="F10" s="11" t="str">
        <f>'2.Yhteenveto'!G12</f>
        <v>Kangasala</v>
      </c>
      <c r="G10" s="9"/>
      <c r="H10" s="8"/>
      <c r="I10" s="8"/>
      <c r="J10" s="8"/>
      <c r="K10" s="8"/>
    </row>
    <row r="11" spans="2:11" ht="12.75">
      <c r="B11" s="113" t="s">
        <v>634</v>
      </c>
      <c r="E11" s="8"/>
      <c r="F11" s="221">
        <f>'2.Yhteenveto'!H13</f>
        <v>30126</v>
      </c>
      <c r="G11" s="83"/>
      <c r="H11" s="8"/>
      <c r="I11" s="8"/>
      <c r="J11" s="8"/>
      <c r="K11" s="32"/>
    </row>
    <row r="12" spans="3:11" ht="12.75">
      <c r="C12" s="42" t="s">
        <v>626</v>
      </c>
      <c r="F12" s="298"/>
      <c r="G12" s="166" t="s">
        <v>643</v>
      </c>
      <c r="H12" s="8"/>
      <c r="I12" s="8"/>
      <c r="J12" s="8"/>
      <c r="K12" s="32"/>
    </row>
    <row r="13" spans="2:11" ht="14.25">
      <c r="B13" s="34" t="s">
        <v>655</v>
      </c>
      <c r="F13" s="299">
        <f>INDEX(asukastiheys,MATCH($F$10,kuntanimi,0),1,1)</f>
        <v>45.78349873102233</v>
      </c>
      <c r="G13" s="8" t="s">
        <v>80</v>
      </c>
      <c r="H13" s="8"/>
      <c r="I13" s="8"/>
      <c r="J13" s="8"/>
      <c r="K13" s="32"/>
    </row>
    <row r="14" spans="5:11" ht="12.75">
      <c r="E14" s="8"/>
      <c r="F14" s="9"/>
      <c r="G14" s="8"/>
      <c r="H14" s="8"/>
      <c r="I14" s="8"/>
      <c r="J14" s="8"/>
      <c r="K14" s="8"/>
    </row>
    <row r="15" spans="2:11" ht="12.75">
      <c r="B15" s="32" t="s">
        <v>627</v>
      </c>
      <c r="F15" s="8"/>
      <c r="G15" s="8"/>
      <c r="H15" s="8"/>
      <c r="I15" s="8"/>
      <c r="J15" s="8"/>
      <c r="K15" s="22"/>
    </row>
    <row r="16" spans="5:11" ht="12.75">
      <c r="E16" s="42"/>
      <c r="F16" s="82"/>
      <c r="G16" s="8"/>
      <c r="H16" s="101"/>
      <c r="I16" s="101"/>
      <c r="J16" s="8"/>
      <c r="K16" s="22"/>
    </row>
    <row r="17" spans="3:16" ht="12.75">
      <c r="C17" s="34" t="s">
        <v>108</v>
      </c>
      <c r="G17" s="98" t="s">
        <v>110</v>
      </c>
      <c r="J17" s="8"/>
      <c r="K17" s="43">
        <f>'10.Lukio'!J52</f>
        <v>0</v>
      </c>
      <c r="M17" s="302">
        <v>6704.4</v>
      </c>
      <c r="P17" s="229"/>
    </row>
    <row r="18" spans="3:16" ht="12.75">
      <c r="C18" s="34" t="s">
        <v>28</v>
      </c>
      <c r="F18" s="8"/>
      <c r="G18" s="166" t="s">
        <v>29</v>
      </c>
      <c r="J18" s="8"/>
      <c r="K18" s="36"/>
      <c r="M18" s="302">
        <v>11137.2</v>
      </c>
      <c r="P18" s="229"/>
    </row>
    <row r="19" spans="3:16" ht="12.75">
      <c r="C19" s="34" t="s">
        <v>30</v>
      </c>
      <c r="F19" s="8"/>
      <c r="G19" s="166" t="s">
        <v>29</v>
      </c>
      <c r="J19" s="8"/>
      <c r="K19" s="36"/>
      <c r="M19" s="302">
        <v>7771.56</v>
      </c>
      <c r="P19" s="229"/>
    </row>
    <row r="20" spans="3:11" ht="12.75">
      <c r="C20" s="34" t="s">
        <v>111</v>
      </c>
      <c r="F20" s="8"/>
      <c r="G20" s="166" t="s">
        <v>29</v>
      </c>
      <c r="J20" s="8"/>
      <c r="K20" s="36"/>
    </row>
    <row r="21" spans="3:11" ht="12.75">
      <c r="C21" s="34" t="s">
        <v>109</v>
      </c>
      <c r="F21" s="8"/>
      <c r="G21" s="166" t="s">
        <v>29</v>
      </c>
      <c r="J21" s="8"/>
      <c r="K21" s="36"/>
    </row>
    <row r="22" spans="3:11" ht="12.75">
      <c r="C22" s="34" t="s">
        <v>31</v>
      </c>
      <c r="F22" s="8"/>
      <c r="G22" s="8"/>
      <c r="H22" s="8"/>
      <c r="I22" s="8"/>
      <c r="J22" s="8"/>
      <c r="K22" s="36"/>
    </row>
    <row r="23" spans="5:11" ht="12.75">
      <c r="E23" s="8"/>
      <c r="F23" s="8"/>
      <c r="G23" s="8"/>
      <c r="H23" s="8"/>
      <c r="I23" s="8"/>
      <c r="J23" s="8"/>
      <c r="K23" s="22"/>
    </row>
    <row r="24" spans="2:11" ht="12.75">
      <c r="B24" s="12" t="s">
        <v>483</v>
      </c>
      <c r="C24" s="187"/>
      <c r="D24" s="187"/>
      <c r="E24" s="187"/>
      <c r="F24" s="9"/>
      <c r="G24" s="9"/>
      <c r="H24" s="9"/>
      <c r="I24" s="9"/>
      <c r="J24" s="9"/>
      <c r="K24" s="150">
        <f>SUM(K16:K22)</f>
        <v>0</v>
      </c>
    </row>
    <row r="25" spans="5:11" ht="12.75">
      <c r="E25" s="8"/>
      <c r="F25" s="8"/>
      <c r="G25" s="8"/>
      <c r="H25" s="8"/>
      <c r="I25" s="8"/>
      <c r="J25" s="8"/>
      <c r="K25" s="22"/>
    </row>
    <row r="26" spans="2:11" ht="12.75">
      <c r="B26" s="32" t="s">
        <v>484</v>
      </c>
      <c r="G26" s="198">
        <v>348.64</v>
      </c>
      <c r="H26" s="8" t="s">
        <v>2</v>
      </c>
      <c r="I26" s="8"/>
      <c r="J26" s="22">
        <f>F11</f>
        <v>30126</v>
      </c>
      <c r="K26" s="19">
        <f>-G26*J26</f>
        <v>-10503128.639999999</v>
      </c>
    </row>
    <row r="27" spans="2:11" ht="12.75">
      <c r="B27" s="32"/>
      <c r="C27" s="89"/>
      <c r="G27" s="8"/>
      <c r="H27" s="8"/>
      <c r="I27" s="8"/>
      <c r="J27" s="22"/>
      <c r="K27" s="19"/>
    </row>
    <row r="28" spans="5:11" ht="12.75">
      <c r="E28" s="32"/>
      <c r="F28" s="44"/>
      <c r="G28" s="8"/>
      <c r="H28" s="22"/>
      <c r="I28" s="22"/>
      <c r="J28" s="8"/>
      <c r="K28" s="19"/>
    </row>
    <row r="29" spans="2:11" ht="12.75">
      <c r="B29" s="167" t="s">
        <v>485</v>
      </c>
      <c r="C29" s="122"/>
      <c r="D29" s="122"/>
      <c r="E29" s="122"/>
      <c r="F29" s="159"/>
      <c r="G29" s="158"/>
      <c r="H29" s="189"/>
      <c r="I29" s="189"/>
      <c r="J29" s="158"/>
      <c r="K29" s="160">
        <f>K24+K26</f>
        <v>-10503128.639999999</v>
      </c>
    </row>
    <row r="30" spans="5:11" ht="12.75">
      <c r="E30" s="8"/>
      <c r="F30" s="8"/>
      <c r="G30" s="8"/>
      <c r="H30" s="8"/>
      <c r="I30" s="8"/>
      <c r="J30" s="8"/>
      <c r="K30" s="22"/>
    </row>
    <row r="31" ht="14.25">
      <c r="E31" s="55"/>
    </row>
    <row r="32" spans="2:11" ht="12.75">
      <c r="B32" s="32" t="s">
        <v>486</v>
      </c>
      <c r="F32" s="8"/>
      <c r="G32" s="8"/>
      <c r="H32" s="8"/>
      <c r="I32" s="8"/>
      <c r="J32" s="8"/>
      <c r="K32" s="39"/>
    </row>
    <row r="33" spans="5:11" ht="12.75">
      <c r="E33" s="8"/>
      <c r="F33" s="8"/>
      <c r="G33" s="8"/>
      <c r="H33" s="8"/>
      <c r="I33" s="8"/>
      <c r="J33" s="8"/>
      <c r="K33" s="22"/>
    </row>
    <row r="34" spans="3:11" ht="12.75">
      <c r="C34" s="2"/>
      <c r="D34" s="2"/>
      <c r="E34" s="59"/>
      <c r="F34" s="190" t="s">
        <v>489</v>
      </c>
      <c r="G34" s="149"/>
      <c r="H34" s="149"/>
      <c r="I34" s="190" t="s">
        <v>490</v>
      </c>
      <c r="J34" s="149"/>
      <c r="K34" s="191"/>
    </row>
    <row r="35" spans="3:11" ht="12.75">
      <c r="C35" s="2"/>
      <c r="D35" s="2"/>
      <c r="E35" s="59"/>
      <c r="F35" s="190" t="s">
        <v>11</v>
      </c>
      <c r="G35" s="149" t="s">
        <v>488</v>
      </c>
      <c r="H35" s="149"/>
      <c r="I35" s="190" t="s">
        <v>12</v>
      </c>
      <c r="J35" s="149" t="s">
        <v>13</v>
      </c>
      <c r="K35" s="149" t="s">
        <v>439</v>
      </c>
    </row>
    <row r="36" spans="3:11" ht="12.75">
      <c r="C36" s="32" t="s">
        <v>47</v>
      </c>
      <c r="F36" s="8"/>
      <c r="J36" s="8"/>
      <c r="K36" s="22"/>
    </row>
    <row r="37" spans="4:11" ht="12.75">
      <c r="D37" s="8" t="s">
        <v>59</v>
      </c>
      <c r="F37" s="133">
        <f>'4.Esi- ja perusop. ja kulttuuri'!G13/1.015/1.03</f>
        <v>7301.6595724329245</v>
      </c>
      <c r="G37" s="166" t="s">
        <v>65</v>
      </c>
      <c r="I37" s="36"/>
      <c r="J37" s="8">
        <v>2.41</v>
      </c>
      <c r="K37" s="22">
        <f>F37*I37*J37</f>
        <v>0</v>
      </c>
    </row>
    <row r="38" spans="4:11" ht="12.75">
      <c r="D38" s="8" t="s">
        <v>60</v>
      </c>
      <c r="F38" s="82">
        <f>F37</f>
        <v>7301.6595724329245</v>
      </c>
      <c r="G38" s="166" t="s">
        <v>65</v>
      </c>
      <c r="I38" s="36"/>
      <c r="J38" s="8">
        <v>3.86</v>
      </c>
      <c r="K38" s="22">
        <f>F38*I38*J38</f>
        <v>0</v>
      </c>
    </row>
    <row r="39" spans="5:11" ht="12.75">
      <c r="E39" s="8"/>
      <c r="F39" s="8"/>
      <c r="G39" s="89"/>
      <c r="J39" s="8"/>
      <c r="K39" s="22"/>
    </row>
    <row r="40" spans="3:11" ht="12.75">
      <c r="C40" s="32" t="s">
        <v>48</v>
      </c>
      <c r="F40" s="61">
        <f>INDEX(kkkpo,MATCH(F10,kuntanimi,0),1,1)</f>
        <v>5951.93</v>
      </c>
      <c r="G40" s="166" t="s">
        <v>61</v>
      </c>
      <c r="I40" s="36"/>
      <c r="J40" s="8">
        <v>1.21</v>
      </c>
      <c r="K40" s="22">
        <f>(F40/1.015/1.03)*I40*J40</f>
        <v>0</v>
      </c>
    </row>
    <row r="41" spans="5:11" ht="12.75">
      <c r="E41" s="32"/>
      <c r="F41" s="82"/>
      <c r="G41" s="166"/>
      <c r="I41" s="39"/>
      <c r="J41" s="8"/>
      <c r="K41" s="22"/>
    </row>
    <row r="42" spans="3:11" ht="14.25">
      <c r="C42" s="32" t="s">
        <v>71</v>
      </c>
      <c r="F42" s="133">
        <v>3594.49</v>
      </c>
      <c r="G42" s="166" t="s">
        <v>75</v>
      </c>
      <c r="I42" s="36"/>
      <c r="J42" s="86" t="s">
        <v>72</v>
      </c>
      <c r="K42" s="22">
        <f>F42*I42</f>
        <v>0</v>
      </c>
    </row>
    <row r="43" spans="3:11" ht="12.75">
      <c r="C43" s="32"/>
      <c r="F43" s="82"/>
      <c r="G43" s="166"/>
      <c r="I43" s="39"/>
      <c r="J43" s="8"/>
      <c r="K43" s="22"/>
    </row>
    <row r="44" spans="3:11" ht="12.75">
      <c r="C44" s="32" t="s">
        <v>74</v>
      </c>
      <c r="F44" s="82"/>
      <c r="G44" s="166"/>
      <c r="I44" s="39"/>
      <c r="J44" s="8"/>
      <c r="K44" s="22"/>
    </row>
    <row r="45" spans="4:11" ht="12.75">
      <c r="D45" s="32" t="s">
        <v>73</v>
      </c>
      <c r="F45" s="133">
        <v>3200</v>
      </c>
      <c r="G45" s="166" t="s">
        <v>75</v>
      </c>
      <c r="I45" s="36"/>
      <c r="J45" s="8"/>
      <c r="K45" s="22">
        <f>F45*I45</f>
        <v>0</v>
      </c>
    </row>
    <row r="46" spans="6:11" ht="12.75">
      <c r="F46" s="8"/>
      <c r="G46" s="166"/>
      <c r="J46" s="8"/>
      <c r="K46" s="22"/>
    </row>
    <row r="47" spans="3:7" ht="12.75">
      <c r="C47" s="32" t="s">
        <v>57</v>
      </c>
      <c r="G47" s="89"/>
    </row>
    <row r="48" spans="4:11" ht="12.75">
      <c r="D48" s="32" t="s">
        <v>58</v>
      </c>
      <c r="F48" s="82">
        <f>F40</f>
        <v>5951.93</v>
      </c>
      <c r="G48" s="166" t="s">
        <v>61</v>
      </c>
      <c r="I48" s="36"/>
      <c r="J48" s="8">
        <v>2.39</v>
      </c>
      <c r="K48" s="22">
        <f>(F48/1.015/1.03)*I48*J48</f>
        <v>0</v>
      </c>
    </row>
    <row r="49" spans="6:11" ht="12.75">
      <c r="F49" s="8"/>
      <c r="G49" s="166"/>
      <c r="K49" s="22"/>
    </row>
    <row r="50" spans="3:7" ht="12.75">
      <c r="C50" s="32" t="s">
        <v>49</v>
      </c>
      <c r="G50" s="89"/>
    </row>
    <row r="51" spans="4:11" ht="12.75">
      <c r="D51" s="34" t="s">
        <v>70</v>
      </c>
      <c r="F51" s="82">
        <f>F40</f>
        <v>5951.93</v>
      </c>
      <c r="G51" s="166" t="s">
        <v>61</v>
      </c>
      <c r="I51" s="36"/>
      <c r="J51" s="8">
        <v>1.35</v>
      </c>
      <c r="K51" s="22">
        <f>(F51/1.015/1.03)*I51*J51</f>
        <v>0</v>
      </c>
    </row>
    <row r="52" spans="4:11" ht="12.75">
      <c r="D52" s="34" t="s">
        <v>69</v>
      </c>
      <c r="F52" s="82">
        <f>F40</f>
        <v>5951.93</v>
      </c>
      <c r="G52" s="166" t="s">
        <v>61</v>
      </c>
      <c r="I52" s="36"/>
      <c r="J52" s="8">
        <v>0.51</v>
      </c>
      <c r="K52" s="22">
        <f>(F52/1.015/1.03)*I52*J51*J52</f>
        <v>0</v>
      </c>
    </row>
    <row r="53" spans="5:11" ht="12.75">
      <c r="E53" s="8"/>
      <c r="F53" s="8"/>
      <c r="G53" s="166"/>
      <c r="J53" s="8"/>
      <c r="K53" s="22"/>
    </row>
    <row r="54" spans="3:11" ht="12.75">
      <c r="C54" s="32" t="s">
        <v>76</v>
      </c>
      <c r="F54" s="131">
        <v>10970.06</v>
      </c>
      <c r="G54" s="166" t="s">
        <v>62</v>
      </c>
      <c r="I54" s="36"/>
      <c r="J54" s="8">
        <v>0.26</v>
      </c>
      <c r="K54" s="22">
        <f>F54*I54*J54</f>
        <v>0</v>
      </c>
    </row>
    <row r="55" spans="5:11" ht="12.75">
      <c r="E55" s="8"/>
      <c r="F55" s="8"/>
      <c r="G55" s="8"/>
      <c r="H55" s="8"/>
      <c r="I55" s="8"/>
      <c r="J55" s="8"/>
      <c r="K55" s="22"/>
    </row>
    <row r="56" spans="2:11" ht="12.75">
      <c r="B56" s="121" t="s">
        <v>491</v>
      </c>
      <c r="C56" s="122"/>
      <c r="D56" s="122"/>
      <c r="E56" s="157"/>
      <c r="F56" s="158"/>
      <c r="G56" s="158"/>
      <c r="H56" s="158"/>
      <c r="I56" s="158"/>
      <c r="J56" s="158"/>
      <c r="K56" s="160">
        <f>SUM(K37:K55)</f>
        <v>0</v>
      </c>
    </row>
    <row r="57" spans="5:11" ht="12.75">
      <c r="E57" s="8"/>
      <c r="F57" s="8"/>
      <c r="G57" s="8"/>
      <c r="H57" s="8"/>
      <c r="I57" s="8"/>
      <c r="J57" s="8"/>
      <c r="K57" s="22"/>
    </row>
    <row r="58" ht="14.25">
      <c r="B58" s="192" t="s">
        <v>492</v>
      </c>
    </row>
    <row r="59" ht="14.25">
      <c r="E59" s="55"/>
    </row>
    <row r="60" spans="5:11" ht="14.25">
      <c r="E60" s="55"/>
      <c r="K60" s="193" t="s">
        <v>500</v>
      </c>
    </row>
    <row r="61" spans="2:11" ht="12.75">
      <c r="B61" s="1" t="s">
        <v>487</v>
      </c>
      <c r="E61" s="32"/>
      <c r="F61" s="32"/>
      <c r="G61" s="8"/>
      <c r="H61" s="32"/>
      <c r="I61" s="32"/>
      <c r="J61" s="32"/>
      <c r="K61" s="8"/>
    </row>
    <row r="62" spans="5:11" ht="12.75">
      <c r="E62" s="8"/>
      <c r="F62" s="32"/>
      <c r="G62" s="8"/>
      <c r="H62" s="32"/>
      <c r="I62" s="32"/>
      <c r="J62" s="32"/>
      <c r="K62" s="8"/>
    </row>
    <row r="63" spans="3:11" ht="12.75">
      <c r="C63" s="2"/>
      <c r="D63" s="2"/>
      <c r="E63" s="59"/>
      <c r="F63" s="190" t="s">
        <v>489</v>
      </c>
      <c r="G63" s="190"/>
      <c r="H63" s="190" t="s">
        <v>493</v>
      </c>
      <c r="I63" s="190" t="s">
        <v>494</v>
      </c>
      <c r="J63" s="190" t="s">
        <v>496</v>
      </c>
      <c r="K63" s="191"/>
    </row>
    <row r="64" spans="3:11" ht="12.75">
      <c r="C64" s="2"/>
      <c r="D64" s="2"/>
      <c r="E64" s="59"/>
      <c r="F64" s="190" t="s">
        <v>11</v>
      </c>
      <c r="G64" s="190" t="s">
        <v>488</v>
      </c>
      <c r="H64" s="190" t="s">
        <v>12</v>
      </c>
      <c r="I64" s="190" t="s">
        <v>495</v>
      </c>
      <c r="J64" s="190" t="s">
        <v>13</v>
      </c>
      <c r="K64" s="149" t="s">
        <v>439</v>
      </c>
    </row>
    <row r="65" spans="5:11" ht="12.75">
      <c r="E65" s="8"/>
      <c r="F65" s="32"/>
      <c r="G65" s="8"/>
      <c r="H65" s="32"/>
      <c r="I65" s="32"/>
      <c r="J65" s="32"/>
      <c r="K65" s="8"/>
    </row>
    <row r="66" spans="3:11" ht="12.75">
      <c r="C66" s="32" t="s">
        <v>14</v>
      </c>
      <c r="F66" s="199">
        <v>26</v>
      </c>
      <c r="G66" s="166" t="s">
        <v>15</v>
      </c>
      <c r="H66" s="48"/>
      <c r="I66" s="38">
        <v>0.57</v>
      </c>
      <c r="J66" s="32"/>
      <c r="K66" s="22">
        <f>F66*H66*I66</f>
        <v>0</v>
      </c>
    </row>
    <row r="67" spans="5:11" ht="12.75">
      <c r="E67" s="34"/>
      <c r="F67" s="31"/>
      <c r="G67" s="166"/>
      <c r="H67" s="8"/>
      <c r="I67" s="8"/>
      <c r="J67" s="8"/>
      <c r="K67" s="22"/>
    </row>
    <row r="68" spans="3:11" ht="12.75">
      <c r="C68" s="32" t="s">
        <v>16</v>
      </c>
      <c r="F68" s="30">
        <f>IF(F13&gt;100,F69*0.15,0)</f>
        <v>0</v>
      </c>
      <c r="G68" s="166"/>
      <c r="H68" s="8"/>
      <c r="I68" s="8"/>
      <c r="J68" s="8"/>
      <c r="K68" s="22"/>
    </row>
    <row r="69" spans="4:10" ht="12.75">
      <c r="D69" s="34" t="s">
        <v>8</v>
      </c>
      <c r="F69" s="134">
        <v>82.6</v>
      </c>
      <c r="G69" s="166" t="s">
        <v>17</v>
      </c>
      <c r="J69" s="201">
        <v>0.95165</v>
      </c>
    </row>
    <row r="70" spans="4:11" ht="12.75">
      <c r="D70" s="34" t="s">
        <v>9</v>
      </c>
      <c r="F70" s="31">
        <f>ROUND((F68+F69)*J69,2)</f>
        <v>78.61</v>
      </c>
      <c r="G70" s="166"/>
      <c r="H70" s="36"/>
      <c r="I70" s="40">
        <v>0.57</v>
      </c>
      <c r="J70" s="8"/>
      <c r="K70" s="22">
        <f>F70*H70*I70</f>
        <v>0</v>
      </c>
    </row>
    <row r="71" spans="5:11" ht="12.75">
      <c r="E71" s="8"/>
      <c r="F71" s="31"/>
      <c r="G71" s="166"/>
      <c r="H71" s="8"/>
      <c r="I71" s="8"/>
      <c r="J71" s="8"/>
      <c r="K71" s="22"/>
    </row>
    <row r="72" spans="3:11" ht="12.75">
      <c r="C72" s="32" t="s">
        <v>18</v>
      </c>
      <c r="F72" s="31"/>
      <c r="G72" s="166"/>
      <c r="H72" s="8"/>
      <c r="I72" s="8"/>
      <c r="J72" s="8"/>
      <c r="K72" s="22"/>
    </row>
    <row r="73" spans="4:11" ht="12.75">
      <c r="D73" s="8" t="s">
        <v>19</v>
      </c>
      <c r="F73" s="134">
        <v>74.66</v>
      </c>
      <c r="G73" s="166" t="s">
        <v>17</v>
      </c>
      <c r="H73" s="36"/>
      <c r="I73" s="40">
        <v>0.57</v>
      </c>
      <c r="J73" s="31"/>
      <c r="K73" s="22">
        <f>F73*H73*I73</f>
        <v>0</v>
      </c>
    </row>
    <row r="74" spans="5:11" ht="12.75">
      <c r="E74" s="8"/>
      <c r="F74" s="8"/>
      <c r="G74" s="166"/>
      <c r="H74" s="8"/>
      <c r="I74" s="8"/>
      <c r="J74" s="8"/>
      <c r="K74" s="22"/>
    </row>
    <row r="75" spans="3:11" ht="12.75">
      <c r="C75" s="32" t="s">
        <v>20</v>
      </c>
      <c r="F75" s="134">
        <v>12</v>
      </c>
      <c r="G75" s="166" t="s">
        <v>2</v>
      </c>
      <c r="H75" s="22">
        <f>$F$11</f>
        <v>30126</v>
      </c>
      <c r="I75" s="41">
        <v>0.297</v>
      </c>
      <c r="J75" s="31"/>
      <c r="K75" s="22">
        <f>F75*H75*I75</f>
        <v>107369.064</v>
      </c>
    </row>
    <row r="76" spans="3:11" ht="12.75">
      <c r="C76" s="8"/>
      <c r="F76" s="8"/>
      <c r="G76" s="166"/>
      <c r="H76" s="8"/>
      <c r="I76" s="8"/>
      <c r="J76" s="31"/>
      <c r="K76" s="22"/>
    </row>
    <row r="77" spans="3:11" ht="12.75">
      <c r="C77" s="32" t="s">
        <v>21</v>
      </c>
      <c r="F77" s="134">
        <v>15</v>
      </c>
      <c r="G77" s="166" t="s">
        <v>22</v>
      </c>
      <c r="H77" s="39">
        <f>F12</f>
        <v>0</v>
      </c>
      <c r="I77" s="41">
        <v>0.297</v>
      </c>
      <c r="J77" s="31"/>
      <c r="K77" s="22">
        <f>F77*H77*I77</f>
        <v>0</v>
      </c>
    </row>
    <row r="78" spans="3:11" ht="12.75">
      <c r="C78" s="8"/>
      <c r="F78" s="8"/>
      <c r="G78" s="166"/>
      <c r="H78" s="8"/>
      <c r="I78" s="8"/>
      <c r="J78" s="31"/>
      <c r="K78" s="22"/>
    </row>
    <row r="79" spans="3:11" ht="12.75">
      <c r="C79" s="32" t="s">
        <v>23</v>
      </c>
      <c r="F79" s="200">
        <v>69616</v>
      </c>
      <c r="G79" s="166" t="s">
        <v>24</v>
      </c>
      <c r="H79" s="36"/>
      <c r="I79" s="40">
        <v>0.37</v>
      </c>
      <c r="J79" s="31"/>
      <c r="K79" s="22">
        <f>F79*H79*I79</f>
        <v>0</v>
      </c>
    </row>
    <row r="80" spans="3:11" ht="12.75">
      <c r="C80" s="8"/>
      <c r="F80" s="8"/>
      <c r="G80" s="166"/>
      <c r="H80" s="22"/>
      <c r="I80" s="8"/>
      <c r="J80" s="31"/>
      <c r="K80" s="22"/>
    </row>
    <row r="81" spans="3:11" ht="12.75">
      <c r="C81" s="32" t="s">
        <v>25</v>
      </c>
      <c r="F81" s="200">
        <v>56182</v>
      </c>
      <c r="G81" s="166" t="s">
        <v>24</v>
      </c>
      <c r="H81" s="36"/>
      <c r="I81" s="40">
        <v>0.37</v>
      </c>
      <c r="J81" s="31"/>
      <c r="K81" s="22">
        <f>F81*H81*I81</f>
        <v>0</v>
      </c>
    </row>
    <row r="82" spans="3:11" ht="12.75">
      <c r="C82" s="8"/>
      <c r="F82" s="8"/>
      <c r="G82" s="166"/>
      <c r="H82" s="22"/>
      <c r="I82" s="8"/>
      <c r="J82" s="31"/>
      <c r="K82" s="22"/>
    </row>
    <row r="83" spans="3:11" ht="12.75">
      <c r="C83" s="32" t="s">
        <v>26</v>
      </c>
      <c r="F83" s="200">
        <v>55693</v>
      </c>
      <c r="G83" s="166" t="s">
        <v>24</v>
      </c>
      <c r="H83" s="36"/>
      <c r="I83" s="40">
        <v>0.37</v>
      </c>
      <c r="J83" s="31"/>
      <c r="K83" s="22">
        <f>F83*H83*I83</f>
        <v>0</v>
      </c>
    </row>
    <row r="84" spans="5:11" ht="12.75">
      <c r="E84" s="8"/>
      <c r="F84" s="8"/>
      <c r="G84" s="166"/>
      <c r="H84" s="8"/>
      <c r="I84" s="8"/>
      <c r="J84" s="8"/>
      <c r="K84" s="22"/>
    </row>
    <row r="85" spans="2:11" ht="12.75">
      <c r="B85" s="121" t="s">
        <v>498</v>
      </c>
      <c r="C85" s="122"/>
      <c r="D85" s="122"/>
      <c r="E85" s="157"/>
      <c r="F85" s="158"/>
      <c r="G85" s="158"/>
      <c r="H85" s="158"/>
      <c r="I85" s="158"/>
      <c r="J85" s="158"/>
      <c r="K85" s="160">
        <f>SUM(K66:K84)</f>
        <v>107369.064</v>
      </c>
    </row>
    <row r="86" spans="5:11" ht="12.75">
      <c r="E86" s="8"/>
      <c r="F86" s="8"/>
      <c r="G86" s="8"/>
      <c r="H86" s="8"/>
      <c r="I86" s="8"/>
      <c r="J86" s="8"/>
      <c r="K86" s="22"/>
    </row>
    <row r="87" spans="5:11" ht="12.75">
      <c r="E87" s="8"/>
      <c r="F87" s="8"/>
      <c r="G87" s="8"/>
      <c r="H87" s="8"/>
      <c r="I87" s="8"/>
      <c r="J87" s="8"/>
      <c r="K87" s="22"/>
    </row>
    <row r="88" spans="2:11" ht="12.75">
      <c r="B88" s="124" t="s">
        <v>497</v>
      </c>
      <c r="C88" s="111"/>
      <c r="D88" s="111"/>
      <c r="E88" s="125"/>
      <c r="F88" s="188"/>
      <c r="G88" s="188"/>
      <c r="H88" s="188"/>
      <c r="I88" s="188"/>
      <c r="J88" s="188"/>
      <c r="K88" s="135">
        <f>K85+K56+K29</f>
        <v>-10395759.576</v>
      </c>
    </row>
  </sheetData>
  <sheetProtection sheet="1"/>
  <protectedRanges>
    <protectedRange sqref="J69" name="Alue9"/>
    <protectedRange sqref="H66:H83" name="Alue8"/>
    <protectedRange sqref="F66:F83" name="Alue7"/>
    <protectedRange sqref="F54" name="Alue6"/>
    <protectedRange sqref="I37:I54" name="Alue5"/>
    <protectedRange sqref="F37:F45" name="Alue4"/>
    <protectedRange sqref="G26" name="Alue3"/>
    <protectedRange sqref="K18:K22" name="Alue2"/>
    <protectedRange sqref="F12:F13" name="Alue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5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2014</dc:title>
  <dc:subject/>
  <dc:creator>Björkwall Jan</dc:creator>
  <cp:keywords>Valtionosuudet</cp:keywords>
  <dc:description/>
  <cp:lastModifiedBy>Lehtonen Sanna</cp:lastModifiedBy>
  <cp:lastPrinted>2012-07-09T12:40:30Z</cp:lastPrinted>
  <dcterms:created xsi:type="dcterms:W3CDTF">2009-11-13T07:40:31Z</dcterms:created>
  <dcterms:modified xsi:type="dcterms:W3CDTF">2014-01-13T12:14:05Z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G94TWSLYV3F3-9547-8</vt:lpwstr>
  </property>
  <property fmtid="{D5CDD505-2E9C-101B-9397-08002B2CF9AE}" pid="3" name="_dlc_DocIdItemGuid">
    <vt:lpwstr>107edadc-c36d-480b-8f49-172a45295d9a</vt:lpwstr>
  </property>
  <property fmtid="{D5CDD505-2E9C-101B-9397-08002B2CF9AE}" pid="4" name="_dlc_DocIdUrl">
    <vt:lpwstr>http://www.kunnat.net/fi/asiantuntijapalvelut/kuntatalous/valtionosuudet/valtionosuuslaskelmat/valtionosuudet-2014/valtionosuuslaskuri_2014/_layouts/DocIdRedir.aspx?ID=G94TWSLYV3F3-9547-8, G94TWSLYV3F3-9547-8</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Lähde: VM 30.12.2013 ja OKM 31.12.2013</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2014-01-12T18:00:00Z</vt:lpwstr>
  </property>
</Properties>
</file>