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75" windowWidth="15360" windowHeight="8310" tabRatio="851" firstSheet="1" activeTab="2"/>
  </bookViews>
  <sheets>
    <sheet name="tiedot" sheetId="1" state="hidden" r:id="rId1"/>
    <sheet name="1.Täyttöohjeet" sheetId="2" r:id="rId2"/>
    <sheet name="2.Yhteenveto" sheetId="3" r:id="rId3"/>
    <sheet name="3.Ikärakenne" sheetId="4" r:id="rId4"/>
    <sheet name="4.Muut lask. kustannukset" sheetId="5" r:id="rId5"/>
    <sheet name="5.Lisäosat" sheetId="6" r:id="rId6"/>
    <sheet name="6.Vähennykset ja lisäykset" sheetId="7" r:id="rId7"/>
    <sheet name="7.Järjestelmämuutos 2015" sheetId="8" r:id="rId8"/>
    <sheet name="8.Kotikuntakorvaukset" sheetId="9" r:id="rId9"/>
    <sheet name="9.Opetus ja kulttuuri, muu vos" sheetId="10" r:id="rId10"/>
    <sheet name="10.Lukio" sheetId="11" r:id="rId11"/>
  </sheets>
  <definedNames>
    <definedName name="ikar_1">'tiedot'!$Q$2:$Q$302</definedName>
    <definedName name="ikar_10">'tiedot'!$Z$2:$Z$302</definedName>
    <definedName name="ikar_11">'tiedot'!$AA$2:$AA$302</definedName>
    <definedName name="ikar_12">'tiedot'!$AB$2:$AB$302</definedName>
    <definedName name="ikar_13">'tiedot'!$AC$2:$AC$302</definedName>
    <definedName name="ikar_14">'tiedot'!$AD$2:$AD$302</definedName>
    <definedName name="ikar_15">'tiedot'!$AE$2:$AE$302</definedName>
    <definedName name="ikar_16">'tiedot'!$AF$2:$AF$302</definedName>
    <definedName name="ikar_2">'tiedot'!$R$2:$R$302</definedName>
    <definedName name="ikar_3">'tiedot'!$S$2:$S$302</definedName>
    <definedName name="ikar_4">'tiedot'!$T$2:$T$302</definedName>
    <definedName name="ikar_5">'tiedot'!$U$2:$U$302</definedName>
    <definedName name="ikar_6">'tiedot'!$V$2:$V$302</definedName>
    <definedName name="ikar_7">'tiedot'!$W$2:$W$302</definedName>
    <definedName name="ikar_8">'tiedot'!$X$2:$X$302</definedName>
    <definedName name="ikar_9">'tiedot'!$Y$2:$Y$302</definedName>
    <definedName name="jm_1">'tiedot'!$CB$2:$CB$302</definedName>
    <definedName name="kkk_1">'tiedot'!$CE$2:$CE$302</definedName>
    <definedName name="kunta">'tiedot'!$B$2:$B$302</definedName>
    <definedName name="lo_1">'tiedot'!$BB$2:$BB$302</definedName>
    <definedName name="lo_2">'tiedot'!$BC$2:$BC$302</definedName>
    <definedName name="lo_3">'tiedot'!$BD$2:$BD$302</definedName>
    <definedName name="lo_4">'tiedot'!$BE$2:$BE$302</definedName>
    <definedName name="lo_5">'tiedot'!$BF$2:$BF$302</definedName>
    <definedName name="lo_6">'tiedot'!$BG$2:$BG$302</definedName>
    <definedName name="lo_7">'tiedot'!$BH$2:$BH$302</definedName>
    <definedName name="muutla_1">'tiedot'!$AK$2:$AK$302</definedName>
    <definedName name="muutla_10">'tiedot'!$AT$2:$AT$302</definedName>
    <definedName name="muutla_11">'tiedot'!$AU$2:$AU$302</definedName>
    <definedName name="muutla_12">'tiedot'!$AV$2:$AV$302</definedName>
    <definedName name="muutla_13">'tiedot'!$AW$2:$AW$302</definedName>
    <definedName name="muutla_14">'tiedot'!$AX$2:$AX$302</definedName>
    <definedName name="muutla_15">'tiedot'!$AY$2:$AY$302</definedName>
    <definedName name="muutla_16">'tiedot'!$AZ$2:$AZ$302</definedName>
    <definedName name="muutla_17">'tiedot'!$BA$2:$BA$302</definedName>
    <definedName name="muutla_2">'tiedot'!$AL$2:$AL$302</definedName>
    <definedName name="muutla_3">'tiedot'!$AM$2:$AM$302</definedName>
    <definedName name="muutla_4">'tiedot'!$AN$2:$AN$302</definedName>
    <definedName name="muutla_5">'tiedot'!$AO$2:$AO$302</definedName>
    <definedName name="muutla_6">'tiedot'!$AP$2:$AP$302</definedName>
    <definedName name="muutla_7">'tiedot'!$AQ$2:$AQ$302</definedName>
    <definedName name="muutla_8">'tiedot'!$AR$2:$AR$302</definedName>
    <definedName name="muutla_9">'tiedot'!$AS$2:$AS$302</definedName>
    <definedName name="numero">'tiedot'!$A$2:$A$302</definedName>
    <definedName name="okm">'tiedot'!$CD$2:$CD$302</definedName>
    <definedName name="sair_1">'tiedot'!$AG$2:$AG$302</definedName>
    <definedName name="sair_2">'tiedot'!$AH$2:$AH$302</definedName>
    <definedName name="sair_3">'tiedot'!$AI$2:$AI$302</definedName>
    <definedName name="sair_4">'tiedot'!$AJ$2:$AJ$302</definedName>
    <definedName name="tasa_1">'tiedot'!$CC$2:$CC$302</definedName>
    <definedName name="_xlnm.Print_Area" localSheetId="1">'1.Täyttöohjeet'!$A$1:$M$105</definedName>
    <definedName name="_xlnm.Print_Area" localSheetId="8">'8.Kotikuntakorvaukset'!$E$10:$K$51</definedName>
    <definedName name="_xlnm.Print_Area" localSheetId="9">'9.Opetus ja kulttuuri, muu vos'!$A$1:$K$93</definedName>
    <definedName name="vl_1">'tiedot'!$BI$2:$BI$302</definedName>
    <definedName name="vl_10">'tiedot'!$BR$2:$BR$302</definedName>
    <definedName name="vl_11">'tiedot'!$BS$2:$BS$302</definedName>
    <definedName name="vl_12">'tiedot'!$BT$2:$BT$302</definedName>
    <definedName name="vl_13">'tiedot'!$BU$2:$BU$302</definedName>
    <definedName name="vl_14">'tiedot'!$BV$2:$BV$302</definedName>
    <definedName name="vl_15">'tiedot'!$BX$2:$BX$302</definedName>
    <definedName name="vl_16">'tiedot'!$BY$2:$BY$302</definedName>
    <definedName name="vl_17">'tiedot'!$BZ$2:$BZ$302</definedName>
    <definedName name="vl_18">'tiedot'!$CA$2:$CA$302</definedName>
    <definedName name="vl_19">'tiedot'!$BW$2:$BW$302</definedName>
    <definedName name="vl_2">'tiedot'!$BJ$2:$BJ$302</definedName>
    <definedName name="vl_3">'tiedot'!$BK$2:$BK$302</definedName>
    <definedName name="vl_4">'tiedot'!$BL$2:$BL$302</definedName>
    <definedName name="vl_5">'tiedot'!$BM$2:$BM$302</definedName>
    <definedName name="vl_6">'tiedot'!$BN$2:$BN$302</definedName>
    <definedName name="vl_7">'tiedot'!$BO$2:$BO$302</definedName>
    <definedName name="vl_8">'tiedot'!$BP$2:$BP$302</definedName>
    <definedName name="vl_9">'tiedot'!$BQ$2:$BQ$302</definedName>
    <definedName name="vos_maks">'tiedot'!$CF$2:$CF$302</definedName>
    <definedName name="vosC">'tiedot'!$C$2:$C$302</definedName>
    <definedName name="vosD">'tiedot'!$D$2:$D$302</definedName>
    <definedName name="vosE">'tiedot'!$E$2:$E$302</definedName>
    <definedName name="vosF">'tiedot'!$F$2:$F$302</definedName>
    <definedName name="vosG">'tiedot'!$G$2:$G$302</definedName>
    <definedName name="vosH">'tiedot'!$H$2:$H$302</definedName>
    <definedName name="vosI">'tiedot'!$I$2:$I$302</definedName>
    <definedName name="vosJ">'tiedot'!$J$2:$J$302</definedName>
    <definedName name="vosK">'tiedot'!$K$2:$K$302</definedName>
    <definedName name="vosL">'tiedot'!$L$2:$L$302</definedName>
    <definedName name="vosM">'tiedot'!$M$2:$M$302</definedName>
    <definedName name="vosN">'tiedot'!$N$2:$N$302</definedName>
    <definedName name="vosO">'tiedot'!$O$2:$O$302</definedName>
    <definedName name="vosP">'tiedot'!$P$2:$P$302</definedName>
  </definedNames>
  <calcPr fullCalcOnLoad="1"/>
</workbook>
</file>

<file path=xl/comments10.xml><?xml version="1.0" encoding="utf-8"?>
<comments xmlns="http://schemas.openxmlformats.org/spreadsheetml/2006/main">
  <authors>
    <author>Lehtonen Sanna</author>
  </authors>
  <commentList>
    <comment ref="B26" authorId="0">
      <text>
        <r>
          <rPr>
            <b/>
            <sz val="9"/>
            <rFont val="Tahoma"/>
            <family val="2"/>
          </rPr>
          <t>Lehtonen Sanna:</t>
        </r>
        <r>
          <rPr>
            <sz val="9"/>
            <rFont val="Tahoma"/>
            <family val="2"/>
          </rPr>
          <t xml:space="preserve">
Kunnan omarahoitusosuus lukiokoulutuksen, ammatillisen peruskoulutuksen ja ammattikorkeakoulujen käyttökustannuksiin määräytyy valtionosuusprosentin perusteella. Valtionosuusprosentin ollessa 41,89 prosenttia on kuntien rahoitusosuus 58,11 prosenttia.
</t>
        </r>
      </text>
    </comment>
    <comment ref="C70"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6"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79"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81"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83"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List>
</comments>
</file>

<file path=xl/comments11.xml><?xml version="1.0" encoding="utf-8"?>
<comments xmlns="http://schemas.openxmlformats.org/spreadsheetml/2006/main">
  <authors>
    <author>Lehtonen Sanna</author>
  </authors>
  <commentList>
    <comment ref="H37" authorId="0">
      <text>
        <r>
          <rPr>
            <b/>
            <sz val="9"/>
            <rFont val="Tahoma"/>
            <family val="2"/>
          </rPr>
          <t>Lehtonen Sanna:</t>
        </r>
        <r>
          <rPr>
            <sz val="9"/>
            <rFont val="Tahoma"/>
            <family val="2"/>
          </rPr>
          <t xml:space="preserve">
Lukiokoulutuksen rahoituksen määrää laskettaessa käytetään kahden laskentapäivän oppilasmäärien kuukausilla painotettua keskiarvioa (kevät 7/12 ja syksy 5/12). Aineopiskelijoiden lukumäärä otetaan huomioon painottamattomana. Laskettaessa vuoden 2014 rahoitusta laskentapäivät lukiokoulutuksessa ovat 20.1.2014 ja 20.9.2014.</t>
        </r>
      </text>
    </comment>
  </commentList>
</comments>
</file>

<file path=xl/sharedStrings.xml><?xml version="1.0" encoding="utf-8"?>
<sst xmlns="http://schemas.openxmlformats.org/spreadsheetml/2006/main" count="779" uniqueCount="660">
  <si>
    <t>Kunta:</t>
  </si>
  <si>
    <t>€/asukas</t>
  </si>
  <si>
    <t>Laskennalliset</t>
  </si>
  <si>
    <t>Yhteensä</t>
  </si>
  <si>
    <t>hinta</t>
  </si>
  <si>
    <t>määrä</t>
  </si>
  <si>
    <t>kerroin</t>
  </si>
  <si>
    <t>Aamu- ja iltapäivätoiminta</t>
  </si>
  <si>
    <t>€/tunti</t>
  </si>
  <si>
    <t>Kansalaisopisto</t>
  </si>
  <si>
    <t>€/tuntimäärä</t>
  </si>
  <si>
    <t>Musiikkioppilaitos</t>
  </si>
  <si>
    <t>(Taiteen perusopetus)</t>
  </si>
  <si>
    <t>Liikunta</t>
  </si>
  <si>
    <t>Nuorisotyö</t>
  </si>
  <si>
    <t>€/alle 29-v.</t>
  </si>
  <si>
    <t>Museo</t>
  </si>
  <si>
    <t>€/henkilötyöv.</t>
  </si>
  <si>
    <t>Teatteri</t>
  </si>
  <si>
    <t>Orkesteri</t>
  </si>
  <si>
    <t>€/oppilas</t>
  </si>
  <si>
    <t>Ammatillinen koulutus</t>
  </si>
  <si>
    <t>Erillisen laskelman mukaan</t>
  </si>
  <si>
    <t>Muut mahdolliset lisät</t>
  </si>
  <si>
    <t>Keskimääräinen yksikköhinta</t>
  </si>
  <si>
    <t>Tasauskerroin</t>
  </si>
  <si>
    <t>Oppilas-</t>
  </si>
  <si>
    <t>Pisteitä</t>
  </si>
  <si>
    <t>määrä 1)</t>
  </si>
  <si>
    <t>Painotettu pistearvo</t>
  </si>
  <si>
    <t>Aikuis-</t>
  </si>
  <si>
    <t>oppilaita 2)</t>
  </si>
  <si>
    <t>Painotettu oppilasmäärä</t>
  </si>
  <si>
    <t>Aineopiskelun laskennalliset opiskelijat yhteensä 3)</t>
  </si>
  <si>
    <t>Lukion valtionosuuden laskennallinen peruste:</t>
  </si>
  <si>
    <t>Aikuisoppilaiden valtionosuuden laskennallinen peruste:</t>
  </si>
  <si>
    <t>Aineopiskelun laskennallinen peruste:</t>
  </si>
  <si>
    <t>2) Pois lukien aineopiskelun laskennalliset opiskelijat</t>
  </si>
  <si>
    <t xml:space="preserve">   ei oteta huomioon.</t>
  </si>
  <si>
    <t>Pidennetty oppivelvollisuus</t>
  </si>
  <si>
    <t>Lisäopetus</t>
  </si>
  <si>
    <t>Muut kuin oppivelvolliset</t>
  </si>
  <si>
    <t>Määrä</t>
  </si>
  <si>
    <t>13-15-vuotiaat</t>
  </si>
  <si>
    <t>7-12-vuotiaat</t>
  </si>
  <si>
    <t>6-vuotiaat</t>
  </si>
  <si>
    <t>Peruste</t>
  </si>
  <si>
    <t>Summa</t>
  </si>
  <si>
    <t>Maahanmuuttajien</t>
  </si>
  <si>
    <t>valmistava opetus</t>
  </si>
  <si>
    <t xml:space="preserve">  Vammaiset</t>
  </si>
  <si>
    <t>Kotikuntakorv. perusosa</t>
  </si>
  <si>
    <t>YHTEENVETO</t>
  </si>
  <si>
    <t>Ohjeet:</t>
  </si>
  <si>
    <t xml:space="preserve">  Aikuisoppilaat (-49 %)</t>
  </si>
  <si>
    <t xml:space="preserve">  5-vuotiaiden perusopetus</t>
  </si>
  <si>
    <t>Aineopetus</t>
  </si>
  <si>
    <t>1)</t>
  </si>
  <si>
    <t>opetuksen lisä</t>
  </si>
  <si>
    <t>Joustavan perus-</t>
  </si>
  <si>
    <t>Yksikköhinta</t>
  </si>
  <si>
    <t>Sisäoppilaitoslisä</t>
  </si>
  <si>
    <t>Valtionosuuteen tehtävät vähennykset ja lisäykset yhteensä</t>
  </si>
  <si>
    <t>VÄHENNYKSET</t>
  </si>
  <si>
    <t>LISÄYKSET</t>
  </si>
  <si>
    <t>Lisäykset yhteensä</t>
  </si>
  <si>
    <t>VÄHENNYKSET JA LISÄYKSET YHTEENSÄ</t>
  </si>
  <si>
    <t>Vähennykset yhteensä</t>
  </si>
  <si>
    <t>Kotikuntakorvaukset esi- ja perusopetuksessa</t>
  </si>
  <si>
    <t>3) Lukuvuoden kurssit jaettuna 15:llä. Muussa oppilaitoksessa suoritettavia aineopiskelun kursseja</t>
  </si>
  <si>
    <t>Lukio</t>
  </si>
  <si>
    <t>Oppilaitosmuotoinen ammatillinen lisäkoulutus</t>
  </si>
  <si>
    <t>(Siirtyy välilehdestä "Lukio")</t>
  </si>
  <si>
    <t>Oppisopimuskoulutus (perus- ja lisäkoulutus)</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</si>
  <si>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</si>
  <si>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</si>
  <si>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</si>
  <si>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</si>
  <si>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</si>
  <si>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</si>
  <si>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</si>
  <si>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</si>
  <si>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</si>
  <si>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</si>
  <si>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</si>
  <si>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</si>
  <si>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</si>
  <si>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</si>
  <si>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</si>
  <si>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</si>
  <si>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</si>
  <si>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</si>
  <si>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</si>
  <si>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</si>
  <si>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</si>
  <si>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</si>
  <si>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</si>
  <si>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</si>
  <si>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</si>
  <si>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</si>
  <si>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</si>
  <si>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</si>
  <si>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</si>
  <si>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</si>
  <si>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</si>
  <si>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</si>
  <si>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</si>
  <si>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</si>
  <si>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Honkajoki</t>
  </si>
  <si>
    <t>Huittinen</t>
  </si>
  <si>
    <t>Humppila</t>
  </si>
  <si>
    <t>Hyrynsalmi</t>
  </si>
  <si>
    <t>Hyvinkää</t>
  </si>
  <si>
    <t>Hämeenkoski</t>
  </si>
  <si>
    <t>Hämeenkyrö</t>
  </si>
  <si>
    <t>Hämeenlinna</t>
  </si>
  <si>
    <t>Ii</t>
  </si>
  <si>
    <t>Iisalmi</t>
  </si>
  <si>
    <t>Iitti</t>
  </si>
  <si>
    <t>Ikaalinen</t>
  </si>
  <si>
    <t>Ilmajoki</t>
  </si>
  <si>
    <t>Ilomantsi</t>
  </si>
  <si>
    <t>Imatra</t>
  </si>
  <si>
    <t>Inari</t>
  </si>
  <si>
    <t>Inkoo</t>
  </si>
  <si>
    <t>Isojoki</t>
  </si>
  <si>
    <t>Isokyrö</t>
  </si>
  <si>
    <t>Jalasjärvi</t>
  </si>
  <si>
    <t>Janakkala</t>
  </si>
  <si>
    <t>Joensuu</t>
  </si>
  <si>
    <t>Jokioinen</t>
  </si>
  <si>
    <t>Joroinen</t>
  </si>
  <si>
    <t>Joutsa</t>
  </si>
  <si>
    <t>Juankoski</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</si>
  <si>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</si>
  <si>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</si>
  <si>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</si>
  <si>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</si>
  <si>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</si>
  <si>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</si>
  <si>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</si>
  <si>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</si>
  <si>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</si>
  <si>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</si>
  <si>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</si>
  <si>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</si>
  <si>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</si>
  <si>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</si>
  <si>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</si>
  <si>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</si>
  <si>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</si>
  <si>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</si>
  <si>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</si>
  <si>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</si>
  <si>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</si>
  <si>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</si>
  <si>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</si>
  <si>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</si>
  <si>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</si>
  <si>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</si>
  <si>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</si>
  <si>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</si>
  <si>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</si>
  <si>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</si>
  <si>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</si>
  <si>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</si>
  <si>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</si>
  <si>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</si>
  <si>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</si>
  <si>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</si>
  <si>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</si>
  <si>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</si>
  <si>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</si>
  <si>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</si>
  <si>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</si>
  <si>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</si>
  <si>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</si>
  <si>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</si>
  <si>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</si>
  <si>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</si>
  <si>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</si>
  <si>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</si>
  <si>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</si>
  <si>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</si>
  <si>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</si>
  <si>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</si>
  <si>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</si>
  <si>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</si>
  <si>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</si>
  <si>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</si>
  <si>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</si>
  <si>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</si>
  <si>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</si>
  <si>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</si>
  <si>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</si>
  <si>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Köyliö</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</si>
  <si>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</si>
  <si>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</si>
  <si>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</si>
  <si>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</si>
  <si>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</si>
  <si>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</si>
  <si>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</si>
  <si>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</si>
  <si>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</si>
  <si>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</si>
  <si>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</si>
  <si>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</si>
  <si>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</si>
  <si>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</si>
  <si>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</si>
  <si>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</si>
  <si>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</si>
  <si>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</si>
  <si>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</si>
  <si>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</si>
  <si>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</si>
  <si>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</si>
  <si>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</si>
  <si>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</si>
  <si>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</si>
  <si>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Luvia</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</si>
  <si>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</si>
  <si>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</si>
  <si>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</si>
  <si>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</si>
  <si>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</si>
  <si>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</si>
  <si>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</si>
  <si>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</si>
  <si>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</si>
  <si>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</si>
  <si>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</si>
  <si>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</si>
  <si>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</si>
  <si>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</si>
  <si>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</si>
  <si>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</si>
  <si>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</si>
  <si>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</si>
  <si>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</si>
  <si>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Nastola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</si>
  <si>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</si>
  <si>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</si>
  <si>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</si>
  <si>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</si>
  <si>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</si>
  <si>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</si>
  <si>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</si>
  <si>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</si>
  <si>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</si>
  <si>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</si>
  <si>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</si>
  <si>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</si>
  <si>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</si>
  <si>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</si>
  <si>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</si>
  <si>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</si>
  <si>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</si>
  <si>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</si>
  <si>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</si>
  <si>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</si>
  <si>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</si>
  <si>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</si>
  <si>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</si>
  <si>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</si>
  <si>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</si>
  <si>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</si>
  <si>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</si>
  <si>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</si>
  <si>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</si>
  <si>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</si>
  <si>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</si>
  <si>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</si>
  <si>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</si>
  <si>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</si>
  <si>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</si>
  <si>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</si>
  <si>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</si>
  <si>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</si>
  <si>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</si>
  <si>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</si>
  <si>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</si>
  <si>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</si>
  <si>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</si>
  <si>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</si>
  <si>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</si>
  <si>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</si>
  <si>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</si>
  <si>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</si>
  <si>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</si>
  <si>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</si>
  <si>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</si>
  <si>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</si>
  <si>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</si>
  <si>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</si>
  <si>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</si>
  <si>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</si>
  <si>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</si>
  <si>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</si>
  <si>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</si>
  <si>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</si>
  <si>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</si>
  <si>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</si>
  <si>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</si>
  <si>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</si>
  <si>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</si>
  <si>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</si>
  <si>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</si>
  <si>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</si>
  <si>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</si>
  <si>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</si>
  <si>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</si>
  <si>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</si>
  <si>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</si>
  <si>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</si>
  <si>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</si>
  <si>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</si>
  <si>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</si>
  <si>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</si>
  <si>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</si>
  <si>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</si>
  <si>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</si>
  <si>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</si>
  <si>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</si>
  <si>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</si>
  <si>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</si>
  <si>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</si>
  <si>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</si>
  <si>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</si>
  <si>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</si>
  <si>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</si>
  <si>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</si>
  <si>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</si>
  <si>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</si>
  <si>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</si>
  <si>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</si>
  <si>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</si>
  <si>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</si>
  <si>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</si>
  <si>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</si>
  <si>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</si>
  <si>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</si>
  <si>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</si>
  <si>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</si>
  <si>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</si>
  <si>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</si>
  <si>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</si>
  <si>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</si>
  <si>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</si>
  <si>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</si>
  <si>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</si>
  <si>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</si>
  <si>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</si>
  <si>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</si>
  <si>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</si>
  <si>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</si>
  <si>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</si>
  <si>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Valtimo</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</si>
  <si>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</si>
  <si>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</si>
  <si>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</si>
  <si>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</si>
  <si>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</si>
  <si>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</si>
  <si>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</si>
  <si>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</si>
  <si>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</si>
  <si>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</si>
  <si>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</si>
  <si>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</si>
  <si>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</si>
  <si>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</si>
  <si>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</si>
  <si>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</si>
  <si>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</si>
  <si>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</si>
  <si>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</si>
  <si>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</si>
  <si>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</si>
  <si>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</si>
  <si>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</si>
  <si>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</si>
  <si>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</si>
  <si>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</si>
  <si>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Ikärakenne yhteensä:</t>
  </si>
  <si>
    <t>euroa</t>
  </si>
  <si>
    <t>kustannukset, euroa</t>
  </si>
  <si>
    <t>= tarkista vihreiden solujen valtakunnalliset tiedot</t>
  </si>
  <si>
    <t>= syötä kuntakohtaiset tiedot keltaisiin soluihin</t>
  </si>
  <si>
    <t>Ikärakenne</t>
  </si>
  <si>
    <t>SOSIAALIHUOLTO</t>
  </si>
  <si>
    <t>65-74-vuotiaat</t>
  </si>
  <si>
    <t>75-84-vuotiaat</t>
  </si>
  <si>
    <t>yli 84-vuotiaat</t>
  </si>
  <si>
    <t>perushinta</t>
  </si>
  <si>
    <t>KOTIKUNTAKORVAUSTULOT</t>
  </si>
  <si>
    <t>Kotikuntakorvausmenot yhteensä</t>
  </si>
  <si>
    <t>KOTIKUNTAKORVAUSMENOT</t>
  </si>
  <si>
    <t>Ylläpitäjäjärjestelmän laskennallinen peruste yhteensä</t>
  </si>
  <si>
    <t>Opetus- ja kulttuuritoimen rahoitusosuus</t>
  </si>
  <si>
    <t>Ylläpitäjien yksikköhintarahoitus</t>
  </si>
  <si>
    <t>ESI- JA PERUSOPETUKSEN OPPILASKOHTAISET LISÄT</t>
  </si>
  <si>
    <t>MUU OPETUS- JA KULTTUURITOIMEN VALTIONOSUUSRAHOITUS</t>
  </si>
  <si>
    <t>yksikkö</t>
  </si>
  <si>
    <t>yksikkö-</t>
  </si>
  <si>
    <t>oppilas-</t>
  </si>
  <si>
    <t>Esi- ja perusopetuksen oppilaskohtaiset lisät yhteensä</t>
  </si>
  <si>
    <r>
      <t>1)</t>
    </r>
    <r>
      <rPr>
        <i/>
        <sz val="10"/>
        <rFont val="Arial"/>
        <family val="2"/>
      </rPr>
      <t xml:space="preserve"> Laskennallisten opiskelijoiden määrä = oppiaineiden lukumäärä jaettuna 15:llä.</t>
    </r>
  </si>
  <si>
    <t>suorite-</t>
  </si>
  <si>
    <t>vos-</t>
  </si>
  <si>
    <t>prosentti</t>
  </si>
  <si>
    <t>tasaus-</t>
  </si>
  <si>
    <t>Opetus- ja kulttuuritoimen valtionosuus yhteensä:</t>
  </si>
  <si>
    <t>Muu opetus- ja kulttuuritoimen valtionosuusrahoitus yhteensä</t>
  </si>
  <si>
    <t>Sivu 1</t>
  </si>
  <si>
    <t>Sivu 2</t>
  </si>
  <si>
    <t>LUKION YKSIKKÖHINTA</t>
  </si>
  <si>
    <t>1) Mikäli toisessa tai molemmissa kieliryhmissä on alle 200 oppilasta</t>
  </si>
  <si>
    <t>LUKION YKSIKKÖHINTARAHOITUKSEN LASKENNALLINEN PERUSTE</t>
  </si>
  <si>
    <t>Lukion yksikköhintarahoituksen laskennallinen peruste yhteensä</t>
  </si>
  <si>
    <t>Erityisen tehtävän lisäys (%)</t>
  </si>
  <si>
    <t>Tunnusluvun mukainen yksikköhinta</t>
  </si>
  <si>
    <t>Kaksikielisyys</t>
  </si>
  <si>
    <t>Klikkaa solu aktiiviseksi ja valitse kunta alasvetovalikosta</t>
  </si>
  <si>
    <t>Syrjäisyys</t>
  </si>
  <si>
    <t>Tarkista asukasluku</t>
  </si>
  <si>
    <t>Parainen</t>
  </si>
  <si>
    <t>Taulukon täyttöohje:</t>
  </si>
  <si>
    <t>euroa/asukas</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</si>
  <si>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</si>
  <si>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</si>
  <si>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</si>
  <si>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</si>
  <si>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</si>
  <si>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</si>
  <si>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r>
      <t xml:space="preserve">Valtionosuusmaksatus </t>
    </r>
    <r>
      <rPr>
        <sz val="10"/>
        <rFont val="Arial"/>
        <family val="0"/>
      </rPr>
      <t>(kunnan peruspalvelujen valtionosuus +/- OKM:n valtionosuus</t>
    </r>
  </si>
  <si>
    <t>Perushinta</t>
  </si>
  <si>
    <t>Tarkista vihreiden solujen tiedot.</t>
  </si>
  <si>
    <t>(0 tai 1)</t>
  </si>
  <si>
    <t>Valtion ja kuntien yhteiset tietojärjestelmähankkeet</t>
  </si>
  <si>
    <t>Veromenetyksen kompensaatio vuodelta 2010</t>
  </si>
  <si>
    <t>Veromenetyksen kompensaatio vuodelta 2011</t>
  </si>
  <si>
    <t>Veromenetyksen kompensaatio vuodelta 2012</t>
  </si>
  <si>
    <t>Veromenetyksen kompensaatio vuodelta 2013</t>
  </si>
  <si>
    <t>Työmarkkinatukikompensaatio (+/-)</t>
  </si>
  <si>
    <t>- mistä alle 29-vuotiaita</t>
  </si>
  <si>
    <t>YLLÄPITÄJÄN YKSIKKÖHINTARAHOITUS</t>
  </si>
  <si>
    <t>Maakuntien kehittämisraha</t>
  </si>
  <si>
    <t>Vakiomuotoisten tietoluovutusten hinnoittelumuutos</t>
  </si>
  <si>
    <t>Opiskelijavalintajärjestelmän uudistuksen rahoitus (OPH)</t>
  </si>
  <si>
    <t>Lääkäri- ja lääkintähelikopteritoiminnan rahoitus</t>
  </si>
  <si>
    <t>Ylläpitäjän lukion yksikköhinta</t>
  </si>
  <si>
    <t>Ylläpitäjän aikuisoppilaan yksikköhinta</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</si>
  <si>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</si>
  <si>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</si>
  <si>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</si>
  <si>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</si>
  <si>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</si>
  <si>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</si>
  <si>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</si>
  <si>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</si>
  <si>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</si>
  <si>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</si>
  <si>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</si>
  <si>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</si>
  <si>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</si>
  <si>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</si>
  <si>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</si>
  <si>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</si>
  <si>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</si>
  <si>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</si>
  <si>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</si>
  <si>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</si>
  <si>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</si>
  <si>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</si>
  <si>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</si>
  <si>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ikar_10</t>
  </si>
  <si>
    <t>ikar_11</t>
  </si>
  <si>
    <t>ikar_12</t>
  </si>
  <si>
    <t>ikar_13</t>
  </si>
  <si>
    <t>ikar_14</t>
  </si>
  <si>
    <t>ikar_15</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</si>
  <si>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</si>
  <si>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</si>
  <si>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</si>
  <si>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</si>
  <si>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</si>
  <si>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</si>
  <si>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</si>
  <si>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</si>
  <si>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</si>
  <si>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</si>
  <si>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</si>
  <si>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</si>
  <si>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</si>
  <si>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</si>
  <si>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</si>
  <si>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</si>
  <si>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</si>
  <si>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</si>
  <si>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</si>
  <si>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</si>
  <si>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</si>
  <si>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</si>
  <si>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</si>
  <si>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</si>
  <si>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</si>
  <si>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</si>
  <si>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</si>
  <si>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</si>
  <si>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</si>
  <si>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</si>
  <si>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</si>
  <si>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</si>
  <si>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</si>
  <si>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</si>
  <si>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</si>
  <si>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</si>
  <si>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</si>
  <si>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</si>
  <si>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</si>
  <si>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</si>
  <si>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</si>
  <si>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</si>
  <si>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</si>
  <si>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numero</t>
  </si>
  <si>
    <t>kunta</t>
  </si>
  <si>
    <t>Sairastavuus</t>
  </si>
  <si>
    <t>Muut laskennalliset kustannukset</t>
  </si>
  <si>
    <t>Lisäosat</t>
  </si>
  <si>
    <t xml:space="preserve">  +/- kotikuntakorvaukset; pl. harkinnanvarainen valtionosuuden korotus)</t>
  </si>
  <si>
    <t>sair_1</t>
  </si>
  <si>
    <t>vl_17</t>
  </si>
  <si>
    <t>vl_18</t>
  </si>
  <si>
    <t>Asukastiheys</t>
  </si>
  <si>
    <t>0-5-vuotiaat</t>
  </si>
  <si>
    <t>16-18-vuotiaat</t>
  </si>
  <si>
    <t>19-64-vuotiaat</t>
  </si>
  <si>
    <t>Ikärakenteen perusteella määräytyvät laskennalliset kustannukset yhteensä</t>
  </si>
  <si>
    <t>Sairastavuuden laskennalliset kustannukset sekä</t>
  </si>
  <si>
    <t>Sairastavuuden laskennallinen kustannus</t>
  </si>
  <si>
    <t>MUUT LASKENNALLISET KUSTANNUKSET</t>
  </si>
  <si>
    <t>Työttömyys</t>
  </si>
  <si>
    <t>Työttömien määrä</t>
  </si>
  <si>
    <t>Työttömyyskerroin</t>
  </si>
  <si>
    <t>Työvoima</t>
  </si>
  <si>
    <t>Koko maa</t>
  </si>
  <si>
    <t>Vieraskielisyys</t>
  </si>
  <si>
    <t>Vieraskielisten määrä</t>
  </si>
  <si>
    <t>Vieraskielisten osuus</t>
  </si>
  <si>
    <t>Koko maan minimi</t>
  </si>
  <si>
    <t>Vieraskielisyyskerroin</t>
  </si>
  <si>
    <t>Onko kunta kaksikielinen? (0, 1, 2, 3)</t>
  </si>
  <si>
    <t>0 = yksikielinen suomenkielinen</t>
  </si>
  <si>
    <t>1 = kaksikielinen, suomi pääkieli</t>
  </si>
  <si>
    <t>2 = yksikielinen ruotsinkielinen</t>
  </si>
  <si>
    <t>3 = kaksikielinen, ruotsi pääkieli</t>
  </si>
  <si>
    <t>A) 7 % kokonaisuudesta asukasmäärään perustuen</t>
  </si>
  <si>
    <t>B) 93 % kokonaisuudesta ruotsinkielisten määrään perustuen</t>
  </si>
  <si>
    <t>Ruotsinkielisten määrä</t>
  </si>
  <si>
    <t>Saaristoisuus</t>
  </si>
  <si>
    <t>Onko kunta saaristokunta? (0, 1, 2, 3)</t>
  </si>
  <si>
    <t>0 = ei saaristo- eikä saaristo-osakunta</t>
  </si>
  <si>
    <t>1 = saaristo-osakunta</t>
  </si>
  <si>
    <t>2 = saaristokunta</t>
  </si>
  <si>
    <t>3 = saaristokunta ilman kiinteää tieyhteyttä mantereeseen (Hailuoto)</t>
  </si>
  <si>
    <t>Työttömyyden perusteella yhteensä</t>
  </si>
  <si>
    <t>Vieraskielisyyden perusteella yhteensä</t>
  </si>
  <si>
    <t>Kaksikielisyyden perusteella yhteensä</t>
  </si>
  <si>
    <t>Saaristoisuuden perusteella yhteensä</t>
  </si>
  <si>
    <t>Maapinta-ala</t>
  </si>
  <si>
    <t>Asukastiheyden perusteella yhteensä</t>
  </si>
  <si>
    <t>Asukastiheyskerroin</t>
  </si>
  <si>
    <t>Koulutustausta</t>
  </si>
  <si>
    <t>Ilman perusasteen jälkeistä tutkintoa olevat 30–54-vuotiaat</t>
  </si>
  <si>
    <t>30-54-vuotiaat</t>
  </si>
  <si>
    <t>osuus</t>
  </si>
  <si>
    <t>Koulutustaustakerroin</t>
  </si>
  <si>
    <t>Muut laskennalliset kustannukset yhteensä</t>
  </si>
  <si>
    <t>Sairastavuus ja muut laskennalliset kustannukset yhteensä</t>
  </si>
  <si>
    <t>Syrjäisyysluku (jos kunnalle on määrätty)</t>
  </si>
  <si>
    <t>- syrjäisyysluku 1,5 as/km2 tai enemmän</t>
  </si>
  <si>
    <t xml:space="preserve"> - syrjäisyysluku 1 - 1,5 as/km2 </t>
  </si>
  <si>
    <t xml:space="preserve"> - syrjäisyysluku alle 1 as/km2 </t>
  </si>
  <si>
    <t>Syrjäisyyden perusteella yhteensä</t>
  </si>
  <si>
    <t>Työpaikkaomavaraisuus</t>
  </si>
  <si>
    <t>Alueella työssäkäyvät (työpaikat)</t>
  </si>
  <si>
    <t>Työlliset</t>
  </si>
  <si>
    <t>Työpaikkaomavaraisuuskerroin</t>
  </si>
  <si>
    <t>Saamelaisten kotiseutualueen kunta</t>
  </si>
  <si>
    <t>Onko kunta saamelaisten kotiseutualueen kunta?</t>
  </si>
  <si>
    <t>Saamenkieliset</t>
  </si>
  <si>
    <t>Lisäosat yhteensä</t>
  </si>
  <si>
    <t>Järjestelmämuutoksen tasaus</t>
  </si>
  <si>
    <t>Kotikuntakorvausjärjestelmän muutos;</t>
  </si>
  <si>
    <t>siirtymäajan rahoitus</t>
  </si>
  <si>
    <t>Veromenetyksen kompensaatio vuodelta 2014</t>
  </si>
  <si>
    <t>Veroperustemuutosten vaikutus vuodelta 2015</t>
  </si>
  <si>
    <t>Vuoden 2010 järjestelmämuutoksen tasaus</t>
  </si>
  <si>
    <t>Järjestelmämuutoksen tasaus yhteensä</t>
  </si>
  <si>
    <t>okm</t>
  </si>
  <si>
    <t>yhteensä</t>
  </si>
  <si>
    <t>Terveydenhuolto</t>
  </si>
  <si>
    <t>Vanhustenhuolto</t>
  </si>
  <si>
    <t>Sosiaalihuolto</t>
  </si>
  <si>
    <t>sair_2</t>
  </si>
  <si>
    <t>sair_3</t>
  </si>
  <si>
    <t>sair_4</t>
  </si>
  <si>
    <t>kust. €/as</t>
  </si>
  <si>
    <t>asm_311211</t>
  </si>
  <si>
    <t>Kotikuntakorvaukset yhteensä</t>
  </si>
  <si>
    <r>
      <t xml:space="preserve">Oppilaat </t>
    </r>
    <r>
      <rPr>
        <b/>
        <u val="single"/>
        <sz val="10"/>
        <rFont val="Arial"/>
        <family val="2"/>
      </rPr>
      <t>muiden järjestäjien</t>
    </r>
    <r>
      <rPr>
        <u val="single"/>
        <sz val="10"/>
        <rFont val="Arial"/>
        <family val="2"/>
      </rPr>
      <t xml:space="preserve"> perusopetuksessa (rahoitus 94 %)</t>
    </r>
  </si>
  <si>
    <r>
      <t xml:space="preserve">Oppilaat </t>
    </r>
    <r>
      <rPr>
        <b/>
        <u val="single"/>
        <sz val="10"/>
        <rFont val="Arial"/>
        <family val="2"/>
      </rPr>
      <t>toisen kunnan</t>
    </r>
    <r>
      <rPr>
        <u val="single"/>
        <sz val="10"/>
        <rFont val="Arial"/>
        <family val="2"/>
      </rPr>
      <t xml:space="preserve"> järjestämässä perusopetuksessa (rahoitus 100 %)</t>
    </r>
  </si>
  <si>
    <t>Kotikuntakorvaustulot yhteensä</t>
  </si>
  <si>
    <t>Kotikuntakorvaukset, yhteensä</t>
  </si>
  <si>
    <t>kkk_1</t>
  </si>
  <si>
    <t>vos_maks</t>
  </si>
  <si>
    <r>
      <t>as./maa-km</t>
    </r>
    <r>
      <rPr>
        <vertAlign val="superscript"/>
        <sz val="10"/>
        <rFont val="Arial"/>
        <family val="2"/>
      </rPr>
      <t>2</t>
    </r>
    <r>
      <rPr>
        <sz val="10"/>
        <rFont val="Arial"/>
        <family val="0"/>
      </rPr>
      <t>.</t>
    </r>
  </si>
  <si>
    <t>Kotikuntakorvauksen perusosa</t>
  </si>
  <si>
    <t>Perusosaan tehtävä vähennys</t>
  </si>
  <si>
    <t>Koulukotikorotus</t>
  </si>
  <si>
    <t xml:space="preserve">  Vaikeimmin vammaiset</t>
  </si>
  <si>
    <t>http://vos.uta.fi/cgi-bin/tiedot2.cgi?saaja=8373;tnimi=vos/v15/v06yt7s15.lis</t>
  </si>
  <si>
    <t>Esimerkki järjestäjäkohtaisen yksikköhinnan laskennasta:</t>
  </si>
  <si>
    <t>Työmarkkinatukiuudistukseen liittyvä valtionosuustasaus</t>
  </si>
  <si>
    <t>KUNNAN VALTIONOSUUSRAHOITUS 2016</t>
  </si>
  <si>
    <t>Asukasluku 31.12.2014:</t>
  </si>
  <si>
    <t>Kunnan valtionosuusrahoitus 2016</t>
  </si>
  <si>
    <t>Ikärakenteen laskennalliset kustannukset 2016</t>
  </si>
  <si>
    <t>muut laskennalliset kustannukset 2016</t>
  </si>
  <si>
    <t>Lisäosat 2016</t>
  </si>
  <si>
    <t>9.11.2015, Kuntaliitto / SL</t>
  </si>
  <si>
    <t>Valtionosuuteen tehtävät vähennykset ja lisäykset 2016</t>
  </si>
  <si>
    <t>Indeksikorotusten jäädytys</t>
  </si>
  <si>
    <t>Tasauksen muutoksen neutralisointi</t>
  </si>
  <si>
    <t>Veroperustemuutosten vaikutus vuodelta 2016</t>
  </si>
  <si>
    <t>vl_19</t>
  </si>
  <si>
    <t>Vuoden 2015 valtionosuusjärjestelmämuutoksen tasaus vuonna 2016</t>
  </si>
  <si>
    <t>Vuoden 2016 valtionosuudessa huomioon otettava osuus muutoksesta, yhteensä euroa</t>
  </si>
  <si>
    <t>Vuoden 2015 valtionosuusjärjestelmämuutoksen tasaus (+/-)</t>
  </si>
  <si>
    <t>Kotikuntakorvaukset vuonna 2016</t>
  </si>
  <si>
    <t>peruste vuonna 2016</t>
  </si>
  <si>
    <t>Vuosi 2016</t>
  </si>
  <si>
    <t>Kotikuntakorvausnetto</t>
  </si>
  <si>
    <t>Kotikuntakorvaukset, netto</t>
  </si>
  <si>
    <t>Maksatus 2016</t>
  </si>
  <si>
    <t>Opetus ja kulttuuritoimen valtionosuus 2016</t>
  </si>
  <si>
    <r>
      <t xml:space="preserve">Vuoden 2015 rahoitus : </t>
    </r>
    <r>
      <rPr>
        <i/>
        <u val="single"/>
        <sz val="10"/>
        <rFont val="Arial"/>
        <family val="2"/>
      </rPr>
      <t>http://www02.oph.fi/asiakkaat/rahoitus/paatos15.html</t>
    </r>
  </si>
  <si>
    <t>9.11.2015, Kuntaliitto</t>
  </si>
  <si>
    <t>Asukasluku 31.12.2015:</t>
  </si>
  <si>
    <t>Suomenkielinen lukiokoulutus 20.9.2015: 1)</t>
  </si>
  <si>
    <t>Ruotsinkielinen lukiokoulutus 20.9.2015: 1)</t>
  </si>
  <si>
    <t>Arvioitu oppilasmäärä 20.1.2016</t>
  </si>
  <si>
    <t>Arvioitu oppilasmäärä 20.9.2016</t>
  </si>
  <si>
    <t>Lukioiden yksikköhintarahoitus 2016</t>
  </si>
  <si>
    <t>9.11.2015</t>
  </si>
  <si>
    <t>Ei tarkistettu</t>
  </si>
  <si>
    <t xml:space="preserve">   Opetus- ja kulttuuritoimen valtionosuudet vuonna 2015</t>
  </si>
  <si>
    <t>2. Opetus- ja kulttuuritoimen valtionosuudet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</si>
</sst>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
    <numFmt numFmtId="165" formatCode="#,##0.000000000"/>
    <numFmt numFmtId="166" formatCode="#,##0.000"/>
    <numFmt numFmtId="167" formatCode="0.00000000"/>
    <numFmt numFmtId="168" formatCode="#,##0.00000"/>
    <numFmt numFmtId="169" formatCode="#,##0.0000000"/>
    <numFmt numFmtId="170" formatCode="#,##0.000000"/>
    <numFmt numFmtId="171" formatCode="#,##0.0000"/>
    <numFmt numFmtId="172" formatCode="#,##0.0"/>
    <numFmt numFmtId="173" formatCode="0.0000000"/>
    <numFmt numFmtId="174" formatCode="0.000"/>
    <numFmt numFmtId="175" formatCode="&quot;Kyllä&quot;;&quot;Kyllä&quot;;&quot;Ei&quot;"/>
    <numFmt numFmtId="176" formatCode="&quot;Tosi&quot;;&quot;Tosi&quot;;&quot;Epätosi&quot;"/>
    <numFmt numFmtId="177" formatCode="&quot;Käytössä&quot;;&quot;Käytössä&quot;;&quot;Ei käytössä&quot;"/>
    <numFmt numFmtId="178" formatCode="0.0"/>
    <numFmt numFmtId="179" formatCode="[$-40B]d\.\ mmmm&quot;ta &quot;yyyy"/>
    <numFmt numFmtId="180" formatCode="0.000000"/>
    <numFmt numFmtId="181" formatCode="0.00000"/>
    <numFmt numFmtId="182" formatCode="0.0000"/>
    <numFmt numFmtId="183" formatCode="0.000000000000000"/>
    <numFmt numFmtId="184" formatCode="[$€-2]\ #\ ##,000_);[Red]\([$€-2]\ #\ ##,000\)"/>
  </numFmts>
  <fonts count="92">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9"/>
      <name val="Arial"/>
      <family val="2"/>
    </font>
    <font>
      <b/>
      <u val="single"/>
      <sz val="10"/>
      <name val="Arial"/>
      <family val="2"/>
    </font>
    <font>
      <u val="single"/>
      <sz val="10"/>
      <name val="Arial"/>
      <family val="2"/>
    </font>
    <font>
      <i/>
      <u val="single"/>
      <sz val="8"/>
      <name val="Arial"/>
      <family val="2"/>
    </font>
    <font>
      <i/>
      <u val="single"/>
      <sz val="10"/>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sz val="10"/>
      <color indexed="10"/>
      <name val="Arial"/>
      <family val="2"/>
    </font>
    <font>
      <i/>
      <sz val="10"/>
      <color indexed="10"/>
      <name val="Arial"/>
      <family val="2"/>
    </font>
    <font>
      <i/>
      <sz val="10"/>
      <color indexed="55"/>
      <name val="Arial"/>
      <family val="2"/>
    </font>
    <font>
      <b/>
      <i/>
      <sz val="10"/>
      <color indexed="55"/>
      <name val="Arial"/>
      <family val="2"/>
    </font>
    <font>
      <b/>
      <u val="single"/>
      <sz val="14"/>
      <color indexed="8"/>
      <name val="Calibri"/>
      <family val="0"/>
    </font>
    <font>
      <b/>
      <sz val="14"/>
      <color indexed="8"/>
      <name val="Calibri"/>
      <family val="0"/>
    </font>
    <font>
      <i/>
      <sz val="12"/>
      <color indexed="8"/>
      <name val="Calibri"/>
      <family val="0"/>
    </font>
    <font>
      <sz val="12"/>
      <color indexed="8"/>
      <name val="Calibri"/>
      <family val="0"/>
    </font>
    <font>
      <sz val="12"/>
      <color indexed="10"/>
      <name val="Calibri"/>
      <family val="0"/>
    </font>
    <font>
      <b/>
      <sz val="12"/>
      <color indexed="8"/>
      <name val="Calibri"/>
      <family val="0"/>
    </font>
    <font>
      <sz val="5"/>
      <color indexed="8"/>
      <name val="Calibri"/>
      <family val="0"/>
    </font>
    <font>
      <b/>
      <sz val="12"/>
      <color indexed="17"/>
      <name val="Calibri"/>
      <family val="0"/>
    </font>
    <font>
      <b/>
      <sz val="12"/>
      <color indexed="30"/>
      <name val="Calibri"/>
      <family val="0"/>
    </font>
    <font>
      <sz val="12"/>
      <color indexed="17"/>
      <name val="Calibri"/>
      <family val="0"/>
    </font>
    <font>
      <sz val="12"/>
      <color indexed="30"/>
      <name val="Calibri"/>
      <family val="0"/>
    </font>
    <font>
      <b/>
      <sz val="12"/>
      <color indexed="10"/>
      <name val="Calibri"/>
      <family val="0"/>
    </font>
    <font>
      <b/>
      <sz val="5"/>
      <color indexed="8"/>
      <name val="Calibri"/>
      <family val="0"/>
    </font>
    <font>
      <b/>
      <i/>
      <sz val="12"/>
      <color indexed="30"/>
      <name val="Calibri"/>
      <family val="0"/>
    </font>
    <font>
      <b/>
      <i/>
      <sz val="12"/>
      <color indexed="8"/>
      <name val="Calibri"/>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sz val="10"/>
      <color rgb="FFFF0000"/>
      <name val="Arial"/>
      <family val="2"/>
    </font>
    <font>
      <i/>
      <sz val="10"/>
      <color rgb="FFFF0000"/>
      <name val="Arial"/>
      <family val="2"/>
    </font>
    <font>
      <i/>
      <sz val="10"/>
      <color theme="0" tint="-0.24997000396251678"/>
      <name val="Arial"/>
      <family val="2"/>
    </font>
    <font>
      <b/>
      <i/>
      <sz val="10"/>
      <color theme="0" tint="-0.24997000396251678"/>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68" fillId="27" borderId="0" applyNumberFormat="0" applyBorder="0" applyAlignment="0" applyProtection="0"/>
    <xf numFmtId="0" fontId="9" fillId="0" borderId="0" applyNumberFormat="0" applyFill="0" applyBorder="0" applyAlignment="0" applyProtection="0"/>
    <xf numFmtId="0" fontId="69" fillId="28" borderId="0" applyNumberFormat="0" applyBorder="0" applyAlignment="0" applyProtection="0"/>
    <xf numFmtId="0" fontId="70" fillId="29" borderId="2" applyNumberFormat="0" applyAlignment="0" applyProtection="0"/>
    <xf numFmtId="0" fontId="71" fillId="0" borderId="3" applyNumberFormat="0" applyFill="0" applyAlignment="0" applyProtection="0"/>
    <xf numFmtId="0" fontId="72" fillId="30" borderId="0" applyNumberFormat="0" applyBorder="0" applyAlignment="0" applyProtection="0"/>
    <xf numFmtId="0" fontId="0" fillId="0" borderId="0">
      <alignment/>
      <protection/>
    </xf>
    <xf numFmtId="0" fontId="19" fillId="0" borderId="0">
      <alignment/>
      <protection/>
    </xf>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9" fillId="31" borderId="2" applyNumberFormat="0" applyAlignment="0" applyProtection="0"/>
    <xf numFmtId="0" fontId="80" fillId="32" borderId="8" applyNumberFormat="0" applyAlignment="0" applyProtection="0"/>
    <xf numFmtId="0" fontId="81"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cellStyleXfs>
  <cellXfs count="282">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3" fontId="0" fillId="0" borderId="0" xfId="0" applyNumberFormat="1" applyFill="1" applyAlignment="1" applyProtection="1" quotePrefix="1">
      <alignment/>
      <protection/>
    </xf>
    <xf numFmtId="2" fontId="0" fillId="0" borderId="0" xfId="0" applyNumberFormat="1" applyFill="1" applyAlignment="1" applyProtection="1">
      <alignment/>
      <protection/>
    </xf>
    <xf numFmtId="0" fontId="4" fillId="0" borderId="0" xfId="0" applyFont="1" applyBorder="1" applyAlignment="1">
      <alignment/>
    </xf>
    <xf numFmtId="0" fontId="0" fillId="0" borderId="0" xfId="0" applyFill="1" applyAlignment="1" quotePrefix="1">
      <alignment/>
    </xf>
    <xf numFmtId="173"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4"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1"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0" xfId="0" applyBorder="1" applyAlignment="1">
      <alignment/>
    </xf>
    <xf numFmtId="0" fontId="0" fillId="0" borderId="11" xfId="0" applyBorder="1" applyAlignment="1">
      <alignment/>
    </xf>
    <xf numFmtId="0" fontId="11" fillId="0" borderId="0" xfId="0" applyFont="1" applyAlignment="1">
      <alignment/>
    </xf>
    <xf numFmtId="0" fontId="11" fillId="0" borderId="0" xfId="0" applyFont="1" applyAlignment="1" quotePrefix="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172"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1" fillId="34" borderId="12" xfId="0" applyFont="1" applyFill="1" applyBorder="1" applyAlignment="1">
      <alignment/>
    </xf>
    <xf numFmtId="0" fontId="0" fillId="34" borderId="13" xfId="0" applyFill="1" applyBorder="1" applyAlignment="1">
      <alignment/>
    </xf>
    <xf numFmtId="3" fontId="1" fillId="34" borderId="14"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4" fontId="1" fillId="0" borderId="0" xfId="0" applyNumberFormat="1" applyFont="1" applyBorder="1" applyAlignment="1" applyProtection="1">
      <alignment/>
      <protection/>
    </xf>
    <xf numFmtId="3" fontId="0" fillId="0" borderId="0" xfId="0" applyNumberFormat="1" applyFont="1" applyAlignment="1" applyProtection="1">
      <alignment/>
      <protection/>
    </xf>
    <xf numFmtId="0" fontId="0" fillId="0" borderId="0" xfId="0" applyFont="1" applyFill="1" applyAlignment="1" applyProtection="1">
      <alignment/>
      <protection/>
    </xf>
    <xf numFmtId="0" fontId="1" fillId="35" borderId="12" xfId="0" applyFont="1" applyFill="1" applyBorder="1" applyAlignment="1">
      <alignment/>
    </xf>
    <xf numFmtId="0" fontId="0" fillId="35" borderId="13" xfId="0" applyFill="1" applyBorder="1" applyAlignment="1">
      <alignment/>
    </xf>
    <xf numFmtId="3" fontId="1" fillId="35" borderId="14" xfId="0" applyNumberFormat="1" applyFont="1" applyFill="1" applyBorder="1" applyAlignment="1">
      <alignment/>
    </xf>
    <xf numFmtId="0" fontId="1" fillId="34" borderId="12" xfId="0" applyFont="1" applyFill="1" applyBorder="1" applyAlignment="1" applyProtection="1">
      <alignment/>
      <protection/>
    </xf>
    <xf numFmtId="0" fontId="1" fillId="34" borderId="13" xfId="0" applyFont="1" applyFill="1" applyBorder="1" applyAlignment="1" applyProtection="1">
      <alignment/>
      <protection/>
    </xf>
    <xf numFmtId="0" fontId="83" fillId="0" borderId="0" xfId="0" applyFont="1" applyAlignment="1" applyProtection="1">
      <alignment/>
      <protection/>
    </xf>
    <xf numFmtId="4" fontId="1" fillId="34" borderId="13"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14"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3" xfId="0" applyFont="1" applyFill="1" applyBorder="1" applyAlignment="1">
      <alignment/>
    </xf>
    <xf numFmtId="0" fontId="0" fillId="10" borderId="10" xfId="0" applyFill="1" applyBorder="1" applyAlignment="1">
      <alignment/>
    </xf>
    <xf numFmtId="0" fontId="0" fillId="34" borderId="13" xfId="0" applyFont="1" applyFill="1" applyBorder="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right"/>
      <protection/>
    </xf>
    <xf numFmtId="3" fontId="1" fillId="0" borderId="0" xfId="0" applyNumberFormat="1" applyFont="1" applyFill="1" applyBorder="1" applyAlignment="1" applyProtection="1">
      <alignment/>
      <protection/>
    </xf>
    <xf numFmtId="0" fontId="0" fillId="0" borderId="15" xfId="0" applyFont="1" applyBorder="1" applyAlignment="1" applyProtection="1">
      <alignment/>
      <protection/>
    </xf>
    <xf numFmtId="0" fontId="0" fillId="33" borderId="16"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15" xfId="0" applyBorder="1" applyAlignment="1">
      <alignment/>
    </xf>
    <xf numFmtId="3" fontId="0" fillId="0" borderId="15" xfId="0" applyNumberFormat="1" applyBorder="1" applyAlignment="1" applyProtection="1">
      <alignment/>
      <protection/>
    </xf>
    <xf numFmtId="0" fontId="1" fillId="35" borderId="13" xfId="0" applyFont="1" applyFill="1" applyBorder="1" applyAlignment="1" applyProtection="1">
      <alignment/>
      <protection/>
    </xf>
    <xf numFmtId="0" fontId="0" fillId="35" borderId="13" xfId="0" applyFill="1" applyBorder="1" applyAlignment="1" applyProtection="1">
      <alignment/>
      <protection/>
    </xf>
    <xf numFmtId="2" fontId="0" fillId="35" borderId="13" xfId="0" applyNumberFormat="1" applyFill="1" applyBorder="1" applyAlignment="1" applyProtection="1">
      <alignment/>
      <protection/>
    </xf>
    <xf numFmtId="3" fontId="1" fillId="35" borderId="14"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0" fontId="5" fillId="0" borderId="0" xfId="0" applyFont="1" applyAlignment="1" applyProtection="1">
      <alignment/>
      <protection/>
    </xf>
    <xf numFmtId="0" fontId="1" fillId="35" borderId="12" xfId="0" applyFont="1" applyFill="1" applyBorder="1" applyAlignment="1" applyProtection="1">
      <alignment/>
      <protection/>
    </xf>
    <xf numFmtId="2" fontId="0" fillId="16" borderId="10" xfId="0" applyNumberFormat="1" applyFill="1" applyBorder="1" applyAlignment="1" applyProtection="1">
      <alignment horizontal="center"/>
      <protection locked="0"/>
    </xf>
    <xf numFmtId="2" fontId="1" fillId="35" borderId="13" xfId="0" applyNumberFormat="1" applyFont="1" applyFill="1" applyBorder="1" applyAlignment="1">
      <alignment/>
    </xf>
    <xf numFmtId="2" fontId="1" fillId="34" borderId="13" xfId="0" applyNumberFormat="1" applyFont="1" applyFill="1" applyBorder="1" applyAlignment="1">
      <alignment/>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3" fontId="7" fillId="35" borderId="17" xfId="47" applyNumberFormat="1" applyFont="1" applyFill="1" applyBorder="1">
      <alignment/>
      <protection/>
    </xf>
    <xf numFmtId="3" fontId="7" fillId="35" borderId="18" xfId="47" applyNumberFormat="1" applyFont="1" applyFill="1" applyBorder="1">
      <alignment/>
      <protection/>
    </xf>
    <xf numFmtId="3" fontId="7" fillId="35" borderId="19" xfId="47" applyNumberFormat="1" applyFont="1" applyFill="1" applyBorder="1">
      <alignment/>
      <protection/>
    </xf>
    <xf numFmtId="4" fontId="0" fillId="0" borderId="20" xfId="0" applyNumberFormat="1" applyBorder="1" applyAlignment="1">
      <alignment/>
    </xf>
    <xf numFmtId="0" fontId="0" fillId="0" borderId="0" xfId="0" applyFill="1" applyBorder="1" applyAlignment="1">
      <alignment/>
    </xf>
    <xf numFmtId="0" fontId="0" fillId="34" borderId="13" xfId="0" applyFill="1" applyBorder="1" applyAlignment="1" applyProtection="1">
      <alignment/>
      <protection/>
    </xf>
    <xf numFmtId="3" fontId="0" fillId="35" borderId="13" xfId="0" applyNumberFormat="1" applyFill="1" applyBorder="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17" fillId="0" borderId="0" xfId="0" applyFont="1" applyAlignment="1">
      <alignment/>
    </xf>
    <xf numFmtId="0" fontId="5" fillId="0" borderId="0" xfId="0" applyFont="1" applyAlignment="1">
      <alignment horizontal="right"/>
    </xf>
    <xf numFmtId="2" fontId="0" fillId="10" borderId="10" xfId="0" applyNumberFormat="1" applyFill="1" applyBorder="1" applyAlignment="1" applyProtection="1">
      <alignment horizontal="center"/>
      <protection locked="0"/>
    </xf>
    <xf numFmtId="2" fontId="0" fillId="10" borderId="10" xfId="0" applyNumberFormat="1" applyFont="1" applyFill="1" applyBorder="1" applyAlignment="1" applyProtection="1">
      <alignment/>
      <protection locked="0"/>
    </xf>
    <xf numFmtId="3" fontId="0" fillId="10" borderId="10" xfId="0" applyNumberFormat="1" applyFill="1" applyBorder="1" applyAlignment="1" applyProtection="1">
      <alignment/>
      <protection locked="0"/>
    </xf>
    <xf numFmtId="0" fontId="1" fillId="35" borderId="21" xfId="0" applyFont="1" applyFill="1" applyBorder="1" applyAlignment="1">
      <alignment/>
    </xf>
    <xf numFmtId="0" fontId="1" fillId="35" borderId="22" xfId="0" applyFont="1" applyFill="1" applyBorder="1" applyAlignment="1">
      <alignment/>
    </xf>
    <xf numFmtId="173" fontId="1" fillId="35" borderId="22" xfId="0" applyNumberFormat="1" applyFont="1" applyFill="1" applyBorder="1" applyAlignment="1">
      <alignment/>
    </xf>
    <xf numFmtId="4" fontId="1" fillId="35" borderId="22"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173" fontId="1" fillId="35" borderId="25" xfId="0" applyNumberFormat="1" applyFont="1" applyFill="1" applyBorder="1" applyAlignment="1">
      <alignment/>
    </xf>
    <xf numFmtId="4" fontId="1" fillId="35" borderId="25" xfId="0" applyNumberFormat="1" applyFont="1" applyFill="1" applyBorder="1" applyAlignment="1">
      <alignment/>
    </xf>
    <xf numFmtId="0" fontId="1" fillId="35" borderId="26" xfId="0" applyFont="1" applyFill="1" applyBorder="1" applyAlignment="1">
      <alignment/>
    </xf>
    <xf numFmtId="173" fontId="5" fillId="0" borderId="0" xfId="0" applyNumberFormat="1" applyFont="1" applyFill="1" applyBorder="1" applyAlignment="1">
      <alignment horizontal="center"/>
    </xf>
    <xf numFmtId="0" fontId="5" fillId="0" borderId="0" xfId="0" applyFont="1" applyFill="1" applyAlignment="1">
      <alignment horizontal="center"/>
    </xf>
    <xf numFmtId="173" fontId="0" fillId="34" borderId="13" xfId="0" applyNumberFormat="1" applyFont="1" applyFill="1" applyBorder="1" applyAlignment="1">
      <alignment/>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0" fontId="18" fillId="0" borderId="0" xfId="0" applyFont="1" applyAlignment="1">
      <alignment/>
    </xf>
    <xf numFmtId="0" fontId="0" fillId="36" borderId="10" xfId="0" applyFill="1" applyBorder="1" applyAlignment="1">
      <alignment/>
    </xf>
    <xf numFmtId="3" fontId="0" fillId="36" borderId="10" xfId="0" applyNumberFormat="1" applyFill="1" applyBorder="1" applyAlignment="1" applyProtection="1">
      <alignment/>
      <protection locked="0"/>
    </xf>
    <xf numFmtId="3" fontId="3" fillId="0" borderId="0" xfId="0" applyNumberFormat="1" applyFont="1" applyFill="1" applyBorder="1" applyAlignment="1" applyProtection="1">
      <alignment/>
      <protection/>
    </xf>
    <xf numFmtId="0" fontId="84" fillId="0" borderId="0" xfId="0" applyFont="1" applyAlignment="1">
      <alignment/>
    </xf>
    <xf numFmtId="4" fontId="5" fillId="0" borderId="0" xfId="0" applyNumberFormat="1" applyFont="1" applyAlignment="1">
      <alignment/>
    </xf>
    <xf numFmtId="4" fontId="18" fillId="0" borderId="0" xfId="0" applyNumberFormat="1" applyFont="1" applyAlignment="1">
      <alignment/>
    </xf>
    <xf numFmtId="0" fontId="0" fillId="0" borderId="25" xfId="0" applyBorder="1" applyAlignment="1">
      <alignment/>
    </xf>
    <xf numFmtId="4" fontId="5" fillId="0" borderId="25" xfId="0" applyNumberFormat="1" applyFont="1" applyBorder="1" applyAlignment="1">
      <alignment/>
    </xf>
    <xf numFmtId="4" fontId="1" fillId="36" borderId="10" xfId="0" applyNumberFormat="1" applyFont="1" applyFill="1" applyBorder="1" applyAlignment="1" applyProtection="1">
      <alignment/>
      <protection locked="0"/>
    </xf>
    <xf numFmtId="4" fontId="5" fillId="0" borderId="15" xfId="0" applyNumberFormat="1" applyFont="1" applyBorder="1" applyAlignment="1">
      <alignment/>
    </xf>
    <xf numFmtId="3" fontId="1" fillId="34" borderId="13" xfId="0" applyNumberFormat="1" applyFont="1" applyFill="1" applyBorder="1" applyAlignment="1">
      <alignment/>
    </xf>
    <xf numFmtId="4" fontId="18" fillId="34" borderId="14" xfId="0" applyNumberFormat="1" applyFont="1" applyFill="1" applyBorder="1" applyAlignment="1">
      <alignment/>
    </xf>
    <xf numFmtId="0" fontId="1" fillId="35" borderId="0" xfId="0" applyFont="1" applyFill="1" applyBorder="1" applyAlignment="1">
      <alignment/>
    </xf>
    <xf numFmtId="0" fontId="0" fillId="35" borderId="0" xfId="0" applyFill="1" applyBorder="1" applyAlignment="1">
      <alignment/>
    </xf>
    <xf numFmtId="0" fontId="0" fillId="35" borderId="22" xfId="0" applyFill="1" applyBorder="1" applyAlignment="1">
      <alignment/>
    </xf>
    <xf numFmtId="0" fontId="0" fillId="35" borderId="24" xfId="0" applyFill="1" applyBorder="1" applyAlignment="1">
      <alignment/>
    </xf>
    <xf numFmtId="0" fontId="0" fillId="35" borderId="25" xfId="0" applyFont="1" applyFill="1" applyBorder="1" applyAlignment="1">
      <alignment/>
    </xf>
    <xf numFmtId="0" fontId="0" fillId="35" borderId="25" xfId="0" applyFill="1" applyBorder="1" applyAlignment="1">
      <alignment/>
    </xf>
    <xf numFmtId="0" fontId="1" fillId="35" borderId="27" xfId="0" applyFont="1" applyFill="1" applyBorder="1" applyAlignment="1">
      <alignment/>
    </xf>
    <xf numFmtId="0" fontId="0" fillId="35" borderId="0" xfId="0" applyFont="1" applyFill="1" applyBorder="1" applyAlignment="1">
      <alignment/>
    </xf>
    <xf numFmtId="0" fontId="0" fillId="0" borderId="15" xfId="0" applyFont="1" applyBorder="1" applyAlignment="1">
      <alignment/>
    </xf>
    <xf numFmtId="3" fontId="0" fillId="33" borderId="16" xfId="0" applyNumberFormat="1" applyFont="1" applyFill="1" applyBorder="1" applyAlignment="1" applyProtection="1">
      <alignment/>
      <protection locked="0"/>
    </xf>
    <xf numFmtId="4" fontId="0" fillId="10" borderId="16" xfId="0" applyNumberFormat="1" applyFont="1" applyFill="1" applyBorder="1" applyAlignment="1" applyProtection="1">
      <alignment/>
      <protection locked="0"/>
    </xf>
    <xf numFmtId="4" fontId="0" fillId="0" borderId="15" xfId="0" applyNumberFormat="1" applyFont="1" applyBorder="1" applyAlignment="1" applyProtection="1">
      <alignment/>
      <protection/>
    </xf>
    <xf numFmtId="3" fontId="0" fillId="0" borderId="15" xfId="0" applyNumberFormat="1" applyFont="1" applyBorder="1" applyAlignment="1" applyProtection="1">
      <alignment/>
      <protection/>
    </xf>
    <xf numFmtId="178" fontId="0" fillId="0" borderId="0" xfId="0" applyNumberFormat="1" applyAlignment="1" applyProtection="1">
      <alignment/>
      <protection/>
    </xf>
    <xf numFmtId="1" fontId="0" fillId="0" borderId="0" xfId="0" applyNumberFormat="1" applyAlignment="1" applyProtection="1">
      <alignment/>
      <protection/>
    </xf>
    <xf numFmtId="2" fontId="0" fillId="34" borderId="13" xfId="0" applyNumberFormat="1" applyFill="1" applyBorder="1" applyAlignment="1" applyProtection="1">
      <alignmen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85" fillId="0" borderId="0" xfId="0" applyFont="1" applyAlignment="1">
      <alignment/>
    </xf>
    <xf numFmtId="0" fontId="86" fillId="0" borderId="0" xfId="0" applyFont="1" applyAlignment="1">
      <alignment/>
    </xf>
    <xf numFmtId="3" fontId="0" fillId="0" borderId="15" xfId="0" applyNumberFormat="1" applyBorder="1" applyAlignment="1">
      <alignment/>
    </xf>
    <xf numFmtId="3" fontId="0" fillId="33" borderId="10" xfId="0" applyNumberFormat="1" applyFont="1" applyFill="1" applyBorder="1" applyAlignment="1" applyProtection="1">
      <alignment horizontal="center"/>
      <protection locked="0"/>
    </xf>
    <xf numFmtId="0" fontId="0" fillId="0" borderId="0" xfId="0" applyFont="1" applyFill="1" applyAlignment="1">
      <alignment/>
    </xf>
    <xf numFmtId="4" fontId="5" fillId="0" borderId="0" xfId="0" applyNumberFormat="1" applyFont="1" applyAlignment="1" applyProtection="1">
      <alignment/>
      <protection/>
    </xf>
    <xf numFmtId="0" fontId="2" fillId="0" borderId="0" xfId="0" applyFont="1" applyAlignment="1">
      <alignment/>
    </xf>
    <xf numFmtId="0" fontId="5" fillId="35" borderId="22" xfId="0" applyFont="1" applyFill="1" applyBorder="1" applyAlignment="1">
      <alignment horizontal="right"/>
    </xf>
    <xf numFmtId="0" fontId="5" fillId="35" borderId="23" xfId="0" applyFont="1" applyFill="1" applyBorder="1" applyAlignment="1">
      <alignment horizontal="right"/>
    </xf>
    <xf numFmtId="0" fontId="8" fillId="0" borderId="0" xfId="0" applyFont="1" applyAlignment="1" applyProtection="1">
      <alignment/>
      <protection/>
    </xf>
    <xf numFmtId="3" fontId="0" fillId="0" borderId="0" xfId="0" applyNumberFormat="1" applyAlignment="1">
      <alignment horizontal="right"/>
    </xf>
    <xf numFmtId="0" fontId="0" fillId="0" borderId="0" xfId="0" applyFont="1" applyAlignment="1">
      <alignment horizontal="right"/>
    </xf>
    <xf numFmtId="171" fontId="0" fillId="0" borderId="0" xfId="0" applyNumberFormat="1" applyAlignment="1">
      <alignment/>
    </xf>
    <xf numFmtId="182" fontId="0" fillId="0" borderId="0" xfId="0" applyNumberFormat="1" applyAlignment="1">
      <alignment/>
    </xf>
    <xf numFmtId="166" fontId="0" fillId="33" borderId="10" xfId="0" applyNumberFormat="1" applyFill="1" applyBorder="1" applyAlignment="1" applyProtection="1">
      <alignment/>
      <protection locked="0"/>
    </xf>
    <xf numFmtId="171" fontId="0" fillId="33" borderId="10" xfId="0" applyNumberFormat="1" applyFill="1" applyBorder="1" applyAlignment="1" applyProtection="1">
      <alignment/>
      <protection locked="0"/>
    </xf>
    <xf numFmtId="3" fontId="0" fillId="33" borderId="16" xfId="0" applyNumberFormat="1" applyFill="1" applyBorder="1" applyAlignment="1" applyProtection="1">
      <alignment/>
      <protection locked="0"/>
    </xf>
    <xf numFmtId="0" fontId="5" fillId="0" borderId="15" xfId="0" applyFont="1" applyBorder="1" applyAlignment="1">
      <alignment/>
    </xf>
    <xf numFmtId="0" fontId="0" fillId="0" borderId="28" xfId="0" applyBorder="1" applyAlignment="1">
      <alignment/>
    </xf>
    <xf numFmtId="171" fontId="0" fillId="0" borderId="15" xfId="0" applyNumberFormat="1" applyBorder="1" applyAlignment="1">
      <alignment/>
    </xf>
    <xf numFmtId="171" fontId="0" fillId="0" borderId="0" xfId="0" applyNumberFormat="1" applyBorder="1" applyAlignment="1">
      <alignment/>
    </xf>
    <xf numFmtId="171" fontId="0" fillId="33" borderId="17" xfId="0" applyNumberFormat="1" applyFill="1" applyBorder="1" applyAlignment="1" applyProtection="1">
      <alignment/>
      <protection locked="0"/>
    </xf>
    <xf numFmtId="0" fontId="0" fillId="0" borderId="15" xfId="0" applyFill="1" applyBorder="1" applyAlignment="1">
      <alignment/>
    </xf>
    <xf numFmtId="171" fontId="0" fillId="0" borderId="15" xfId="0" applyNumberFormat="1" applyFill="1" applyBorder="1" applyAlignment="1" applyProtection="1">
      <alignment/>
      <protection locked="0"/>
    </xf>
    <xf numFmtId="170" fontId="0" fillId="0" borderId="15" xfId="0" applyNumberFormat="1" applyFill="1" applyBorder="1" applyAlignment="1">
      <alignment/>
    </xf>
    <xf numFmtId="0" fontId="0" fillId="0" borderId="0" xfId="0" applyFont="1" applyBorder="1" applyAlignment="1">
      <alignment/>
    </xf>
    <xf numFmtId="0" fontId="0" fillId="0" borderId="15" xfId="0" applyFont="1" applyFill="1" applyBorder="1" applyAlignment="1">
      <alignment/>
    </xf>
    <xf numFmtId="0" fontId="0" fillId="0" borderId="15" xfId="0" applyBorder="1" applyAlignment="1" applyProtection="1">
      <alignment horizontal="right"/>
      <protection/>
    </xf>
    <xf numFmtId="3" fontId="6" fillId="0" borderId="15" xfId="0" applyNumberFormat="1" applyFont="1" applyBorder="1" applyAlignment="1" applyProtection="1">
      <alignment/>
      <protection/>
    </xf>
    <xf numFmtId="182" fontId="0" fillId="0" borderId="15" xfId="0" applyNumberFormat="1" applyBorder="1" applyAlignment="1">
      <alignment/>
    </xf>
    <xf numFmtId="2" fontId="0" fillId="10" borderId="16" xfId="0" applyNumberFormat="1" applyFill="1" applyBorder="1" applyAlignment="1" applyProtection="1">
      <alignment/>
      <protection locked="0"/>
    </xf>
    <xf numFmtId="3" fontId="5" fillId="0" borderId="15" xfId="0" applyNumberFormat="1" applyFont="1" applyBorder="1" applyAlignment="1" applyProtection="1">
      <alignment horizontal="right"/>
      <protection/>
    </xf>
    <xf numFmtId="4" fontId="0" fillId="10" borderId="16" xfId="0" applyNumberFormat="1" applyFill="1" applyBorder="1" applyAlignment="1" applyProtection="1">
      <alignment/>
      <protection locked="0"/>
    </xf>
    <xf numFmtId="4" fontId="0" fillId="0" borderId="0" xfId="0" applyNumberFormat="1" applyBorder="1" applyAlignment="1">
      <alignment/>
    </xf>
    <xf numFmtId="0" fontId="0" fillId="0" borderId="15" xfId="0" applyBorder="1" applyAlignment="1" applyProtection="1">
      <alignment/>
      <protection/>
    </xf>
    <xf numFmtId="0" fontId="0" fillId="0" borderId="15" xfId="0" applyFont="1" applyBorder="1" applyAlignment="1" applyProtection="1" quotePrefix="1">
      <alignment/>
      <protection/>
    </xf>
    <xf numFmtId="3" fontId="5" fillId="0" borderId="15" xfId="0" applyNumberFormat="1" applyFont="1" applyFill="1" applyBorder="1" applyAlignment="1" applyProtection="1">
      <alignment/>
      <protection/>
    </xf>
    <xf numFmtId="1" fontId="0" fillId="0" borderId="15" xfId="0" applyNumberFormat="1" applyBorder="1" applyAlignment="1" applyProtection="1">
      <alignment/>
      <protection/>
    </xf>
    <xf numFmtId="3" fontId="0" fillId="0" borderId="0" xfId="0" applyNumberFormat="1" applyBorder="1" applyAlignment="1">
      <alignment/>
    </xf>
    <xf numFmtId="3" fontId="0" fillId="0" borderId="10" xfId="0" applyNumberFormat="1" applyFill="1" applyBorder="1" applyAlignment="1" applyProtection="1">
      <alignment/>
      <protection locked="0"/>
    </xf>
    <xf numFmtId="3" fontId="2" fillId="0" borderId="0" xfId="0" applyNumberFormat="1" applyFont="1" applyAlignment="1">
      <alignment/>
    </xf>
    <xf numFmtId="4" fontId="2" fillId="0" borderId="0" xfId="0" applyNumberFormat="1" applyFont="1" applyAlignment="1">
      <alignment/>
    </xf>
    <xf numFmtId="4" fontId="5" fillId="0" borderId="0" xfId="0" applyNumberFormat="1" applyFont="1" applyBorder="1" applyAlignment="1" applyProtection="1">
      <alignment/>
      <protection/>
    </xf>
    <xf numFmtId="4" fontId="5" fillId="0" borderId="15" xfId="0" applyNumberFormat="1" applyFont="1" applyBorder="1" applyAlignment="1" applyProtection="1">
      <alignment/>
      <protection/>
    </xf>
    <xf numFmtId="0" fontId="5" fillId="0" borderId="0" xfId="0" applyFont="1" applyBorder="1" applyAlignment="1" applyProtection="1">
      <alignment horizontal="right"/>
      <protection/>
    </xf>
    <xf numFmtId="0" fontId="16" fillId="16" borderId="19"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4" fontId="0" fillId="0" borderId="16" xfId="0" applyNumberFormat="1" applyFill="1" applyBorder="1" applyAlignment="1">
      <alignment/>
    </xf>
    <xf numFmtId="3" fontId="22" fillId="35" borderId="23" xfId="47" applyNumberFormat="1" applyFont="1" applyFill="1" applyBorder="1" applyAlignment="1">
      <alignment horizontal="center"/>
      <protection/>
    </xf>
    <xf numFmtId="3" fontId="22" fillId="35" borderId="11" xfId="47" applyNumberFormat="1" applyFont="1" applyFill="1" applyBorder="1" applyAlignment="1">
      <alignment horizontal="center"/>
      <protection/>
    </xf>
    <xf numFmtId="3" fontId="22" fillId="35" borderId="26" xfId="47" applyNumberFormat="1" applyFont="1" applyFill="1" applyBorder="1" applyAlignment="1">
      <alignment horizontal="center"/>
      <protection/>
    </xf>
    <xf numFmtId="0" fontId="24" fillId="0" borderId="0" xfId="0" applyFont="1" applyAlignment="1">
      <alignment/>
    </xf>
    <xf numFmtId="4" fontId="0" fillId="0" borderId="0" xfId="0" applyNumberFormat="1" applyFont="1" applyBorder="1" applyAlignment="1">
      <alignment/>
    </xf>
    <xf numFmtId="3" fontId="0" fillId="0" borderId="0" xfId="0" applyNumberFormat="1" applyFont="1" applyAlignment="1">
      <alignment/>
    </xf>
    <xf numFmtId="0" fontId="1" fillId="0" borderId="15" xfId="0" applyFont="1" applyBorder="1" applyAlignment="1">
      <alignment/>
    </xf>
    <xf numFmtId="4" fontId="1" fillId="0" borderId="15" xfId="0" applyNumberFormat="1" applyFont="1" applyBorder="1" applyAlignment="1">
      <alignment/>
    </xf>
    <xf numFmtId="3" fontId="0" fillId="33" borderId="16" xfId="0" applyNumberFormat="1" applyFill="1" applyBorder="1" applyAlignment="1">
      <alignment/>
    </xf>
    <xf numFmtId="3" fontId="0" fillId="33" borderId="19" xfId="0" applyNumberFormat="1" applyFill="1" applyBorder="1" applyAlignment="1">
      <alignment/>
    </xf>
    <xf numFmtId="4" fontId="0" fillId="33" borderId="10" xfId="0" applyNumberFormat="1" applyFill="1" applyBorder="1" applyAlignment="1" applyProtection="1">
      <alignment horizontal="center"/>
      <protection locked="0"/>
    </xf>
    <xf numFmtId="3" fontId="5" fillId="0" borderId="0" xfId="0" applyNumberFormat="1" applyFont="1" applyFill="1" applyAlignment="1" applyProtection="1">
      <alignment horizontal="right"/>
      <protection/>
    </xf>
    <xf numFmtId="0" fontId="25" fillId="0" borderId="0" xfId="0" applyFont="1" applyAlignment="1">
      <alignment/>
    </xf>
    <xf numFmtId="3" fontId="1" fillId="0" borderId="0" xfId="0" applyNumberFormat="1" applyFont="1" applyBorder="1" applyAlignment="1">
      <alignment/>
    </xf>
    <xf numFmtId="3" fontId="0" fillId="35" borderId="25" xfId="0" applyNumberFormat="1" applyFont="1" applyFill="1" applyBorder="1" applyAlignment="1">
      <alignment/>
    </xf>
    <xf numFmtId="3" fontId="27" fillId="35" borderId="0" xfId="0" applyNumberFormat="1" applyFont="1" applyFill="1" applyBorder="1" applyAlignment="1">
      <alignment/>
    </xf>
    <xf numFmtId="4" fontId="27" fillId="35" borderId="11" xfId="0" applyNumberFormat="1" applyFont="1" applyFill="1" applyBorder="1" applyAlignment="1">
      <alignment/>
    </xf>
    <xf numFmtId="4" fontId="0" fillId="35" borderId="26" xfId="0" applyNumberFormat="1" applyFont="1" applyFill="1" applyBorder="1" applyAlignment="1">
      <alignment/>
    </xf>
    <xf numFmtId="3" fontId="0" fillId="0" borderId="0" xfId="0" applyNumberFormat="1" applyFont="1" applyFill="1" applyAlignment="1">
      <alignment/>
    </xf>
    <xf numFmtId="0" fontId="0" fillId="35" borderId="12" xfId="0" applyFont="1" applyFill="1" applyBorder="1" applyAlignment="1">
      <alignment/>
    </xf>
    <xf numFmtId="0" fontId="0" fillId="35" borderId="13" xfId="0" applyFont="1" applyFill="1" applyBorder="1" applyAlignment="1">
      <alignment/>
    </xf>
    <xf numFmtId="3" fontId="0" fillId="35" borderId="13" xfId="0" applyNumberFormat="1" applyFont="1" applyFill="1" applyBorder="1" applyAlignment="1">
      <alignment/>
    </xf>
    <xf numFmtId="4" fontId="5" fillId="35" borderId="14" xfId="0" applyNumberFormat="1" applyFont="1" applyFill="1" applyBorder="1" applyAlignment="1">
      <alignment/>
    </xf>
    <xf numFmtId="173" fontId="87" fillId="10" borderId="10" xfId="0" applyNumberFormat="1" applyFont="1" applyFill="1" applyBorder="1" applyAlignment="1" applyProtection="1">
      <alignment/>
      <protection locked="0"/>
    </xf>
    <xf numFmtId="0" fontId="88" fillId="0" borderId="0" xfId="0" applyFont="1" applyFill="1" applyAlignment="1">
      <alignment/>
    </xf>
    <xf numFmtId="4" fontId="89" fillId="0" borderId="0" xfId="0" applyNumberFormat="1" applyFont="1" applyAlignment="1">
      <alignment/>
    </xf>
    <xf numFmtId="0" fontId="89" fillId="0" borderId="0" xfId="0" applyFont="1" applyAlignment="1">
      <alignment/>
    </xf>
    <xf numFmtId="3" fontId="90" fillId="0" borderId="0" xfId="0" applyNumberFormat="1" applyFont="1" applyFill="1" applyAlignment="1">
      <alignment/>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3" fillId="36" borderId="12"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3" fillId="34" borderId="21" xfId="0" applyFont="1" applyFill="1" applyBorder="1" applyAlignment="1">
      <alignment horizontal="center"/>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cellXfs>
  <cellStyles count="5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Otsikko" xfId="49"/>
    <cellStyle name="Otsikko 1" xfId="50"/>
    <cellStyle name="Otsikko 2" xfId="51"/>
    <cellStyle name="Otsikko 3" xfId="52"/>
    <cellStyle name="Otsikko 4" xfId="53"/>
    <cellStyle name="Comma" xfId="54"/>
    <cellStyle name="Comma [0]" xfId="55"/>
    <cellStyle name="Percent" xfId="56"/>
    <cellStyle name="Selittävä teksti" xfId="57"/>
    <cellStyle name="Summa" xfId="58"/>
    <cellStyle name="Syöttö" xfId="59"/>
    <cellStyle name="Tarkistussolu" xfId="60"/>
    <cellStyle name="Tulostus" xfId="61"/>
    <cellStyle name="Currency" xfId="62"/>
    <cellStyle name="Currency [0]" xfId="63"/>
    <cellStyle name="Varoitusteksti"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11</xdr:col>
      <xdr:colOff>123825</xdr:colOff>
      <xdr:row>105</xdr:row>
      <xdr:rowOff>85725</xdr:rowOff>
    </xdr:to>
    <xdr:sp>
      <xdr:nvSpPr>
        <xdr:cNvPr id="1" name="Tekstiruutu 2"/>
        <xdr:cNvSpPr txBox="1">
          <a:spLocks noChangeArrowheads="1"/>
        </xdr:cNvSpPr>
      </xdr:nvSpPr>
      <xdr:spPr>
        <a:xfrm>
          <a:off x="38100" y="9525"/>
          <a:ext cx="7181850" cy="17078325"/>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KUNTALIITON</a:t>
          </a:r>
          <a:r>
            <a:rPr lang="en-US" cap="none" sz="1400" b="1" i="0" u="sng" baseline="0">
              <a:solidFill>
                <a:srgbClr val="000000"/>
              </a:solidFill>
              <a:latin typeface="Calibri"/>
              <a:ea typeface="Calibri"/>
              <a:cs typeface="Calibri"/>
            </a:rPr>
            <a:t> V</a:t>
          </a:r>
          <a:r>
            <a:rPr lang="en-US" cap="none" sz="1400" b="1" i="0" u="sng" baseline="0">
              <a:solidFill>
                <a:srgbClr val="000000"/>
              </a:solidFill>
              <a:latin typeface="Calibri"/>
              <a:ea typeface="Calibri"/>
              <a:cs typeface="Calibri"/>
            </a:rPr>
            <a:t>ALTIONOSUUSLASKURIN KÄYTTÖOHJEET</a:t>
          </a:r>
          <a:r>
            <a:rPr lang="en-US" cap="none" sz="14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päivitetty 9.11.2015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Valtionosuuslaskurin avulla  voidaan laskea kunnan valtionosuusrahoituksen määrä.
</a:t>
          </a:r>
          <a:r>
            <a:rPr lang="en-US" cap="none" sz="1200" b="0" i="0" u="none" baseline="0">
              <a:solidFill>
                <a:srgbClr val="000000"/>
              </a:solidFill>
              <a:latin typeface="Calibri"/>
              <a:ea typeface="Calibri"/>
              <a:cs typeface="Calibri"/>
            </a:rPr>
            <a:t>
</a:t>
          </a:r>
          <a:r>
            <a:rPr lang="en-US" cap="none" sz="1200" b="0" i="0" u="none" baseline="0">
              <a:solidFill>
                <a:srgbClr val="FF0000"/>
              </a:solidFill>
              <a:latin typeface="Calibri"/>
              <a:ea typeface="Calibri"/>
              <a:cs typeface="Calibri"/>
            </a:rPr>
            <a:t>HUOM! Laskuri on tehty toistaiseksi vuoden 2015 kuntajaolle.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Valtionosuuslaskurilla</a:t>
          </a:r>
          <a:r>
            <a:rPr lang="en-US" cap="none" sz="1200" b="1" i="0" u="none" baseline="0">
              <a:solidFill>
                <a:srgbClr val="000000"/>
              </a:solidFill>
              <a:latin typeface="Calibri"/>
              <a:ea typeface="Calibri"/>
              <a:cs typeface="Calibri"/>
            </a:rPr>
            <a:t> on monta käyttötarkoitusta</a:t>
          </a:r>
          <a:r>
            <a:rPr lang="en-US" cap="none" sz="1200" b="1"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a:t>
          </a:r>
          <a:r>
            <a:rPr lang="en-US" cap="none" sz="1200" b="0" i="0" u="none" baseline="0">
              <a:solidFill>
                <a:srgbClr val="000000"/>
              </a:solidFill>
              <a:latin typeface="Calibri"/>
              <a:ea typeface="Calibri"/>
              <a:cs typeface="Calibri"/>
            </a:rPr>
            <a:t> on hyvä apu talousarvion valmistelussa. Laskurin avulla valtionosuusjärjestelmän kokonaisuuden hahmottaminen helpottuu: täyttäessään laskuria käyttäjä etenee laskennassa automaattisesti osa-alueittain käyden läpi koko kunnan valtionosuusrahoituksen kokonaisuuden.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 on käytännöllinen väline  myös vuosien välisten vertailujen tekoon. Laskuria voidaan käyttää skenaariolaskelmiin  ja sen avulla voidaan tarkastella esimerkiksi miten tiettyjen olosuhteiden tai asukasmäärien muutokset vaikuttaisivat kunnan saaman valtionosuuden määrään. Mielenkiintoisia kysymyksiä ovat esimerkiksi muuttoliikkeen aiheuttamasta väestökehityksestä johtuvien ikärakennemuutosten vaikutus valtionosuusrahoitukseen sekä se, miten muutos työllisyydessä tai sairastavuudessa vaikuttaa kunnan saaman valtionosuusrahoituksen määrään.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Laskurin värikoodaus auttaa havainnollistamaan valtionosuusjärjestelmän kokonaisuuden
</a:t>
          </a: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valtionosuusrahoitus </a:t>
          </a:r>
          <a:r>
            <a:rPr lang="en-US" cap="none" sz="1200" b="0" i="0" u="none" baseline="0">
              <a:solidFill>
                <a:srgbClr val="000000"/>
              </a:solidFill>
              <a:latin typeface="Calibri"/>
              <a:ea typeface="Calibri"/>
              <a:cs typeface="Calibri"/>
            </a:rPr>
            <a:t>muodostuu kahdesta osasta: </a:t>
          </a:r>
          <a:r>
            <a:rPr lang="en-US" cap="none" sz="1200" b="1" i="0" u="none" baseline="0">
              <a:solidFill>
                <a:srgbClr val="008000"/>
              </a:solidFill>
              <a:latin typeface="Calibri"/>
              <a:ea typeface="Calibri"/>
              <a:cs typeface="Calibri"/>
            </a:rPr>
            <a:t>kunnan peruspalvelujen valtionosuudesta </a:t>
          </a:r>
          <a:r>
            <a:rPr lang="en-US" cap="none" sz="1200" b="0" i="0" u="none" baseline="0">
              <a:solidFill>
                <a:srgbClr val="000000"/>
              </a:solidFill>
              <a:latin typeface="Calibri"/>
              <a:ea typeface="Calibri"/>
              <a:cs typeface="Calibri"/>
            </a:rPr>
            <a:t>ja </a:t>
          </a:r>
          <a:r>
            <a:rPr lang="en-US" cap="none" sz="1200" b="1" i="0" u="none" baseline="0">
              <a:solidFill>
                <a:srgbClr val="0066CC"/>
              </a:solidFill>
              <a:latin typeface="Calibri"/>
              <a:ea typeface="Calibri"/>
              <a:cs typeface="Calibri"/>
            </a:rPr>
            <a:t>opetus- ja kulttuuritoimen rahoituksesta </a:t>
          </a:r>
          <a:r>
            <a:rPr lang="en-US" cap="none" sz="1200" b="0" i="0" u="none" baseline="0">
              <a:solidFill>
                <a:srgbClr val="000000"/>
              </a:solidFill>
              <a:latin typeface="Calibri"/>
              <a:ea typeface="Calibri"/>
              <a:cs typeface="Calibri"/>
            </a:rPr>
            <a:t>annetun lain mukaisesta valtionosuusrahoituksesta.  </a:t>
          </a:r>
          <a:r>
            <a:rPr lang="en-US" cap="none" sz="1200" b="0" i="0" u="none" baseline="0">
              <a:solidFill>
                <a:srgbClr val="000000"/>
              </a:solidFill>
              <a:latin typeface="Calibri"/>
              <a:ea typeface="Calibri"/>
              <a:cs typeface="Calibri"/>
            </a:rPr>
            <a:t>Kumpikin valtionosuusrahoituksen osa tulee ottaa huomioon</a:t>
          </a:r>
          <a:r>
            <a:rPr lang="en-US" cap="none" sz="1200" b="0" i="0" u="none" baseline="0">
              <a:solidFill>
                <a:srgbClr val="000000"/>
              </a:solidFill>
              <a:latin typeface="Calibri"/>
              <a:ea typeface="Calibri"/>
              <a:cs typeface="Calibri"/>
            </a:rPr>
            <a:t> kunnan valtionosuusrahoituksen kokonaisuutta arvioitaessa.</a:t>
          </a:r>
          <a:r>
            <a:rPr lang="en-US" cap="none" sz="1200" b="0" i="0" u="none" baseline="0">
              <a:solidFill>
                <a:srgbClr val="000000"/>
              </a:solidFill>
              <a:latin typeface="Calibri"/>
              <a:ea typeface="Calibri"/>
              <a:cs typeface="Calibri"/>
            </a:rPr>
            <a:t> Valtionosuusrahoituksen maksatus tapahtuu keskitetysti kuukauden 11. päivään mennessä.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Valtionosuuden perusteena olevat laskennalliset kustannukset ja muut valtionosuusrahoituksen osatekijät on eroteltu valtionosuuslaskurissa omiksi taulukoikseen. 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Opetus- ja kulttuuritoimen valtionosuuteen liittyvät taulukot on merkitty </a:t>
          </a:r>
          <a:r>
            <a:rPr lang="en-US" cap="none" sz="1200" b="1" i="0" u="none" baseline="0">
              <a:solidFill>
                <a:srgbClr val="0066CC"/>
              </a:solidFill>
              <a:latin typeface="Calibri"/>
              <a:ea typeface="Calibri"/>
              <a:cs typeface="Calibri"/>
            </a:rPr>
            <a:t>sinisin</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taulukonvalitsimin.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merkittyyn Yhteenveto-taulukkoon, joka kertoo kunnan valtionosuusrahoituksen yhteismäärän.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 koostuu kymmenestä erillisestä taulukosta
</a:t>
          </a:r>
          <a:r>
            <a:rPr lang="en-US" cap="none" sz="5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 Täyttöohjeet
</a:t>
          </a:r>
          <a:r>
            <a:rPr lang="en-US" cap="none" sz="1200" b="1" i="0" u="none" baseline="0">
              <a:solidFill>
                <a:srgbClr val="FF0000"/>
              </a:solidFill>
              <a:latin typeface="Calibri"/>
              <a:ea typeface="Calibri"/>
              <a:cs typeface="Calibri"/>
            </a:rPr>
            <a:t>2. Yhteenveto
</a:t>
          </a:r>
          <a:r>
            <a:rPr lang="en-US" cap="none" sz="1200" b="1" i="0" u="none" baseline="0">
              <a:solidFill>
                <a:srgbClr val="008000"/>
              </a:solidFill>
              <a:latin typeface="Calibri"/>
              <a:ea typeface="Calibri"/>
              <a:cs typeface="Calibri"/>
            </a:rPr>
            <a:t>3. Ikärakenne
</a:t>
          </a:r>
          <a:r>
            <a:rPr lang="en-US" cap="none" sz="1200" b="1" i="0" u="none" baseline="0">
              <a:solidFill>
                <a:srgbClr val="008000"/>
              </a:solidFill>
              <a:latin typeface="Calibri"/>
              <a:ea typeface="Calibri"/>
              <a:cs typeface="Calibri"/>
            </a:rPr>
            <a:t>4. Muut laskennalliset korotukset
</a:t>
          </a:r>
          <a:r>
            <a:rPr lang="en-US" cap="none" sz="1200" b="1" i="0" u="none" baseline="0">
              <a:solidFill>
                <a:srgbClr val="008000"/>
              </a:solidFill>
              <a:latin typeface="Calibri"/>
              <a:ea typeface="Calibri"/>
              <a:cs typeface="Calibri"/>
            </a:rPr>
            <a:t>5. Lisäosat
</a:t>
          </a:r>
          <a:r>
            <a:rPr lang="en-US" cap="none" sz="1200" b="1" i="0" u="none" baseline="0">
              <a:solidFill>
                <a:srgbClr val="008000"/>
              </a:solidFill>
              <a:latin typeface="Calibri"/>
              <a:ea typeface="Calibri"/>
              <a:cs typeface="Calibri"/>
            </a:rPr>
            <a:t>6. Vähennykset ja lisäykset
</a:t>
          </a:r>
          <a:r>
            <a:rPr lang="en-US" cap="none" sz="1200" b="1" i="0" u="none" baseline="0">
              <a:solidFill>
                <a:srgbClr val="008000"/>
              </a:solidFill>
              <a:latin typeface="Calibri"/>
              <a:ea typeface="Calibri"/>
              <a:cs typeface="Calibri"/>
            </a:rPr>
            <a:t>7. Järjestelmämuutoksen tasaus 2015
</a:t>
          </a:r>
          <a:r>
            <a:rPr lang="en-US" cap="none" sz="1200" b="1" i="0" u="none" baseline="0">
              <a:solidFill>
                <a:srgbClr val="008000"/>
              </a:solidFill>
              <a:latin typeface="Calibri"/>
              <a:ea typeface="Calibri"/>
              <a:cs typeface="Calibri"/>
            </a:rPr>
            <a:t>8. Kotikuntakorvaukset
</a:t>
          </a:r>
          <a:r>
            <a:rPr lang="en-US" cap="none" sz="1200" b="1" i="0" u="none" baseline="0">
              <a:solidFill>
                <a:srgbClr val="0066CC"/>
              </a:solidFill>
              <a:latin typeface="Calibri"/>
              <a:ea typeface="Calibri"/>
              <a:cs typeface="Calibri"/>
            </a:rPr>
            <a:t>9. Opetus ja kulttuurin, muu vos </a:t>
          </a:r>
          <a:r>
            <a:rPr lang="en-US" cap="none" sz="1200" b="1" i="1" u="none" baseline="0">
              <a:solidFill>
                <a:srgbClr val="0066CC"/>
              </a:solidFill>
              <a:latin typeface="Calibri"/>
              <a:ea typeface="Calibri"/>
              <a:cs typeface="Calibri"/>
            </a:rPr>
            <a:t>
</a:t>
          </a:r>
          <a:r>
            <a:rPr lang="en-US" cap="none" sz="1200" b="1" i="0" u="none" baseline="0">
              <a:solidFill>
                <a:srgbClr val="0066CC"/>
              </a:solidFill>
              <a:latin typeface="Calibri"/>
              <a:ea typeface="Calibri"/>
              <a:cs typeface="Calibri"/>
            </a:rPr>
            <a:t>10. Lukiokoulutus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Syöttämällä ja/tai tarkistamalla kunkin em. kymmenen taulukon värillisiin soluihin vaadittavat valtionosuuden perusteena olevat </a:t>
          </a:r>
          <a:r>
            <a:rPr lang="en-US" cap="none" sz="1200" b="0" i="0" u="none" baseline="0">
              <a:solidFill>
                <a:srgbClr val="000000"/>
              </a:solidFill>
              <a:latin typeface="Calibri"/>
              <a:ea typeface="Calibri"/>
              <a:cs typeface="Calibri"/>
            </a:rPr>
            <a:t>kunnan </a:t>
          </a:r>
          <a:r>
            <a:rPr lang="en-US" cap="none" sz="1200" b="0" i="0" u="none" baseline="0">
              <a:solidFill>
                <a:srgbClr val="000000"/>
              </a:solidFill>
              <a:latin typeface="Calibri"/>
              <a:ea typeface="Calibri"/>
              <a:cs typeface="Calibri"/>
            </a:rPr>
            <a:t>tiedot </a:t>
          </a:r>
          <a:r>
            <a:rPr lang="en-US" cap="none" sz="1200" b="0" i="0" u="none" baseline="0">
              <a:solidFill>
                <a:srgbClr val="000000"/>
              </a:solidFill>
              <a:latin typeface="Calibri"/>
              <a:ea typeface="Calibri"/>
              <a:cs typeface="Calibri"/>
            </a:rPr>
            <a:t>laskuri laskee kunnalle myönnettävän valtionosuuden määrän. Työkirjan taulukoita voidaan käyttää myös erillisinä esimerkiksi ikärakenteen tai sairastavuuden perusteella määräytyvien laskennallisten kustannusten tai lukion yksikköhinnan laskemiseen.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Yhteenveto
</a:t>
          </a:r>
          <a:r>
            <a:rPr lang="en-US" cap="none" sz="1200" b="0" i="0" u="none" baseline="0">
              <a:solidFill>
                <a:srgbClr val="000000"/>
              </a:solidFill>
              <a:latin typeface="Calibri"/>
              <a:ea typeface="Calibri"/>
              <a:cs typeface="Calibri"/>
            </a:rPr>
            <a:t>Yhteenveto-taulukko on merkitty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Yhteenveto-taulukon keltaisiin soluihin.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peruspalvelujen valtionosuus 
</a:t>
          </a:r>
          <a:r>
            <a:rPr lang="en-US" cap="none" sz="1200" b="0" i="0" u="none" baseline="0">
              <a:solidFill>
                <a:srgbClr val="000000"/>
              </a:solidFill>
              <a:latin typeface="Calibri"/>
              <a:ea typeface="Calibri"/>
              <a:cs typeface="Calibri"/>
            </a:rPr>
            <a:t>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Laskuri laskee ikärakenteen, sairastavuuden ja muiden tekijöiden perusteella määräytyvät</a:t>
          </a:r>
          <a:r>
            <a:rPr lang="en-US" cap="none" sz="1200" b="0" i="0" u="none" baseline="0">
              <a:solidFill>
                <a:srgbClr val="000000"/>
              </a:solidFill>
              <a:latin typeface="Calibri"/>
              <a:ea typeface="Calibri"/>
              <a:cs typeface="Calibri"/>
            </a:rPr>
            <a:t> laskennalliset kustannukset sekä lisäosat ja valtionosuuteen tehtävät vähennykset ja lisäykset , kun tarvittavat tiedot täytetään kunkin taulukon keltaisiin soluihin.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Kotikuntakorvausten laskentaa varten ao. taulukkoon täytetään kotikuntakorvauskyselyssä 31.12.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Opetus- ja kulttuuritoimen valtionosuus </a:t>
          </a:r>
          <a:r>
            <a:rPr lang="en-US" cap="none" sz="1200" b="1"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Osa valtionosuusrahoituksesta myönnetään opetus- ja kulttuuritoimen rahoituksesta annettuun lakiin (1705/2009)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en-US" cap="none" sz="1200" b="1" i="0" u="none" baseline="0">
              <a:solidFill>
                <a:srgbClr val="0066CC"/>
              </a:solidFill>
              <a:latin typeface="Calibri"/>
              <a:ea typeface="Calibri"/>
              <a:cs typeface="Calibri"/>
            </a:rPr>
            <a:t>sinisellä </a:t>
          </a:r>
          <a:r>
            <a:rPr lang="en-US" cap="none" sz="1200" b="0" i="0" u="none" baseline="0">
              <a:solidFill>
                <a:srgbClr val="000000"/>
              </a:solidFill>
              <a:latin typeface="Calibri"/>
              <a:ea typeface="Calibri"/>
              <a:cs typeface="Calibri"/>
            </a:rPr>
            <a:t>taulukonvalitsimella. Opetus- ja kulttuuriministeriön erikseen päättämät avustukset ja lisät eivät sisälly laskuriin. Näitä ovat esimerkiksi maakunta- ja keskuskirjastolisät ja erillisavustukset.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8</xdr:row>
      <xdr:rowOff>142875</xdr:rowOff>
    </xdr:from>
    <xdr:ext cx="5981700" cy="1695450"/>
    <xdr:sp>
      <xdr:nvSpPr>
        <xdr:cNvPr id="1" name="Tekstiruutu 1"/>
        <xdr:cNvSpPr txBox="1">
          <a:spLocks noChangeArrowheads="1"/>
        </xdr:cNvSpPr>
      </xdr:nvSpPr>
      <xdr:spPr>
        <a:xfrm>
          <a:off x="66675" y="1476375"/>
          <a:ext cx="5981700" cy="1695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Peruspalvelujen valtionosuusjärjestelmän uudistukseen kuuluu viiden vuoden siirtymäkausi 2015-2019, jonka aikana valtionosuusjärjestelmän uudistuksesta aiheutuvaa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valtionosuuden muutosta tasataan.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Vuonna 2016 muutos voi olla enintään +/- 100 euroa asukasta kohti.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Esimerkiksi kunnalta, joka vuoden 2014</a:t>
          </a:r>
          <a:r>
            <a:rPr lang="en-US" cap="none" sz="1100" b="0" i="0" u="none" baseline="0">
              <a:solidFill>
                <a:srgbClr val="000000"/>
              </a:solidFill>
              <a:latin typeface="Calibri"/>
              <a:ea typeface="Calibri"/>
              <a:cs typeface="Calibri"/>
            </a:rPr>
            <a:t> tasolla tehtyjen siirtymätasaus</a:t>
          </a:r>
          <a:r>
            <a:rPr lang="en-US" cap="none" sz="1100" b="0" i="0" u="none" baseline="0">
              <a:solidFill>
                <a:srgbClr val="000000"/>
              </a:solidFill>
              <a:latin typeface="Calibri"/>
              <a:ea typeface="Calibri"/>
              <a:cs typeface="Calibri"/>
            </a:rPr>
            <a:t>laskelmien mukaan hyötyy 150 euroa asukasta kohden, valtionosuutta vähennetään 50 euroa asukasta kohti, jotta siirtymärajauksen</a:t>
          </a:r>
          <a:r>
            <a:rPr lang="en-US" cap="none" sz="1100" b="0" i="0" u="none" baseline="0">
              <a:solidFill>
                <a:srgbClr val="000000"/>
              </a:solidFill>
              <a:latin typeface="Calibri"/>
              <a:ea typeface="Calibri"/>
              <a:cs typeface="Calibri"/>
            </a:rPr>
            <a:t> mukainen </a:t>
          </a:r>
          <a:r>
            <a:rPr lang="en-US" cap="none" sz="1100" b="0" i="0" u="none" baseline="0">
              <a:solidFill>
                <a:srgbClr val="000000"/>
              </a:solidFill>
              <a:latin typeface="Calibri"/>
              <a:ea typeface="Calibri"/>
              <a:cs typeface="Calibri"/>
            </a:rPr>
            <a:t>enintään + 100 euroa asukasta kohti toteutuu.</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H304"/>
  <sheetViews>
    <sheetView zoomScalePageLayoutView="0" workbookViewId="0" topLeftCell="A1">
      <selection activeCell="CD2" sqref="CD2:CD302"/>
    </sheetView>
  </sheetViews>
  <sheetFormatPr defaultColWidth="6.00390625" defaultRowHeight="12.75"/>
  <cols>
    <col min="1" max="1" width="7.00390625" style="198" bestFit="1" customWidth="1"/>
    <col min="2" max="2" width="13.421875" style="198" bestFit="1" customWidth="1"/>
    <col min="3" max="3" width="7.8515625" style="198" bestFit="1" customWidth="1"/>
    <col min="4" max="4" width="11.7109375" style="198" bestFit="1" customWidth="1"/>
    <col min="5" max="6" width="10.8515625" style="198" bestFit="1" customWidth="1"/>
    <col min="7" max="7" width="11.7109375" style="198" bestFit="1" customWidth="1"/>
    <col min="8" max="8" width="7.8515625" style="198" bestFit="1" customWidth="1"/>
    <col min="9" max="9" width="11.7109375" style="198" bestFit="1" customWidth="1"/>
    <col min="10" max="10" width="10.8515625" style="198" bestFit="1" customWidth="1"/>
    <col min="11" max="11" width="10.57421875" style="198" bestFit="1" customWidth="1"/>
    <col min="12" max="13" width="11.140625" style="198" bestFit="1" customWidth="1"/>
    <col min="14" max="14" width="10.8515625" style="198" bestFit="1" customWidth="1"/>
    <col min="15" max="16" width="11.140625" style="198" bestFit="1" customWidth="1"/>
    <col min="17" max="29" width="7.8515625" style="198" bestFit="1" customWidth="1"/>
    <col min="30" max="30" width="8.00390625" style="198" bestFit="1" customWidth="1"/>
    <col min="31" max="31" width="10.57421875" style="198" bestFit="1" customWidth="1"/>
    <col min="32" max="32" width="7.8515625" style="198" bestFit="1" customWidth="1"/>
    <col min="33" max="36" width="7.7109375" style="198" customWidth="1"/>
    <col min="37" max="38" width="7.8515625" style="198" bestFit="1" customWidth="1"/>
    <col min="39" max="39" width="10.57421875" style="198" bestFit="1" customWidth="1"/>
    <col min="40" max="40" width="7.8515625" style="198" bestFit="1" customWidth="1"/>
    <col min="41" max="42" width="10.57421875" style="198" bestFit="1" customWidth="1"/>
    <col min="43" max="45" width="7.8515625" style="198" bestFit="1" customWidth="1"/>
    <col min="46" max="47" width="8.140625" style="198" bestFit="1" customWidth="1"/>
    <col min="48" max="49" width="10.57421875" style="198" bestFit="1" customWidth="1"/>
    <col min="50" max="51" width="8.140625" style="198" bestFit="1" customWidth="1"/>
    <col min="52" max="54" width="10.57421875" style="198" bestFit="1" customWidth="1"/>
    <col min="55" max="56" width="7.8515625" style="198" bestFit="1" customWidth="1"/>
    <col min="57" max="58" width="10.57421875" style="198" bestFit="1" customWidth="1"/>
    <col min="59" max="60" width="7.8515625" style="198" bestFit="1" customWidth="1"/>
    <col min="61" max="64" width="9.421875" style="198" bestFit="1" customWidth="1"/>
    <col min="65" max="65" width="10.28125" style="198" bestFit="1" customWidth="1"/>
    <col min="66" max="66" width="8.57421875" style="198" bestFit="1" customWidth="1"/>
    <col min="67" max="67" width="7.8515625" style="198" bestFit="1" customWidth="1"/>
    <col min="68" max="68" width="11.140625" style="198" bestFit="1" customWidth="1"/>
    <col min="69" max="70" width="8.00390625" style="198" bestFit="1" customWidth="1"/>
    <col min="71" max="71" width="10.57421875" style="198" bestFit="1" customWidth="1"/>
    <col min="72" max="74" width="11.140625" style="198" bestFit="1" customWidth="1"/>
    <col min="75" max="75" width="11.140625" style="198" customWidth="1"/>
    <col min="76" max="76" width="8.00390625" style="198" bestFit="1" customWidth="1"/>
    <col min="77" max="79" width="11.140625" style="198" bestFit="1" customWidth="1"/>
    <col min="80" max="80" width="9.28125" style="198" customWidth="1"/>
    <col min="81" max="81" width="10.7109375" style="198" customWidth="1"/>
    <col min="82" max="82" width="8.57421875" style="198" bestFit="1" customWidth="1"/>
    <col min="83" max="83" width="8.57421875" style="198" customWidth="1"/>
    <col min="84" max="84" width="8.8515625" style="198" customWidth="1"/>
    <col min="85" max="85" width="6.00390625" style="198" customWidth="1"/>
    <col min="86" max="86" width="9.8515625" style="198" bestFit="1" customWidth="1"/>
    <col min="87" max="16384" width="6.00390625" style="198" customWidth="1"/>
  </cols>
  <sheetData>
    <row r="1" spans="1:86" ht="11.25">
      <c r="A1" s="198" t="s">
        <v>526</v>
      </c>
      <c r="B1" s="198" t="s">
        <v>527</v>
      </c>
      <c r="C1" s="198" t="s">
        <v>454</v>
      </c>
      <c r="D1" s="198" t="s">
        <v>455</v>
      </c>
      <c r="E1" s="198" t="s">
        <v>456</v>
      </c>
      <c r="F1" s="198" t="s">
        <v>457</v>
      </c>
      <c r="G1" s="198" t="s">
        <v>458</v>
      </c>
      <c r="H1" s="198" t="s">
        <v>459</v>
      </c>
      <c r="I1" s="198" t="s">
        <v>460</v>
      </c>
      <c r="J1" s="198" t="s">
        <v>461</v>
      </c>
      <c r="K1" s="198" t="s">
        <v>462</v>
      </c>
      <c r="L1" s="198" t="s">
        <v>463</v>
      </c>
      <c r="M1" s="198" t="s">
        <v>464</v>
      </c>
      <c r="N1" s="198" t="s">
        <v>465</v>
      </c>
      <c r="O1" s="198" t="s">
        <v>466</v>
      </c>
      <c r="P1" s="198" t="s">
        <v>467</v>
      </c>
      <c r="Q1" s="198" t="s">
        <v>468</v>
      </c>
      <c r="R1" s="198" t="s">
        <v>469</v>
      </c>
      <c r="S1" s="198" t="s">
        <v>470</v>
      </c>
      <c r="T1" s="198" t="s">
        <v>471</v>
      </c>
      <c r="U1" s="198" t="s">
        <v>472</v>
      </c>
      <c r="V1" s="198" t="s">
        <v>473</v>
      </c>
      <c r="W1" s="198" t="s">
        <v>474</v>
      </c>
      <c r="X1" s="198" t="s">
        <v>475</v>
      </c>
      <c r="Y1" s="198" t="s">
        <v>476</v>
      </c>
      <c r="Z1" s="198" t="s">
        <v>477</v>
      </c>
      <c r="AA1" s="198" t="s">
        <v>478</v>
      </c>
      <c r="AB1" s="198" t="s">
        <v>479</v>
      </c>
      <c r="AC1" s="198" t="s">
        <v>480</v>
      </c>
      <c r="AD1" s="198" t="s">
        <v>481</v>
      </c>
      <c r="AE1" s="198" t="s">
        <v>482</v>
      </c>
      <c r="AF1" s="198" t="s">
        <v>483</v>
      </c>
      <c r="AG1" s="198" t="s">
        <v>532</v>
      </c>
      <c r="AH1" s="198" t="s">
        <v>606</v>
      </c>
      <c r="AI1" s="198" t="s">
        <v>607</v>
      </c>
      <c r="AJ1" s="198" t="s">
        <v>608</v>
      </c>
      <c r="AK1" s="198" t="s">
        <v>484</v>
      </c>
      <c r="AL1" s="198" t="s">
        <v>485</v>
      </c>
      <c r="AM1" s="198" t="s">
        <v>486</v>
      </c>
      <c r="AN1" s="198" t="s">
        <v>487</v>
      </c>
      <c r="AO1" s="198" t="s">
        <v>488</v>
      </c>
      <c r="AP1" s="198" t="s">
        <v>489</v>
      </c>
      <c r="AQ1" s="198" t="s">
        <v>490</v>
      </c>
      <c r="AR1" s="198" t="s">
        <v>491</v>
      </c>
      <c r="AS1" s="198" t="s">
        <v>492</v>
      </c>
      <c r="AT1" s="198" t="s">
        <v>493</v>
      </c>
      <c r="AU1" s="198" t="s">
        <v>494</v>
      </c>
      <c r="AV1" s="198" t="s">
        <v>495</v>
      </c>
      <c r="AW1" s="198" t="s">
        <v>496</v>
      </c>
      <c r="AX1" s="198" t="s">
        <v>497</v>
      </c>
      <c r="AY1" s="198" t="s">
        <v>498</v>
      </c>
      <c r="AZ1" s="198" t="s">
        <v>499</v>
      </c>
      <c r="BA1" s="198" t="s">
        <v>500</v>
      </c>
      <c r="BB1" s="198" t="s">
        <v>501</v>
      </c>
      <c r="BC1" s="198" t="s">
        <v>502</v>
      </c>
      <c r="BD1" s="198" t="s">
        <v>503</v>
      </c>
      <c r="BE1" s="198" t="s">
        <v>504</v>
      </c>
      <c r="BF1" s="198" t="s">
        <v>505</v>
      </c>
      <c r="BG1" s="198" t="s">
        <v>506</v>
      </c>
      <c r="BH1" s="198" t="s">
        <v>507</v>
      </c>
      <c r="BI1" s="198" t="s">
        <v>509</v>
      </c>
      <c r="BJ1" s="198" t="s">
        <v>510</v>
      </c>
      <c r="BK1" s="198" t="s">
        <v>511</v>
      </c>
      <c r="BL1" s="198" t="s">
        <v>512</v>
      </c>
      <c r="BM1" s="198" t="s">
        <v>513</v>
      </c>
      <c r="BN1" s="198" t="s">
        <v>514</v>
      </c>
      <c r="BO1" s="198" t="s">
        <v>515</v>
      </c>
      <c r="BP1" s="198" t="s">
        <v>516</v>
      </c>
      <c r="BQ1" s="198" t="s">
        <v>517</v>
      </c>
      <c r="BR1" s="198" t="s">
        <v>518</v>
      </c>
      <c r="BS1" s="198" t="s">
        <v>519</v>
      </c>
      <c r="BT1" s="198" t="s">
        <v>520</v>
      </c>
      <c r="BU1" s="198" t="s">
        <v>521</v>
      </c>
      <c r="BV1" s="198" t="s">
        <v>522</v>
      </c>
      <c r="BW1" s="198" t="s">
        <v>637</v>
      </c>
      <c r="BX1" s="198" t="s">
        <v>523</v>
      </c>
      <c r="BY1" s="198" t="s">
        <v>524</v>
      </c>
      <c r="BZ1" s="198" t="s">
        <v>533</v>
      </c>
      <c r="CA1" s="198" t="s">
        <v>534</v>
      </c>
      <c r="CB1" s="198" t="s">
        <v>508</v>
      </c>
      <c r="CC1" s="198" t="s">
        <v>525</v>
      </c>
      <c r="CD1" s="198" t="s">
        <v>601</v>
      </c>
      <c r="CE1" s="198" t="s">
        <v>616</v>
      </c>
      <c r="CF1" s="198" t="s">
        <v>617</v>
      </c>
      <c r="CH1" s="198" t="s">
        <v>610</v>
      </c>
    </row>
    <row r="2" spans="1:86" ht="11.25">
      <c r="A2" s="198">
        <v>20</v>
      </c>
      <c r="B2" s="198" t="s">
        <v>78</v>
      </c>
      <c r="C2" s="198">
        <v>17052</v>
      </c>
      <c r="D2" s="198">
        <v>62761704.28</v>
      </c>
      <c r="E2" s="198">
        <v>18013891.962908927</v>
      </c>
      <c r="F2" s="198">
        <v>2946873.7122910963</v>
      </c>
      <c r="G2" s="198">
        <v>83722469.95520002</v>
      </c>
      <c r="H2" s="198">
        <v>3642.26</v>
      </c>
      <c r="I2" s="198">
        <v>62107817.52</v>
      </c>
      <c r="J2" s="198">
        <v>21614652.435200013</v>
      </c>
      <c r="K2" s="198">
        <v>285012.65206906083</v>
      </c>
      <c r="L2" s="198">
        <v>3933156.1811428075</v>
      </c>
      <c r="M2" s="198">
        <v>0</v>
      </c>
      <c r="N2" s="198">
        <v>25832821.268411882</v>
      </c>
      <c r="O2" s="198">
        <v>8208239.50704762</v>
      </c>
      <c r="P2" s="198">
        <v>34041060.7754595</v>
      </c>
      <c r="Q2" s="198">
        <v>1213</v>
      </c>
      <c r="R2" s="198">
        <v>213</v>
      </c>
      <c r="S2" s="198">
        <v>1346</v>
      </c>
      <c r="T2" s="198">
        <v>609</v>
      </c>
      <c r="U2" s="198">
        <v>597</v>
      </c>
      <c r="V2" s="198">
        <v>9596</v>
      </c>
      <c r="W2" s="198">
        <v>1944</v>
      </c>
      <c r="X2" s="198">
        <v>1063</v>
      </c>
      <c r="Y2" s="198">
        <v>471</v>
      </c>
      <c r="Z2" s="198">
        <v>16703</v>
      </c>
      <c r="AA2" s="198">
        <v>34</v>
      </c>
      <c r="AB2" s="198">
        <v>0</v>
      </c>
      <c r="AC2" s="198">
        <v>315</v>
      </c>
      <c r="AD2" s="198">
        <v>293.14</v>
      </c>
      <c r="AE2" s="198">
        <v>58.17015760387528</v>
      </c>
      <c r="AF2" s="198">
        <v>3478</v>
      </c>
      <c r="AG2" s="198">
        <v>18013891.962908927</v>
      </c>
      <c r="AH2" s="198">
        <v>11085550.40210618</v>
      </c>
      <c r="AI2" s="198">
        <v>4765820.562548531</v>
      </c>
      <c r="AJ2" s="198">
        <v>2162520.9982542167</v>
      </c>
      <c r="AK2" s="198">
        <v>1108</v>
      </c>
      <c r="AL2" s="198">
        <v>8166</v>
      </c>
      <c r="AM2" s="198">
        <v>1.088450482608593</v>
      </c>
      <c r="AN2" s="198">
        <v>315</v>
      </c>
      <c r="AO2" s="198">
        <v>0.01847290640394089</v>
      </c>
      <c r="AP2" s="198">
        <v>0.016749362798287665</v>
      </c>
      <c r="AQ2" s="198">
        <v>0</v>
      </c>
      <c r="AR2" s="198">
        <v>34</v>
      </c>
      <c r="AS2" s="198">
        <v>0</v>
      </c>
      <c r="AT2" s="198">
        <v>0</v>
      </c>
      <c r="AU2" s="198">
        <v>293.14</v>
      </c>
      <c r="AV2" s="198">
        <v>58.17015760387528</v>
      </c>
      <c r="AW2" s="198">
        <v>0.3094791561933283</v>
      </c>
      <c r="AX2" s="198">
        <v>762</v>
      </c>
      <c r="AY2" s="198">
        <v>5709</v>
      </c>
      <c r="AZ2" s="198">
        <v>0.13347346295323173</v>
      </c>
      <c r="BA2" s="198">
        <v>0.06978460425757955</v>
      </c>
      <c r="BB2" s="198">
        <v>0</v>
      </c>
      <c r="BC2" s="198">
        <v>4802</v>
      </c>
      <c r="BD2" s="198">
        <v>6917</v>
      </c>
      <c r="BE2" s="198">
        <v>0.6942316032962267</v>
      </c>
      <c r="BF2" s="198">
        <v>0.26459274899983815</v>
      </c>
      <c r="BG2" s="198">
        <v>0</v>
      </c>
      <c r="BH2" s="198">
        <v>0</v>
      </c>
      <c r="BI2" s="198">
        <v>-1705.2</v>
      </c>
      <c r="BJ2" s="198">
        <v>-4092.48</v>
      </c>
      <c r="BK2" s="198">
        <v>-69913.2</v>
      </c>
      <c r="BL2" s="198">
        <v>-6309.24</v>
      </c>
      <c r="BM2" s="198">
        <v>-90887.16</v>
      </c>
      <c r="BN2" s="198">
        <v>-2046.24</v>
      </c>
      <c r="BO2" s="198">
        <v>140004</v>
      </c>
      <c r="BP2" s="198">
        <v>-115745.45612722076</v>
      </c>
      <c r="BQ2" s="198">
        <v>1334279</v>
      </c>
      <c r="BR2" s="198">
        <v>410543</v>
      </c>
      <c r="BS2" s="198">
        <v>897394.9424826249</v>
      </c>
      <c r="BT2" s="198">
        <v>27428.68789498369</v>
      </c>
      <c r="BU2" s="198">
        <v>125948.33979683967</v>
      </c>
      <c r="BV2" s="198">
        <v>413526.2233831386</v>
      </c>
      <c r="BW2" s="198">
        <v>871755.6034382759</v>
      </c>
      <c r="BX2" s="198">
        <v>1534.6799999999998</v>
      </c>
      <c r="BY2" s="198">
        <v>149281.52027416526</v>
      </c>
      <c r="BZ2" s="198">
        <v>4255950.541142807</v>
      </c>
      <c r="CA2" s="198">
        <v>3933156.1811428075</v>
      </c>
      <c r="CB2" s="198">
        <v>0</v>
      </c>
      <c r="CC2" s="232">
        <v>8208239.50704762</v>
      </c>
      <c r="CD2" s="198">
        <v>-3097405</v>
      </c>
      <c r="CE2" s="198">
        <v>-322962.229394</v>
      </c>
      <c r="CH2" s="198">
        <v>17108</v>
      </c>
    </row>
    <row r="3" spans="1:86" ht="11.25">
      <c r="A3" s="198">
        <v>5</v>
      </c>
      <c r="B3" s="198" t="s">
        <v>79</v>
      </c>
      <c r="C3" s="198">
        <v>10171</v>
      </c>
      <c r="D3" s="198">
        <v>40314791.24</v>
      </c>
      <c r="E3" s="198">
        <v>16960891.216789857</v>
      </c>
      <c r="F3" s="198">
        <v>2282156.4264230384</v>
      </c>
      <c r="G3" s="198">
        <v>59557838.883212894</v>
      </c>
      <c r="H3" s="198">
        <v>3642.26</v>
      </c>
      <c r="I3" s="198">
        <v>37045426.46</v>
      </c>
      <c r="J3" s="198">
        <v>22512412.423212893</v>
      </c>
      <c r="K3" s="198">
        <v>334253.0451559387</v>
      </c>
      <c r="L3" s="198">
        <v>3073222.5171255195</v>
      </c>
      <c r="M3" s="198">
        <v>0</v>
      </c>
      <c r="N3" s="198">
        <v>25919887.985494353</v>
      </c>
      <c r="O3" s="198">
        <v>10286541.171428574</v>
      </c>
      <c r="P3" s="198">
        <v>36206429.15692293</v>
      </c>
      <c r="Q3" s="198">
        <v>708</v>
      </c>
      <c r="R3" s="198">
        <v>131</v>
      </c>
      <c r="S3" s="198">
        <v>736</v>
      </c>
      <c r="T3" s="198">
        <v>425</v>
      </c>
      <c r="U3" s="198">
        <v>403</v>
      </c>
      <c r="V3" s="198">
        <v>5354</v>
      </c>
      <c r="W3" s="198">
        <v>1223</v>
      </c>
      <c r="X3" s="198">
        <v>829</v>
      </c>
      <c r="Y3" s="198">
        <v>362</v>
      </c>
      <c r="Z3" s="198">
        <v>9912</v>
      </c>
      <c r="AA3" s="198">
        <v>11</v>
      </c>
      <c r="AB3" s="198">
        <v>0</v>
      </c>
      <c r="AC3" s="198">
        <v>248</v>
      </c>
      <c r="AD3" s="198">
        <v>1008.74</v>
      </c>
      <c r="AE3" s="198">
        <v>10.082875666673276</v>
      </c>
      <c r="AF3" s="198">
        <v>2414</v>
      </c>
      <c r="AG3" s="198">
        <v>16960891.216789857</v>
      </c>
      <c r="AH3" s="198">
        <v>9420410.597764682</v>
      </c>
      <c r="AI3" s="198">
        <v>5629819.496069645</v>
      </c>
      <c r="AJ3" s="198">
        <v>1910661.1229555327</v>
      </c>
      <c r="AK3" s="198">
        <v>465</v>
      </c>
      <c r="AL3" s="198">
        <v>4264</v>
      </c>
      <c r="AM3" s="198">
        <v>0.8748106234160317</v>
      </c>
      <c r="AN3" s="198">
        <v>248</v>
      </c>
      <c r="AO3" s="198">
        <v>0.024383049847605937</v>
      </c>
      <c r="AP3" s="198">
        <v>0.022659506241952714</v>
      </c>
      <c r="AQ3" s="198">
        <v>0</v>
      </c>
      <c r="AR3" s="198">
        <v>11</v>
      </c>
      <c r="AS3" s="198">
        <v>0</v>
      </c>
      <c r="AT3" s="198">
        <v>0</v>
      </c>
      <c r="AU3" s="198">
        <v>1008.74</v>
      </c>
      <c r="AV3" s="198">
        <v>10.082875666673276</v>
      </c>
      <c r="AW3" s="198">
        <v>1.7854481088548357</v>
      </c>
      <c r="AX3" s="198">
        <v>375</v>
      </c>
      <c r="AY3" s="198">
        <v>2751</v>
      </c>
      <c r="AZ3" s="198">
        <v>0.13631406761177753</v>
      </c>
      <c r="BA3" s="198">
        <v>0.07262520891612535</v>
      </c>
      <c r="BB3" s="198">
        <v>0</v>
      </c>
      <c r="BC3" s="198">
        <v>3430</v>
      </c>
      <c r="BD3" s="198">
        <v>3611</v>
      </c>
      <c r="BE3" s="198">
        <v>0.9498753807809471</v>
      </c>
      <c r="BF3" s="198">
        <v>0.5202365264845585</v>
      </c>
      <c r="BG3" s="198">
        <v>0</v>
      </c>
      <c r="BH3" s="198">
        <v>0</v>
      </c>
      <c r="BI3" s="198">
        <v>-1017.1</v>
      </c>
      <c r="BJ3" s="198">
        <v>-2441.04</v>
      </c>
      <c r="BK3" s="198">
        <v>-41701.1</v>
      </c>
      <c r="BL3" s="198">
        <v>-3763.27</v>
      </c>
      <c r="BM3" s="198">
        <v>-54211.43</v>
      </c>
      <c r="BN3" s="198">
        <v>-1220.52</v>
      </c>
      <c r="BO3" s="198">
        <v>-188872</v>
      </c>
      <c r="BP3" s="198">
        <v>191146.63372095674</v>
      </c>
      <c r="BQ3" s="198">
        <v>982443</v>
      </c>
      <c r="BR3" s="198">
        <v>316760</v>
      </c>
      <c r="BS3" s="198">
        <v>854672.9711615616</v>
      </c>
      <c r="BT3" s="198">
        <v>45846.99735082741</v>
      </c>
      <c r="BU3" s="198">
        <v>104017.12567895393</v>
      </c>
      <c r="BV3" s="198">
        <v>405909.5598663371</v>
      </c>
      <c r="BW3" s="198">
        <v>564026.4577365128</v>
      </c>
      <c r="BX3" s="198">
        <v>915.39</v>
      </c>
      <c r="BY3" s="198">
        <v>-11106.588389629876</v>
      </c>
      <c r="BZ3" s="198">
        <v>3265759.5471255193</v>
      </c>
      <c r="CA3" s="198">
        <v>3073222.5171255195</v>
      </c>
      <c r="CB3" s="198">
        <v>0</v>
      </c>
      <c r="CC3" s="232">
        <v>10286541.171428574</v>
      </c>
      <c r="CD3" s="198">
        <v>387012</v>
      </c>
      <c r="CE3" s="198">
        <v>4798415.522800001</v>
      </c>
      <c r="CH3" s="198">
        <v>10227</v>
      </c>
    </row>
    <row r="4" spans="1:86" ht="11.25">
      <c r="A4" s="198">
        <v>9</v>
      </c>
      <c r="B4" s="198" t="s">
        <v>80</v>
      </c>
      <c r="C4" s="198">
        <v>2687</v>
      </c>
      <c r="D4" s="198">
        <v>10739847.91</v>
      </c>
      <c r="E4" s="198">
        <v>4501064.515914205</v>
      </c>
      <c r="F4" s="198">
        <v>519748.4956770817</v>
      </c>
      <c r="G4" s="198">
        <v>15760660.921591287</v>
      </c>
      <c r="H4" s="198">
        <v>3642.26</v>
      </c>
      <c r="I4" s="198">
        <v>9786752.620000001</v>
      </c>
      <c r="J4" s="198">
        <v>5973908.301591286</v>
      </c>
      <c r="K4" s="198">
        <v>49820.39309281084</v>
      </c>
      <c r="L4" s="198">
        <v>803206.3157758702</v>
      </c>
      <c r="M4" s="198">
        <v>0</v>
      </c>
      <c r="N4" s="198">
        <v>6826935.010459968</v>
      </c>
      <c r="O4" s="198">
        <v>2689287.4862325583</v>
      </c>
      <c r="P4" s="198">
        <v>9516222.496692527</v>
      </c>
      <c r="Q4" s="198">
        <v>203</v>
      </c>
      <c r="R4" s="198">
        <v>42</v>
      </c>
      <c r="S4" s="198">
        <v>207</v>
      </c>
      <c r="T4" s="198">
        <v>115</v>
      </c>
      <c r="U4" s="198">
        <v>118</v>
      </c>
      <c r="V4" s="198">
        <v>1428</v>
      </c>
      <c r="W4" s="198">
        <v>254</v>
      </c>
      <c r="X4" s="198">
        <v>238</v>
      </c>
      <c r="Y4" s="198">
        <v>82</v>
      </c>
      <c r="Z4" s="198">
        <v>2661</v>
      </c>
      <c r="AA4" s="198">
        <v>9</v>
      </c>
      <c r="AB4" s="198">
        <v>0</v>
      </c>
      <c r="AC4" s="198">
        <v>17</v>
      </c>
      <c r="AD4" s="198">
        <v>251.36</v>
      </c>
      <c r="AE4" s="198">
        <v>10.689847231063016</v>
      </c>
      <c r="AF4" s="198">
        <v>574</v>
      </c>
      <c r="AG4" s="198">
        <v>4501064.515914205</v>
      </c>
      <c r="AH4" s="198">
        <v>2486108.3559955205</v>
      </c>
      <c r="AI4" s="198">
        <v>1476497.1161766707</v>
      </c>
      <c r="AJ4" s="198">
        <v>538459.0437420139</v>
      </c>
      <c r="AK4" s="198">
        <v>143</v>
      </c>
      <c r="AL4" s="198">
        <v>1186</v>
      </c>
      <c r="AM4" s="198">
        <v>0.9672297362584492</v>
      </c>
      <c r="AN4" s="198">
        <v>17</v>
      </c>
      <c r="AO4" s="198">
        <v>0.006326758466691477</v>
      </c>
      <c r="AP4" s="198">
        <v>0.004603214861038254</v>
      </c>
      <c r="AQ4" s="198">
        <v>0</v>
      </c>
      <c r="AR4" s="198">
        <v>9</v>
      </c>
      <c r="AS4" s="198">
        <v>0</v>
      </c>
      <c r="AT4" s="198">
        <v>0</v>
      </c>
      <c r="AU4" s="198">
        <v>251.36</v>
      </c>
      <c r="AV4" s="198">
        <v>10.689847231063016</v>
      </c>
      <c r="AW4" s="198">
        <v>1.6840700247397313</v>
      </c>
      <c r="AX4" s="198">
        <v>99</v>
      </c>
      <c r="AY4" s="198">
        <v>726</v>
      </c>
      <c r="AZ4" s="198">
        <v>0.13636363636363635</v>
      </c>
      <c r="BA4" s="198">
        <v>0.07267477766798418</v>
      </c>
      <c r="BB4" s="198">
        <v>0</v>
      </c>
      <c r="BC4" s="198">
        <v>734</v>
      </c>
      <c r="BD4" s="198">
        <v>1015</v>
      </c>
      <c r="BE4" s="198">
        <v>0.723152709359606</v>
      </c>
      <c r="BF4" s="198">
        <v>0.2935138550632174</v>
      </c>
      <c r="BG4" s="198">
        <v>0</v>
      </c>
      <c r="BH4" s="198">
        <v>0</v>
      </c>
      <c r="BI4" s="198">
        <v>-268.7</v>
      </c>
      <c r="BJ4" s="198">
        <v>-644.88</v>
      </c>
      <c r="BK4" s="198">
        <v>-11016.699999999999</v>
      </c>
      <c r="BL4" s="198">
        <v>-994.1899999999999</v>
      </c>
      <c r="BM4" s="198">
        <v>-14321.710000000001</v>
      </c>
      <c r="BN4" s="198">
        <v>-322.44</v>
      </c>
      <c r="BO4" s="198">
        <v>8706</v>
      </c>
      <c r="BP4" s="198">
        <v>-17372.005542550236</v>
      </c>
      <c r="BQ4" s="198">
        <v>269616</v>
      </c>
      <c r="BR4" s="198">
        <v>76861</v>
      </c>
      <c r="BS4" s="198">
        <v>208942.05469652946</v>
      </c>
      <c r="BT4" s="198">
        <v>11331.87612350449</v>
      </c>
      <c r="BU4" s="198">
        <v>20677.75817964038</v>
      </c>
      <c r="BV4" s="198">
        <v>98339.24119116721</v>
      </c>
      <c r="BW4" s="198">
        <v>152116.45676477792</v>
      </c>
      <c r="BX4" s="198">
        <v>241.82999999999998</v>
      </c>
      <c r="BY4" s="198">
        <v>24611.014362801172</v>
      </c>
      <c r="BZ4" s="198">
        <v>854071.2257758703</v>
      </c>
      <c r="CA4" s="198">
        <v>803206.3157758702</v>
      </c>
      <c r="CB4" s="198">
        <v>0</v>
      </c>
      <c r="CC4" s="232">
        <v>2689287.4862325583</v>
      </c>
      <c r="CD4" s="198">
        <v>-732213</v>
      </c>
      <c r="CE4" s="198">
        <v>-54915.172200000015</v>
      </c>
      <c r="CH4" s="198">
        <v>2740</v>
      </c>
    </row>
    <row r="5" spans="1:86" ht="11.25">
      <c r="A5" s="198">
        <v>10</v>
      </c>
      <c r="B5" s="198" t="s">
        <v>81</v>
      </c>
      <c r="C5" s="198">
        <v>12103</v>
      </c>
      <c r="D5" s="198">
        <v>46667545.92</v>
      </c>
      <c r="E5" s="198">
        <v>19521119.985193167</v>
      </c>
      <c r="F5" s="198">
        <v>2188132.886312777</v>
      </c>
      <c r="G5" s="198">
        <v>68376798.79150595</v>
      </c>
      <c r="H5" s="198">
        <v>3642.26</v>
      </c>
      <c r="I5" s="198">
        <v>44082272.78</v>
      </c>
      <c r="J5" s="198">
        <v>24294526.011505947</v>
      </c>
      <c r="K5" s="198">
        <v>438345.9654775489</v>
      </c>
      <c r="L5" s="198">
        <v>3529172.8988262448</v>
      </c>
      <c r="M5" s="198">
        <v>0</v>
      </c>
      <c r="N5" s="198">
        <v>28262044.87580974</v>
      </c>
      <c r="O5" s="198">
        <v>11719373.107566265</v>
      </c>
      <c r="P5" s="198">
        <v>39981417.983376004</v>
      </c>
      <c r="Q5" s="198">
        <v>787</v>
      </c>
      <c r="R5" s="198">
        <v>161</v>
      </c>
      <c r="S5" s="198">
        <v>881</v>
      </c>
      <c r="T5" s="198">
        <v>454</v>
      </c>
      <c r="U5" s="198">
        <v>443</v>
      </c>
      <c r="V5" s="198">
        <v>6461</v>
      </c>
      <c r="W5" s="198">
        <v>1513</v>
      </c>
      <c r="X5" s="198">
        <v>989</v>
      </c>
      <c r="Y5" s="198">
        <v>414</v>
      </c>
      <c r="Z5" s="198">
        <v>11956</v>
      </c>
      <c r="AA5" s="198">
        <v>6</v>
      </c>
      <c r="AB5" s="198">
        <v>1</v>
      </c>
      <c r="AC5" s="198">
        <v>140</v>
      </c>
      <c r="AD5" s="198">
        <v>1088.16</v>
      </c>
      <c r="AE5" s="198">
        <v>11.122445228642846</v>
      </c>
      <c r="AF5" s="198">
        <v>2916</v>
      </c>
      <c r="AG5" s="198">
        <v>19521119.985193167</v>
      </c>
      <c r="AH5" s="198">
        <v>10805229.208427565</v>
      </c>
      <c r="AI5" s="198">
        <v>6518630.485366739</v>
      </c>
      <c r="AJ5" s="198">
        <v>2197260.291398863</v>
      </c>
      <c r="AK5" s="198">
        <v>465</v>
      </c>
      <c r="AL5" s="198">
        <v>5256</v>
      </c>
      <c r="AM5" s="198">
        <v>0.7097017690726711</v>
      </c>
      <c r="AN5" s="198">
        <v>140</v>
      </c>
      <c r="AO5" s="198">
        <v>0.01156737998843262</v>
      </c>
      <c r="AP5" s="198">
        <v>0.009843836382779397</v>
      </c>
      <c r="AQ5" s="198">
        <v>0</v>
      </c>
      <c r="AR5" s="198">
        <v>6</v>
      </c>
      <c r="AS5" s="198">
        <v>1</v>
      </c>
      <c r="AT5" s="198">
        <v>0</v>
      </c>
      <c r="AU5" s="198">
        <v>1088.16</v>
      </c>
      <c r="AV5" s="198">
        <v>11.122445228642846</v>
      </c>
      <c r="AW5" s="198">
        <v>1.6185695609918405</v>
      </c>
      <c r="AX5" s="198">
        <v>477</v>
      </c>
      <c r="AY5" s="198">
        <v>3328</v>
      </c>
      <c r="AZ5" s="198">
        <v>0.14332932692307693</v>
      </c>
      <c r="BA5" s="198">
        <v>0.07964046822742475</v>
      </c>
      <c r="BB5" s="198">
        <v>0</v>
      </c>
      <c r="BC5" s="198">
        <v>4712</v>
      </c>
      <c r="BD5" s="198">
        <v>4698</v>
      </c>
      <c r="BE5" s="198">
        <v>1.0029799914857387</v>
      </c>
      <c r="BF5" s="198">
        <v>0.5733411371893502</v>
      </c>
      <c r="BG5" s="198">
        <v>0</v>
      </c>
      <c r="BH5" s="198">
        <v>1</v>
      </c>
      <c r="BI5" s="198">
        <v>-1210.3</v>
      </c>
      <c r="BJ5" s="198">
        <v>-2904.72</v>
      </c>
      <c r="BK5" s="198">
        <v>-49622.299999999996</v>
      </c>
      <c r="BL5" s="198">
        <v>-4478.11</v>
      </c>
      <c r="BM5" s="198">
        <v>-64508.99</v>
      </c>
      <c r="BN5" s="198">
        <v>-1452.36</v>
      </c>
      <c r="BO5" s="198">
        <v>-11550</v>
      </c>
      <c r="BP5" s="198">
        <v>-158146.872291727</v>
      </c>
      <c r="BQ5" s="198">
        <v>1196258</v>
      </c>
      <c r="BR5" s="198">
        <v>389828</v>
      </c>
      <c r="BS5" s="198">
        <v>994223.9405232423</v>
      </c>
      <c r="BT5" s="198">
        <v>46805.49325746627</v>
      </c>
      <c r="BU5" s="198">
        <v>102562.06916084253</v>
      </c>
      <c r="BV5" s="198">
        <v>466334.08575838123</v>
      </c>
      <c r="BW5" s="198">
        <v>738827.3699413718</v>
      </c>
      <c r="BX5" s="198">
        <v>1089.27</v>
      </c>
      <c r="BY5" s="198">
        <v>-7948.667523332493</v>
      </c>
      <c r="BZ5" s="198">
        <v>3758282.688826245</v>
      </c>
      <c r="CA5" s="198">
        <v>3529172.8988262448</v>
      </c>
      <c r="CB5" s="198">
        <v>0</v>
      </c>
      <c r="CC5" s="232">
        <v>11719373.107566265</v>
      </c>
      <c r="CD5" s="198">
        <v>-1358813</v>
      </c>
      <c r="CE5" s="198">
        <v>-117787.44078000002</v>
      </c>
      <c r="CH5" s="198">
        <v>12228</v>
      </c>
    </row>
    <row r="6" spans="1:86" ht="11.25">
      <c r="A6" s="198">
        <v>16</v>
      </c>
      <c r="B6" s="198" t="s">
        <v>82</v>
      </c>
      <c r="C6" s="198">
        <v>8374</v>
      </c>
      <c r="D6" s="198">
        <v>30303521.819999997</v>
      </c>
      <c r="E6" s="198">
        <v>10475761.712402962</v>
      </c>
      <c r="F6" s="198">
        <v>1648258.828184518</v>
      </c>
      <c r="G6" s="198">
        <v>42427542.36058748</v>
      </c>
      <c r="H6" s="198">
        <v>3642.26</v>
      </c>
      <c r="I6" s="198">
        <v>30500285.240000002</v>
      </c>
      <c r="J6" s="198">
        <v>11927257.120587476</v>
      </c>
      <c r="K6" s="198">
        <v>164574.55355099408</v>
      </c>
      <c r="L6" s="198">
        <v>2297695.81599262</v>
      </c>
      <c r="M6" s="198">
        <v>0</v>
      </c>
      <c r="N6" s="198">
        <v>14389527.49013109</v>
      </c>
      <c r="O6" s="198">
        <v>4007216.8055903637</v>
      </c>
      <c r="P6" s="198">
        <v>18396744.295721453</v>
      </c>
      <c r="Q6" s="198">
        <v>450</v>
      </c>
      <c r="R6" s="198">
        <v>74</v>
      </c>
      <c r="S6" s="198">
        <v>518</v>
      </c>
      <c r="T6" s="198">
        <v>270</v>
      </c>
      <c r="U6" s="198">
        <v>275</v>
      </c>
      <c r="V6" s="198">
        <v>4438</v>
      </c>
      <c r="W6" s="198">
        <v>1355</v>
      </c>
      <c r="X6" s="198">
        <v>723</v>
      </c>
      <c r="Y6" s="198">
        <v>271</v>
      </c>
      <c r="Z6" s="198">
        <v>8227</v>
      </c>
      <c r="AA6" s="198">
        <v>13</v>
      </c>
      <c r="AB6" s="198">
        <v>3</v>
      </c>
      <c r="AC6" s="198">
        <v>131</v>
      </c>
      <c r="AD6" s="198">
        <v>563.38</v>
      </c>
      <c r="AE6" s="198">
        <v>14.863857431928716</v>
      </c>
      <c r="AF6" s="198">
        <v>2349</v>
      </c>
      <c r="AG6" s="198">
        <v>10475761.712402962</v>
      </c>
      <c r="AH6" s="198">
        <v>6013830.73852534</v>
      </c>
      <c r="AI6" s="198">
        <v>3367643.2398212706</v>
      </c>
      <c r="AJ6" s="198">
        <v>1094287.7340563508</v>
      </c>
      <c r="AK6" s="198">
        <v>422</v>
      </c>
      <c r="AL6" s="198">
        <v>3676</v>
      </c>
      <c r="AM6" s="198">
        <v>0.9209058667437694</v>
      </c>
      <c r="AN6" s="198">
        <v>131</v>
      </c>
      <c r="AO6" s="198">
        <v>0.015643658944351563</v>
      </c>
      <c r="AP6" s="198">
        <v>0.01392011533869834</v>
      </c>
      <c r="AQ6" s="198">
        <v>0</v>
      </c>
      <c r="AR6" s="198">
        <v>13</v>
      </c>
      <c r="AS6" s="198">
        <v>3</v>
      </c>
      <c r="AT6" s="198">
        <v>1</v>
      </c>
      <c r="AU6" s="198">
        <v>563.38</v>
      </c>
      <c r="AV6" s="198">
        <v>14.863857431928716</v>
      </c>
      <c r="AW6" s="198">
        <v>1.211156079323634</v>
      </c>
      <c r="AX6" s="198">
        <v>365</v>
      </c>
      <c r="AY6" s="198">
        <v>2352</v>
      </c>
      <c r="AZ6" s="198">
        <v>0.15518707482993196</v>
      </c>
      <c r="BA6" s="198">
        <v>0.09149821613427979</v>
      </c>
      <c r="BB6" s="198">
        <v>0</v>
      </c>
      <c r="BC6" s="198">
        <v>2363</v>
      </c>
      <c r="BD6" s="198">
        <v>3190</v>
      </c>
      <c r="BE6" s="198">
        <v>0.7407523510971786</v>
      </c>
      <c r="BF6" s="198">
        <v>0.3111134968007901</v>
      </c>
      <c r="BG6" s="198">
        <v>0</v>
      </c>
      <c r="BH6" s="198">
        <v>3</v>
      </c>
      <c r="BI6" s="198">
        <v>-837.4000000000001</v>
      </c>
      <c r="BJ6" s="198">
        <v>-2009.76</v>
      </c>
      <c r="BK6" s="198">
        <v>-34333.399999999994</v>
      </c>
      <c r="BL6" s="198">
        <v>-3098.38</v>
      </c>
      <c r="BM6" s="198">
        <v>-44633.42</v>
      </c>
      <c r="BN6" s="198">
        <v>-1004.88</v>
      </c>
      <c r="BO6" s="198">
        <v>198106</v>
      </c>
      <c r="BP6" s="198">
        <v>98970.00168253854</v>
      </c>
      <c r="BQ6" s="198">
        <v>734044</v>
      </c>
      <c r="BR6" s="198">
        <v>234966</v>
      </c>
      <c r="BS6" s="198">
        <v>499428.03132371634</v>
      </c>
      <c r="BT6" s="198">
        <v>23164.14885330807</v>
      </c>
      <c r="BU6" s="198">
        <v>5375.026859721413</v>
      </c>
      <c r="BV6" s="198">
        <v>239081.0739268699</v>
      </c>
      <c r="BW6" s="198">
        <v>425407.03501120035</v>
      </c>
      <c r="BX6" s="198">
        <v>753.66</v>
      </c>
      <c r="BY6" s="198">
        <v>-3079.3416647349222</v>
      </c>
      <c r="BZ6" s="198">
        <v>2456215.6359926197</v>
      </c>
      <c r="CA6" s="198">
        <v>2297695.81599262</v>
      </c>
      <c r="CB6" s="198">
        <v>0</v>
      </c>
      <c r="CC6" s="232">
        <v>4007216.8055903637</v>
      </c>
      <c r="CD6" s="198">
        <v>-1101335</v>
      </c>
      <c r="CE6" s="198">
        <v>405301.3661599998</v>
      </c>
      <c r="CH6" s="198">
        <v>8405</v>
      </c>
    </row>
    <row r="7" spans="1:86" ht="11.25">
      <c r="A7" s="198">
        <v>18</v>
      </c>
      <c r="B7" s="198" t="s">
        <v>83</v>
      </c>
      <c r="C7" s="198">
        <v>5064</v>
      </c>
      <c r="D7" s="198">
        <v>18426350.029999997</v>
      </c>
      <c r="E7" s="198">
        <v>4211182.358679593</v>
      </c>
      <c r="F7" s="198">
        <v>849986.9849175393</v>
      </c>
      <c r="G7" s="198">
        <v>23487519.37359713</v>
      </c>
      <c r="H7" s="198">
        <v>3642.26</v>
      </c>
      <c r="I7" s="198">
        <v>18444404.64</v>
      </c>
      <c r="J7" s="198">
        <v>5043114.73359713</v>
      </c>
      <c r="K7" s="198">
        <v>54331.99822139845</v>
      </c>
      <c r="L7" s="198">
        <v>1184473.4821996656</v>
      </c>
      <c r="M7" s="198">
        <v>0</v>
      </c>
      <c r="N7" s="198">
        <v>6281920.214018194</v>
      </c>
      <c r="O7" s="198">
        <v>1205660.626172839</v>
      </c>
      <c r="P7" s="198">
        <v>7487580.840191033</v>
      </c>
      <c r="Q7" s="198">
        <v>425</v>
      </c>
      <c r="R7" s="198">
        <v>60</v>
      </c>
      <c r="S7" s="198">
        <v>421</v>
      </c>
      <c r="T7" s="198">
        <v>208</v>
      </c>
      <c r="U7" s="198">
        <v>197</v>
      </c>
      <c r="V7" s="198">
        <v>2933</v>
      </c>
      <c r="W7" s="198">
        <v>489</v>
      </c>
      <c r="X7" s="198">
        <v>227</v>
      </c>
      <c r="Y7" s="198">
        <v>104</v>
      </c>
      <c r="Z7" s="198">
        <v>4790</v>
      </c>
      <c r="AA7" s="198">
        <v>164</v>
      </c>
      <c r="AB7" s="198">
        <v>0</v>
      </c>
      <c r="AC7" s="198">
        <v>110</v>
      </c>
      <c r="AD7" s="198">
        <v>212.41</v>
      </c>
      <c r="AE7" s="198">
        <v>23.840685466785935</v>
      </c>
      <c r="AF7" s="198">
        <v>820</v>
      </c>
      <c r="AG7" s="198">
        <v>4211182.358679593</v>
      </c>
      <c r="AH7" s="198">
        <v>2615799.242824641</v>
      </c>
      <c r="AI7" s="198">
        <v>1022184.7789682915</v>
      </c>
      <c r="AJ7" s="198">
        <v>573198.33688666</v>
      </c>
      <c r="AK7" s="198">
        <v>208</v>
      </c>
      <c r="AL7" s="198">
        <v>2554</v>
      </c>
      <c r="AM7" s="198">
        <v>0.6533121476201443</v>
      </c>
      <c r="AN7" s="198">
        <v>110</v>
      </c>
      <c r="AO7" s="198">
        <v>0.021721958925750396</v>
      </c>
      <c r="AP7" s="198">
        <v>0.019998415320097173</v>
      </c>
      <c r="AQ7" s="198">
        <v>0</v>
      </c>
      <c r="AR7" s="198">
        <v>164</v>
      </c>
      <c r="AS7" s="198">
        <v>0</v>
      </c>
      <c r="AT7" s="198">
        <v>0</v>
      </c>
      <c r="AU7" s="198">
        <v>212.41</v>
      </c>
      <c r="AV7" s="198">
        <v>23.840685466785935</v>
      </c>
      <c r="AW7" s="198">
        <v>0.7551146679889162</v>
      </c>
      <c r="AX7" s="198">
        <v>278</v>
      </c>
      <c r="AY7" s="198">
        <v>1758</v>
      </c>
      <c r="AZ7" s="198">
        <v>0.15813424345847554</v>
      </c>
      <c r="BA7" s="198">
        <v>0.09444538476282337</v>
      </c>
      <c r="BB7" s="198">
        <v>0</v>
      </c>
      <c r="BC7" s="198">
        <v>1392</v>
      </c>
      <c r="BD7" s="198">
        <v>2322</v>
      </c>
      <c r="BE7" s="198">
        <v>0.599483204134367</v>
      </c>
      <c r="BF7" s="198">
        <v>0.16984434983797841</v>
      </c>
      <c r="BG7" s="198">
        <v>0</v>
      </c>
      <c r="BH7" s="198">
        <v>0</v>
      </c>
      <c r="BI7" s="198">
        <v>-506.40000000000003</v>
      </c>
      <c r="BJ7" s="198">
        <v>-1215.36</v>
      </c>
      <c r="BK7" s="198">
        <v>-20762.399999999998</v>
      </c>
      <c r="BL7" s="198">
        <v>-1873.68</v>
      </c>
      <c r="BM7" s="198">
        <v>-26991.12</v>
      </c>
      <c r="BN7" s="198">
        <v>-607.68</v>
      </c>
      <c r="BO7" s="198">
        <v>4308</v>
      </c>
      <c r="BP7" s="198">
        <v>113498.53809232544</v>
      </c>
      <c r="BQ7" s="198">
        <v>390010</v>
      </c>
      <c r="BR7" s="198">
        <v>130963</v>
      </c>
      <c r="BS7" s="198">
        <v>277568.86861187575</v>
      </c>
      <c r="BT7" s="198">
        <v>5685.533134850141</v>
      </c>
      <c r="BU7" s="198">
        <v>18260.159979551037</v>
      </c>
      <c r="BV7" s="198">
        <v>78444.9405121629</v>
      </c>
      <c r="BW7" s="198">
        <v>272242.3525814818</v>
      </c>
      <c r="BX7" s="198">
        <v>455.76</v>
      </c>
      <c r="BY7" s="198">
        <v>-11102.15071258101</v>
      </c>
      <c r="BZ7" s="198">
        <v>1280335.0021996656</v>
      </c>
      <c r="CA7" s="198">
        <v>1184473.4821996656</v>
      </c>
      <c r="CB7" s="198">
        <v>0</v>
      </c>
      <c r="CC7" s="232">
        <v>1205660.626172839</v>
      </c>
      <c r="CD7" s="198">
        <v>-512086</v>
      </c>
      <c r="CE7" s="198">
        <v>582897.7802000002</v>
      </c>
      <c r="CH7" s="198">
        <v>4991</v>
      </c>
    </row>
    <row r="8" spans="1:86" ht="11.25">
      <c r="A8" s="198">
        <v>19</v>
      </c>
      <c r="B8" s="198" t="s">
        <v>84</v>
      </c>
      <c r="C8" s="198">
        <v>3982</v>
      </c>
      <c r="D8" s="198">
        <v>14642128.809999999</v>
      </c>
      <c r="E8" s="198">
        <v>3671324.6811748147</v>
      </c>
      <c r="F8" s="198">
        <v>704104.7812035064</v>
      </c>
      <c r="G8" s="198">
        <v>19017558.272378318</v>
      </c>
      <c r="H8" s="198">
        <v>3642.26</v>
      </c>
      <c r="I8" s="198">
        <v>14503479.32</v>
      </c>
      <c r="J8" s="198">
        <v>4514078.952378318</v>
      </c>
      <c r="K8" s="198">
        <v>61082.94078913344</v>
      </c>
      <c r="L8" s="198">
        <v>722484.9952673023</v>
      </c>
      <c r="M8" s="198">
        <v>0</v>
      </c>
      <c r="N8" s="198">
        <v>5297646.888434753</v>
      </c>
      <c r="O8" s="198">
        <v>1708709.1442857161</v>
      </c>
      <c r="P8" s="198">
        <v>7006356.032720469</v>
      </c>
      <c r="Q8" s="198">
        <v>333</v>
      </c>
      <c r="R8" s="198">
        <v>46</v>
      </c>
      <c r="S8" s="198">
        <v>335</v>
      </c>
      <c r="T8" s="198">
        <v>183</v>
      </c>
      <c r="U8" s="198">
        <v>145</v>
      </c>
      <c r="V8" s="198">
        <v>2299</v>
      </c>
      <c r="W8" s="198">
        <v>380</v>
      </c>
      <c r="X8" s="198">
        <v>183</v>
      </c>
      <c r="Y8" s="198">
        <v>78</v>
      </c>
      <c r="Z8" s="198">
        <v>3855</v>
      </c>
      <c r="AA8" s="198">
        <v>32</v>
      </c>
      <c r="AB8" s="198">
        <v>0</v>
      </c>
      <c r="AC8" s="198">
        <v>95</v>
      </c>
      <c r="AD8" s="198">
        <v>95</v>
      </c>
      <c r="AE8" s="198">
        <v>41.915789473684214</v>
      </c>
      <c r="AF8" s="198">
        <v>641</v>
      </c>
      <c r="AG8" s="198">
        <v>3671324.6811748147</v>
      </c>
      <c r="AH8" s="198">
        <v>2360455.5532760816</v>
      </c>
      <c r="AI8" s="198">
        <v>772410.0841567192</v>
      </c>
      <c r="AJ8" s="198">
        <v>538459.0437420139</v>
      </c>
      <c r="AK8" s="198">
        <v>199</v>
      </c>
      <c r="AL8" s="198">
        <v>2002</v>
      </c>
      <c r="AM8" s="198">
        <v>0.7973835918392854</v>
      </c>
      <c r="AN8" s="198">
        <v>95</v>
      </c>
      <c r="AO8" s="198">
        <v>0.023857358111501758</v>
      </c>
      <c r="AP8" s="198">
        <v>0.022133814505848535</v>
      </c>
      <c r="AQ8" s="198">
        <v>0</v>
      </c>
      <c r="AR8" s="198">
        <v>32</v>
      </c>
      <c r="AS8" s="198">
        <v>0</v>
      </c>
      <c r="AT8" s="198">
        <v>0</v>
      </c>
      <c r="AU8" s="198">
        <v>95</v>
      </c>
      <c r="AV8" s="198">
        <v>41.915789473684214</v>
      </c>
      <c r="AW8" s="198">
        <v>0.429490927331397</v>
      </c>
      <c r="AX8" s="198">
        <v>230</v>
      </c>
      <c r="AY8" s="198">
        <v>1361</v>
      </c>
      <c r="AZ8" s="198">
        <v>0.16899338721528287</v>
      </c>
      <c r="BA8" s="198">
        <v>0.1053045285196307</v>
      </c>
      <c r="BB8" s="198">
        <v>0</v>
      </c>
      <c r="BC8" s="198">
        <v>1197</v>
      </c>
      <c r="BD8" s="198">
        <v>1780</v>
      </c>
      <c r="BE8" s="198">
        <v>0.6724719101123595</v>
      </c>
      <c r="BF8" s="198">
        <v>0.24283305581597098</v>
      </c>
      <c r="BG8" s="198">
        <v>0</v>
      </c>
      <c r="BH8" s="198">
        <v>0</v>
      </c>
      <c r="BI8" s="198">
        <v>-398.20000000000005</v>
      </c>
      <c r="BJ8" s="198">
        <v>-955.68</v>
      </c>
      <c r="BK8" s="198">
        <v>-16326.199999999999</v>
      </c>
      <c r="BL8" s="198">
        <v>-1473.34</v>
      </c>
      <c r="BM8" s="198">
        <v>-21224.06</v>
      </c>
      <c r="BN8" s="198">
        <v>-477.84</v>
      </c>
      <c r="BO8" s="198">
        <v>-66508</v>
      </c>
      <c r="BP8" s="198">
        <v>-55272.213284444064</v>
      </c>
      <c r="BQ8" s="198">
        <v>304849</v>
      </c>
      <c r="BR8" s="198">
        <v>99381</v>
      </c>
      <c r="BS8" s="198">
        <v>201671.6672826829</v>
      </c>
      <c r="BT8" s="198">
        <v>3174.9392171713553</v>
      </c>
      <c r="BU8" s="198">
        <v>16950.500800257825</v>
      </c>
      <c r="BV8" s="198">
        <v>78918.645847082</v>
      </c>
      <c r="BW8" s="198">
        <v>208056.19551159473</v>
      </c>
      <c r="BX8" s="198">
        <v>358.38</v>
      </c>
      <c r="BY8" s="198">
        <v>6284.139892957548</v>
      </c>
      <c r="BZ8" s="198">
        <v>797864.2552673023</v>
      </c>
      <c r="CA8" s="198">
        <v>722484.9952673023</v>
      </c>
      <c r="CB8" s="198">
        <v>0</v>
      </c>
      <c r="CC8" s="232">
        <v>1708709.1442857161</v>
      </c>
      <c r="CD8" s="198">
        <v>-1108810</v>
      </c>
      <c r="CE8" s="198">
        <v>-121373.73774000001</v>
      </c>
      <c r="CH8" s="198">
        <v>3962</v>
      </c>
    </row>
    <row r="9" spans="1:86" ht="11.25">
      <c r="A9" s="198">
        <v>46</v>
      </c>
      <c r="B9" s="198" t="s">
        <v>85</v>
      </c>
      <c r="C9" s="198">
        <v>1503</v>
      </c>
      <c r="D9" s="198">
        <v>5667817.2700000005</v>
      </c>
      <c r="E9" s="198">
        <v>2505627.900919593</v>
      </c>
      <c r="F9" s="198">
        <v>1110290.9245693185</v>
      </c>
      <c r="G9" s="198">
        <v>9283736.095488911</v>
      </c>
      <c r="H9" s="198">
        <v>3642.26</v>
      </c>
      <c r="I9" s="198">
        <v>5474316.78</v>
      </c>
      <c r="J9" s="198">
        <v>3809419.3154889112</v>
      </c>
      <c r="K9" s="198">
        <v>72543.5307403146</v>
      </c>
      <c r="L9" s="198">
        <v>637200.8856003649</v>
      </c>
      <c r="M9" s="198">
        <v>-103719.43781505899</v>
      </c>
      <c r="N9" s="198">
        <v>4415444.294014532</v>
      </c>
      <c r="O9" s="198">
        <v>1220690.8066666662</v>
      </c>
      <c r="P9" s="198">
        <v>5636135.100681199</v>
      </c>
      <c r="Q9" s="198">
        <v>77</v>
      </c>
      <c r="R9" s="198">
        <v>13</v>
      </c>
      <c r="S9" s="198">
        <v>68</v>
      </c>
      <c r="T9" s="198">
        <v>40</v>
      </c>
      <c r="U9" s="198">
        <v>45</v>
      </c>
      <c r="V9" s="198">
        <v>757</v>
      </c>
      <c r="W9" s="198">
        <v>266</v>
      </c>
      <c r="X9" s="198">
        <v>172</v>
      </c>
      <c r="Y9" s="198">
        <v>65</v>
      </c>
      <c r="Z9" s="198">
        <v>1470</v>
      </c>
      <c r="AA9" s="198">
        <v>1</v>
      </c>
      <c r="AB9" s="198">
        <v>0</v>
      </c>
      <c r="AC9" s="198">
        <v>32</v>
      </c>
      <c r="AD9" s="198">
        <v>305.82</v>
      </c>
      <c r="AE9" s="198">
        <v>4.914655679811654</v>
      </c>
      <c r="AF9" s="198">
        <v>503</v>
      </c>
      <c r="AG9" s="198">
        <v>2505627.900919593</v>
      </c>
      <c r="AH9" s="198">
        <v>1375439.8346662053</v>
      </c>
      <c r="AI9" s="198">
        <v>887013.0142408655</v>
      </c>
      <c r="AJ9" s="198">
        <v>243175.05201252236</v>
      </c>
      <c r="AK9" s="198">
        <v>102</v>
      </c>
      <c r="AL9" s="198">
        <v>617</v>
      </c>
      <c r="AM9" s="198">
        <v>1.3261519834826436</v>
      </c>
      <c r="AN9" s="198">
        <v>32</v>
      </c>
      <c r="AO9" s="198">
        <v>0.021290751829673986</v>
      </c>
      <c r="AP9" s="198">
        <v>0.019567208224020763</v>
      </c>
      <c r="AQ9" s="198">
        <v>0</v>
      </c>
      <c r="AR9" s="198">
        <v>1</v>
      </c>
      <c r="AS9" s="198">
        <v>0</v>
      </c>
      <c r="AT9" s="198">
        <v>2</v>
      </c>
      <c r="AU9" s="198">
        <v>305.82</v>
      </c>
      <c r="AV9" s="198">
        <v>4.914655679811654</v>
      </c>
      <c r="AW9" s="198">
        <v>3.663013741701261</v>
      </c>
      <c r="AX9" s="198">
        <v>73</v>
      </c>
      <c r="AY9" s="198">
        <v>386</v>
      </c>
      <c r="AZ9" s="198">
        <v>0.18911917098445596</v>
      </c>
      <c r="BA9" s="198">
        <v>0.1254303122888038</v>
      </c>
      <c r="BB9" s="198">
        <v>0.11358333333333333</v>
      </c>
      <c r="BC9" s="198">
        <v>422</v>
      </c>
      <c r="BD9" s="198">
        <v>515</v>
      </c>
      <c r="BE9" s="198">
        <v>0.8194174757281554</v>
      </c>
      <c r="BF9" s="198">
        <v>0.38977862143176684</v>
      </c>
      <c r="BG9" s="198">
        <v>0</v>
      </c>
      <c r="BH9" s="198">
        <v>0</v>
      </c>
      <c r="BI9" s="198">
        <v>-150.3</v>
      </c>
      <c r="BJ9" s="198">
        <v>-360.71999999999997</v>
      </c>
      <c r="BK9" s="198">
        <v>-6162.299999999999</v>
      </c>
      <c r="BL9" s="198">
        <v>-556.11</v>
      </c>
      <c r="BM9" s="198">
        <v>-8010.99</v>
      </c>
      <c r="BN9" s="198">
        <v>-180.35999999999999</v>
      </c>
      <c r="BO9" s="198">
        <v>30511</v>
      </c>
      <c r="BP9" s="198">
        <v>129093.88504570909</v>
      </c>
      <c r="BQ9" s="198">
        <v>170795</v>
      </c>
      <c r="BR9" s="198">
        <v>51004</v>
      </c>
      <c r="BS9" s="198">
        <v>132057.32919923117</v>
      </c>
      <c r="BT9" s="198">
        <v>6623.632441935772</v>
      </c>
      <c r="BU9" s="198">
        <v>5672.3970182429675</v>
      </c>
      <c r="BV9" s="198">
        <v>61209.4471838827</v>
      </c>
      <c r="BW9" s="198">
        <v>85489.52303127715</v>
      </c>
      <c r="BX9" s="198">
        <v>135.26999999999998</v>
      </c>
      <c r="BY9" s="198">
        <v>-6938.808319913951</v>
      </c>
      <c r="BZ9" s="198">
        <v>665652.6756003649</v>
      </c>
      <c r="CA9" s="198">
        <v>637200.8856003649</v>
      </c>
      <c r="CB9" s="198">
        <v>-103719.43781505899</v>
      </c>
      <c r="CC9" s="232">
        <v>1220690.8066666662</v>
      </c>
      <c r="CD9" s="198">
        <v>-441152</v>
      </c>
      <c r="CE9" s="198">
        <v>128259.92600000002</v>
      </c>
      <c r="CH9" s="198">
        <v>1522</v>
      </c>
    </row>
    <row r="10" spans="1:86" ht="11.25">
      <c r="A10" s="198">
        <v>47</v>
      </c>
      <c r="B10" s="198" t="s">
        <v>86</v>
      </c>
      <c r="C10" s="198">
        <v>1890</v>
      </c>
      <c r="D10" s="198">
        <v>5947075.49</v>
      </c>
      <c r="E10" s="198">
        <v>2433161.9351222203</v>
      </c>
      <c r="F10" s="198">
        <v>1908231.2976414068</v>
      </c>
      <c r="G10" s="198">
        <v>10288468.722763628</v>
      </c>
      <c r="H10" s="198">
        <v>3642.26</v>
      </c>
      <c r="I10" s="198">
        <v>6883871.4</v>
      </c>
      <c r="J10" s="198">
        <v>3404597.3227636274</v>
      </c>
      <c r="K10" s="198">
        <v>2838918.176038053</v>
      </c>
      <c r="L10" s="198">
        <v>1049475.4602641484</v>
      </c>
      <c r="M10" s="198">
        <v>0</v>
      </c>
      <c r="N10" s="198">
        <v>7292990.9590658285</v>
      </c>
      <c r="O10" s="198">
        <v>1587795.5642409644</v>
      </c>
      <c r="P10" s="198">
        <v>8880786.523306793</v>
      </c>
      <c r="Q10" s="198">
        <v>113</v>
      </c>
      <c r="R10" s="198">
        <v>15</v>
      </c>
      <c r="S10" s="198">
        <v>76</v>
      </c>
      <c r="T10" s="198">
        <v>40</v>
      </c>
      <c r="U10" s="198">
        <v>55</v>
      </c>
      <c r="V10" s="198">
        <v>1141</v>
      </c>
      <c r="W10" s="198">
        <v>269</v>
      </c>
      <c r="X10" s="198">
        <v>133</v>
      </c>
      <c r="Y10" s="198">
        <v>48</v>
      </c>
      <c r="Z10" s="198">
        <v>1640</v>
      </c>
      <c r="AA10" s="198">
        <v>12</v>
      </c>
      <c r="AB10" s="198">
        <v>203</v>
      </c>
      <c r="AC10" s="198">
        <v>35</v>
      </c>
      <c r="AD10" s="198">
        <v>7945.49</v>
      </c>
      <c r="AE10" s="198">
        <v>0.23787079210973774</v>
      </c>
      <c r="AF10" s="198">
        <v>450</v>
      </c>
      <c r="AG10" s="198">
        <v>2433161.9351222203</v>
      </c>
      <c r="AH10" s="198">
        <v>1551633.819145542</v>
      </c>
      <c r="AI10" s="198">
        <v>638353.0639641562</v>
      </c>
      <c r="AJ10" s="198">
        <v>243175.05201252236</v>
      </c>
      <c r="AK10" s="198">
        <v>172</v>
      </c>
      <c r="AL10" s="198">
        <v>908</v>
      </c>
      <c r="AM10" s="198">
        <v>1.5195706259729644</v>
      </c>
      <c r="AN10" s="198">
        <v>35</v>
      </c>
      <c r="AO10" s="198">
        <v>0.018518518518518517</v>
      </c>
      <c r="AP10" s="198">
        <v>0.016794974912865294</v>
      </c>
      <c r="AQ10" s="198">
        <v>0</v>
      </c>
      <c r="AR10" s="198">
        <v>12</v>
      </c>
      <c r="AS10" s="198">
        <v>203</v>
      </c>
      <c r="AT10" s="198">
        <v>0</v>
      </c>
      <c r="AU10" s="198">
        <v>7945.49</v>
      </c>
      <c r="AV10" s="198">
        <v>0.23787079210973774</v>
      </c>
      <c r="AW10" s="198">
        <v>75.68163846940531</v>
      </c>
      <c r="AX10" s="198">
        <v>103</v>
      </c>
      <c r="AY10" s="198">
        <v>550</v>
      </c>
      <c r="AZ10" s="198">
        <v>0.18727272727272729</v>
      </c>
      <c r="BA10" s="198">
        <v>0.12358386857707511</v>
      </c>
      <c r="BB10" s="198">
        <v>1.8982833333333333</v>
      </c>
      <c r="BC10" s="198">
        <v>711</v>
      </c>
      <c r="BD10" s="198">
        <v>751</v>
      </c>
      <c r="BE10" s="198">
        <v>0.9467376830892144</v>
      </c>
      <c r="BF10" s="198">
        <v>0.5170988287928258</v>
      </c>
      <c r="BG10" s="198">
        <v>1</v>
      </c>
      <c r="BH10" s="198">
        <v>203</v>
      </c>
      <c r="BI10" s="198">
        <v>-189</v>
      </c>
      <c r="BJ10" s="198">
        <v>-453.59999999999997</v>
      </c>
      <c r="BK10" s="198">
        <v>-7748.999999999999</v>
      </c>
      <c r="BL10" s="198">
        <v>-699.3</v>
      </c>
      <c r="BM10" s="198">
        <v>-10073.7</v>
      </c>
      <c r="BN10" s="198">
        <v>-226.79999999999998</v>
      </c>
      <c r="BO10" s="198">
        <v>95738</v>
      </c>
      <c r="BP10" s="198">
        <v>358000.4534871001</v>
      </c>
      <c r="BQ10" s="198">
        <v>173397</v>
      </c>
      <c r="BR10" s="198">
        <v>59946</v>
      </c>
      <c r="BS10" s="198">
        <v>172394.94870718927</v>
      </c>
      <c r="BT10" s="198">
        <v>9669.362924982988</v>
      </c>
      <c r="BU10" s="198">
        <v>17796.73113292622</v>
      </c>
      <c r="BV10" s="198">
        <v>66470.25845941098</v>
      </c>
      <c r="BW10" s="198">
        <v>118751.74065237764</v>
      </c>
      <c r="BX10" s="198">
        <v>170.1</v>
      </c>
      <c r="BY10" s="198">
        <v>12918.564900160985</v>
      </c>
      <c r="BZ10" s="198">
        <v>1085253.1602641484</v>
      </c>
      <c r="CA10" s="198">
        <v>1049475.4602641484</v>
      </c>
      <c r="CB10" s="198">
        <v>0</v>
      </c>
      <c r="CC10" s="232">
        <v>1587795.5642409644</v>
      </c>
      <c r="CD10" s="198">
        <v>-127166</v>
      </c>
      <c r="CE10" s="198">
        <v>-10086.460199999998</v>
      </c>
      <c r="CH10" s="198">
        <v>1891</v>
      </c>
    </row>
    <row r="11" spans="1:86" ht="11.25">
      <c r="A11" s="198">
        <v>49</v>
      </c>
      <c r="B11" s="198" t="s">
        <v>87</v>
      </c>
      <c r="C11" s="198">
        <v>265543</v>
      </c>
      <c r="D11" s="198">
        <v>879760016.78</v>
      </c>
      <c r="E11" s="198">
        <v>190317829.60382605</v>
      </c>
      <c r="F11" s="198">
        <v>106551328.95763521</v>
      </c>
      <c r="G11" s="198">
        <v>1176629175.3414612</v>
      </c>
      <c r="H11" s="198">
        <v>3642.26</v>
      </c>
      <c r="I11" s="198">
        <v>967176647.1800001</v>
      </c>
      <c r="J11" s="198">
        <v>209452528.1614611</v>
      </c>
      <c r="K11" s="198">
        <v>8900230.86683893</v>
      </c>
      <c r="L11" s="198">
        <v>26040618.684726533</v>
      </c>
      <c r="M11" s="198">
        <v>0</v>
      </c>
      <c r="N11" s="198">
        <v>244393377.71302658</v>
      </c>
      <c r="O11" s="198">
        <v>-162800344.1260893</v>
      </c>
      <c r="P11" s="198">
        <v>81593033.58693728</v>
      </c>
      <c r="Q11" s="198">
        <v>21921</v>
      </c>
      <c r="R11" s="198">
        <v>3607</v>
      </c>
      <c r="S11" s="198">
        <v>20300</v>
      </c>
      <c r="T11" s="198">
        <v>9146</v>
      </c>
      <c r="U11" s="198">
        <v>9212</v>
      </c>
      <c r="V11" s="198">
        <v>165356</v>
      </c>
      <c r="W11" s="198">
        <v>22719</v>
      </c>
      <c r="X11" s="198">
        <v>9913</v>
      </c>
      <c r="Y11" s="198">
        <v>3369</v>
      </c>
      <c r="Z11" s="198">
        <v>210078</v>
      </c>
      <c r="AA11" s="198">
        <v>20261</v>
      </c>
      <c r="AB11" s="198">
        <v>10</v>
      </c>
      <c r="AC11" s="198">
        <v>35194</v>
      </c>
      <c r="AD11" s="198">
        <v>312.2</v>
      </c>
      <c r="AE11" s="198">
        <v>850.554131966688</v>
      </c>
      <c r="AF11" s="198">
        <v>36001</v>
      </c>
      <c r="AG11" s="198">
        <v>190317829.60382605</v>
      </c>
      <c r="AH11" s="198">
        <v>119369592.69256373</v>
      </c>
      <c r="AI11" s="198">
        <v>45640661.85538768</v>
      </c>
      <c r="AJ11" s="198">
        <v>25307575.05587465</v>
      </c>
      <c r="AK11" s="198">
        <v>12236</v>
      </c>
      <c r="AL11" s="198">
        <v>134866</v>
      </c>
      <c r="AM11" s="198">
        <v>0.7278054155951141</v>
      </c>
      <c r="AN11" s="198">
        <v>35194</v>
      </c>
      <c r="AO11" s="198">
        <v>0.13253597345815932</v>
      </c>
      <c r="AP11" s="198">
        <v>0.1308124298525061</v>
      </c>
      <c r="AQ11" s="198">
        <v>1</v>
      </c>
      <c r="AR11" s="198">
        <v>20261</v>
      </c>
      <c r="AS11" s="198">
        <v>10</v>
      </c>
      <c r="AT11" s="198">
        <v>1</v>
      </c>
      <c r="AU11" s="198">
        <v>312.2</v>
      </c>
      <c r="AV11" s="198">
        <v>850.554131966688</v>
      </c>
      <c r="AW11" s="198">
        <v>0.021165556211283337</v>
      </c>
      <c r="AX11" s="198">
        <v>15294</v>
      </c>
      <c r="AY11" s="198">
        <v>97444</v>
      </c>
      <c r="AZ11" s="198">
        <v>0.15695168507039942</v>
      </c>
      <c r="BA11" s="198">
        <v>0.09326282637474724</v>
      </c>
      <c r="BB11" s="198">
        <v>0</v>
      </c>
      <c r="BC11" s="198">
        <v>120247</v>
      </c>
      <c r="BD11" s="198">
        <v>125228</v>
      </c>
      <c r="BE11" s="198">
        <v>0.9602245504200339</v>
      </c>
      <c r="BF11" s="198">
        <v>0.5305856961236453</v>
      </c>
      <c r="BG11" s="198">
        <v>0</v>
      </c>
      <c r="BH11" s="198">
        <v>10</v>
      </c>
      <c r="BI11" s="198">
        <v>-26554.300000000003</v>
      </c>
      <c r="BJ11" s="198">
        <v>-63730.32</v>
      </c>
      <c r="BK11" s="198">
        <v>-1088726.2999999998</v>
      </c>
      <c r="BL11" s="198">
        <v>-98250.91</v>
      </c>
      <c r="BM11" s="198">
        <v>-1415344.19</v>
      </c>
      <c r="BN11" s="198">
        <v>-31865.16</v>
      </c>
      <c r="BO11" s="198">
        <v>-2408909</v>
      </c>
      <c r="BP11" s="198">
        <v>-266216.5658850074</v>
      </c>
      <c r="BQ11" s="198">
        <v>12227998</v>
      </c>
      <c r="BR11" s="198">
        <v>4741059</v>
      </c>
      <c r="BS11" s="198">
        <v>9930861.540707117</v>
      </c>
      <c r="BT11" s="198">
        <v>158476.05074123334</v>
      </c>
      <c r="BU11" s="198">
        <v>-3216643.810550721</v>
      </c>
      <c r="BV11" s="198">
        <v>3590217.8977544284</v>
      </c>
      <c r="BW11" s="198">
        <v>10028443.311231803</v>
      </c>
      <c r="BX11" s="198">
        <v>23898.87</v>
      </c>
      <c r="BY11" s="198">
        <v>-3741837.619272322</v>
      </c>
      <c r="BZ11" s="198">
        <v>31067347.67472653</v>
      </c>
      <c r="CA11" s="198">
        <v>26040618.684726533</v>
      </c>
      <c r="CB11" s="198">
        <v>0</v>
      </c>
      <c r="CC11" s="232">
        <v>-162800344.1260893</v>
      </c>
      <c r="CD11" s="198">
        <v>-26957517</v>
      </c>
      <c r="CE11" s="198">
        <v>-12421988.776004001</v>
      </c>
      <c r="CH11" s="198">
        <v>260753</v>
      </c>
    </row>
    <row r="12" spans="1:86" ht="11.25">
      <c r="A12" s="198">
        <v>50</v>
      </c>
      <c r="B12" s="198" t="s">
        <v>88</v>
      </c>
      <c r="C12" s="198">
        <v>12314</v>
      </c>
      <c r="D12" s="198">
        <v>46726207.919999994</v>
      </c>
      <c r="E12" s="198">
        <v>14849209.522268403</v>
      </c>
      <c r="F12" s="198">
        <v>2167394.080934866</v>
      </c>
      <c r="G12" s="198">
        <v>63742811.52320327</v>
      </c>
      <c r="H12" s="198">
        <v>3642.26</v>
      </c>
      <c r="I12" s="198">
        <v>44850789.64</v>
      </c>
      <c r="J12" s="198">
        <v>18892021.883203268</v>
      </c>
      <c r="K12" s="198">
        <v>457818.61392542</v>
      </c>
      <c r="L12" s="198">
        <v>2914573.846083264</v>
      </c>
      <c r="M12" s="198">
        <v>0</v>
      </c>
      <c r="N12" s="198">
        <v>22264414.343211953</v>
      </c>
      <c r="O12" s="198">
        <v>3471267.3314146367</v>
      </c>
      <c r="P12" s="198">
        <v>25735681.67462659</v>
      </c>
      <c r="Q12" s="198">
        <v>776</v>
      </c>
      <c r="R12" s="198">
        <v>130</v>
      </c>
      <c r="S12" s="198">
        <v>852</v>
      </c>
      <c r="T12" s="198">
        <v>419</v>
      </c>
      <c r="U12" s="198">
        <v>406</v>
      </c>
      <c r="V12" s="198">
        <v>6675</v>
      </c>
      <c r="W12" s="198">
        <v>1606</v>
      </c>
      <c r="X12" s="198">
        <v>996</v>
      </c>
      <c r="Y12" s="198">
        <v>454</v>
      </c>
      <c r="Z12" s="198">
        <v>11985</v>
      </c>
      <c r="AA12" s="198">
        <v>20</v>
      </c>
      <c r="AB12" s="198">
        <v>0</v>
      </c>
      <c r="AC12" s="198">
        <v>309</v>
      </c>
      <c r="AD12" s="198">
        <v>578.77</v>
      </c>
      <c r="AE12" s="198">
        <v>21.276154603728596</v>
      </c>
      <c r="AF12" s="198">
        <v>3056</v>
      </c>
      <c r="AG12" s="198">
        <v>14849209.522268403</v>
      </c>
      <c r="AH12" s="198">
        <v>8763961.40838579</v>
      </c>
      <c r="AI12" s="198">
        <v>4252750.400502533</v>
      </c>
      <c r="AJ12" s="198">
        <v>1832497.7133800797</v>
      </c>
      <c r="AK12" s="198">
        <v>450</v>
      </c>
      <c r="AL12" s="198">
        <v>5615</v>
      </c>
      <c r="AM12" s="198">
        <v>0.6428964751522638</v>
      </c>
      <c r="AN12" s="198">
        <v>309</v>
      </c>
      <c r="AO12" s="198">
        <v>0.02509338963781062</v>
      </c>
      <c r="AP12" s="198">
        <v>0.023369846032157398</v>
      </c>
      <c r="AQ12" s="198">
        <v>0</v>
      </c>
      <c r="AR12" s="198">
        <v>20</v>
      </c>
      <c r="AS12" s="198">
        <v>0</v>
      </c>
      <c r="AT12" s="198">
        <v>0</v>
      </c>
      <c r="AU12" s="198">
        <v>578.77</v>
      </c>
      <c r="AV12" s="198">
        <v>21.276154603728596</v>
      </c>
      <c r="AW12" s="198">
        <v>0.846132754070388</v>
      </c>
      <c r="AX12" s="198">
        <v>562</v>
      </c>
      <c r="AY12" s="198">
        <v>3612</v>
      </c>
      <c r="AZ12" s="198">
        <v>0.15559246954595793</v>
      </c>
      <c r="BA12" s="198">
        <v>0.09190361085030575</v>
      </c>
      <c r="BB12" s="198">
        <v>0</v>
      </c>
      <c r="BC12" s="198">
        <v>5206</v>
      </c>
      <c r="BD12" s="198">
        <v>5113</v>
      </c>
      <c r="BE12" s="198">
        <v>1.0181889301779776</v>
      </c>
      <c r="BF12" s="198">
        <v>0.5885500758815891</v>
      </c>
      <c r="BG12" s="198">
        <v>0</v>
      </c>
      <c r="BH12" s="198">
        <v>0</v>
      </c>
      <c r="BI12" s="198">
        <v>-1231.4</v>
      </c>
      <c r="BJ12" s="198">
        <v>-2955.3599999999997</v>
      </c>
      <c r="BK12" s="198">
        <v>-50487.399999999994</v>
      </c>
      <c r="BL12" s="198">
        <v>-4556.18</v>
      </c>
      <c r="BM12" s="198">
        <v>-65633.62</v>
      </c>
      <c r="BN12" s="198">
        <v>-1477.6799999999998</v>
      </c>
      <c r="BO12" s="198">
        <v>-119829</v>
      </c>
      <c r="BP12" s="198">
        <v>147021.0045784153</v>
      </c>
      <c r="BQ12" s="198">
        <v>930471</v>
      </c>
      <c r="BR12" s="198">
        <v>326226</v>
      </c>
      <c r="BS12" s="198">
        <v>755979.6991818466</v>
      </c>
      <c r="BT12" s="198">
        <v>35805.37842070008</v>
      </c>
      <c r="BU12" s="198">
        <v>118088.13599981995</v>
      </c>
      <c r="BV12" s="198">
        <v>359583.83389071794</v>
      </c>
      <c r="BW12" s="198">
        <v>622996.3429680677</v>
      </c>
      <c r="BX12" s="198">
        <v>1108.26</v>
      </c>
      <c r="BY12" s="198">
        <v>-29772.788956303324</v>
      </c>
      <c r="BZ12" s="198">
        <v>3147677.866083264</v>
      </c>
      <c r="CA12" s="198">
        <v>2914573.846083264</v>
      </c>
      <c r="CB12" s="198">
        <v>0</v>
      </c>
      <c r="CC12" s="232">
        <v>3471267.3314146367</v>
      </c>
      <c r="CD12" s="198">
        <v>-1361638</v>
      </c>
      <c r="CE12" s="198">
        <v>68712.45356</v>
      </c>
      <c r="CH12" s="198">
        <v>12368</v>
      </c>
    </row>
    <row r="13" spans="1:86" ht="11.25">
      <c r="A13" s="198">
        <v>51</v>
      </c>
      <c r="B13" s="198" t="s">
        <v>89</v>
      </c>
      <c r="C13" s="198">
        <v>5954</v>
      </c>
      <c r="D13" s="198">
        <v>21701246.729999997</v>
      </c>
      <c r="E13" s="198">
        <v>5999861.826551194</v>
      </c>
      <c r="F13" s="198">
        <v>1060395.9311673746</v>
      </c>
      <c r="G13" s="198">
        <v>28761504.487718567</v>
      </c>
      <c r="H13" s="198">
        <v>3642.26</v>
      </c>
      <c r="I13" s="198">
        <v>21686016.040000003</v>
      </c>
      <c r="J13" s="198">
        <v>7075488.447718564</v>
      </c>
      <c r="K13" s="198">
        <v>247833.88484874577</v>
      </c>
      <c r="L13" s="198">
        <v>2582333.5585208414</v>
      </c>
      <c r="M13" s="198">
        <v>2786157.178455826</v>
      </c>
      <c r="N13" s="198">
        <v>12691813.069543976</v>
      </c>
      <c r="O13" s="198">
        <v>-3432383.3831422487</v>
      </c>
      <c r="P13" s="198">
        <v>9259429.686401729</v>
      </c>
      <c r="Q13" s="198">
        <v>424</v>
      </c>
      <c r="R13" s="198">
        <v>81</v>
      </c>
      <c r="S13" s="198">
        <v>432</v>
      </c>
      <c r="T13" s="198">
        <v>201</v>
      </c>
      <c r="U13" s="198">
        <v>208</v>
      </c>
      <c r="V13" s="198">
        <v>3293</v>
      </c>
      <c r="W13" s="198">
        <v>766</v>
      </c>
      <c r="X13" s="198">
        <v>388</v>
      </c>
      <c r="Y13" s="198">
        <v>161</v>
      </c>
      <c r="Z13" s="198">
        <v>5837</v>
      </c>
      <c r="AA13" s="198">
        <v>10</v>
      </c>
      <c r="AB13" s="198">
        <v>0</v>
      </c>
      <c r="AC13" s="198">
        <v>107</v>
      </c>
      <c r="AD13" s="198">
        <v>345.39</v>
      </c>
      <c r="AE13" s="198">
        <v>17.238484032542924</v>
      </c>
      <c r="AF13" s="198">
        <v>1315</v>
      </c>
      <c r="AG13" s="198">
        <v>5999861.826551194</v>
      </c>
      <c r="AH13" s="198">
        <v>3660620.9410105837</v>
      </c>
      <c r="AI13" s="198">
        <v>1514182.6733552667</v>
      </c>
      <c r="AJ13" s="198">
        <v>825058.2121853436</v>
      </c>
      <c r="AK13" s="198">
        <v>287</v>
      </c>
      <c r="AL13" s="198">
        <v>2752</v>
      </c>
      <c r="AM13" s="198">
        <v>0.8365882462776556</v>
      </c>
      <c r="AN13" s="198">
        <v>107</v>
      </c>
      <c r="AO13" s="198">
        <v>0.01797111185757474</v>
      </c>
      <c r="AP13" s="198">
        <v>0.016247568251921515</v>
      </c>
      <c r="AQ13" s="198">
        <v>0</v>
      </c>
      <c r="AR13" s="198">
        <v>10</v>
      </c>
      <c r="AS13" s="198">
        <v>0</v>
      </c>
      <c r="AT13" s="198">
        <v>0</v>
      </c>
      <c r="AU13" s="198">
        <v>345.39</v>
      </c>
      <c r="AV13" s="198">
        <v>17.238484032542924</v>
      </c>
      <c r="AW13" s="198">
        <v>1.0443175430562859</v>
      </c>
      <c r="AX13" s="198">
        <v>252</v>
      </c>
      <c r="AY13" s="198">
        <v>1885</v>
      </c>
      <c r="AZ13" s="198">
        <v>0.1336870026525199</v>
      </c>
      <c r="BA13" s="198">
        <v>0.06999814395686772</v>
      </c>
      <c r="BB13" s="198">
        <v>0</v>
      </c>
      <c r="BC13" s="198">
        <v>2667</v>
      </c>
      <c r="BD13" s="198">
        <v>2450</v>
      </c>
      <c r="BE13" s="198">
        <v>1.0885714285714285</v>
      </c>
      <c r="BF13" s="198">
        <v>0.65893257427504</v>
      </c>
      <c r="BG13" s="198">
        <v>0</v>
      </c>
      <c r="BH13" s="198">
        <v>0</v>
      </c>
      <c r="BI13" s="198">
        <v>-595.4</v>
      </c>
      <c r="BJ13" s="198">
        <v>-1428.96</v>
      </c>
      <c r="BK13" s="198">
        <v>-24411.399999999998</v>
      </c>
      <c r="BL13" s="198">
        <v>-2202.98</v>
      </c>
      <c r="BM13" s="198">
        <v>-31734.82</v>
      </c>
      <c r="BN13" s="198">
        <v>-714.48</v>
      </c>
      <c r="BO13" s="198">
        <v>119735</v>
      </c>
      <c r="BP13" s="198">
        <v>518807.43686433695</v>
      </c>
      <c r="BQ13" s="198">
        <v>575082</v>
      </c>
      <c r="BR13" s="198">
        <v>253797</v>
      </c>
      <c r="BS13" s="198">
        <v>666755.2375785521</v>
      </c>
      <c r="BT13" s="198">
        <v>31795.030453340823</v>
      </c>
      <c r="BU13" s="198">
        <v>75512.70470313389</v>
      </c>
      <c r="BV13" s="198">
        <v>179044.25078437844</v>
      </c>
      <c r="BW13" s="198">
        <v>433828.5814116105</v>
      </c>
      <c r="BX13" s="198">
        <v>535.86</v>
      </c>
      <c r="BY13" s="198">
        <v>-159850.32327451097</v>
      </c>
      <c r="BZ13" s="198">
        <v>2695042.7785208416</v>
      </c>
      <c r="CA13" s="198">
        <v>2582333.5585208414</v>
      </c>
      <c r="CB13" s="198">
        <v>2786157.178455826</v>
      </c>
      <c r="CC13" s="232">
        <v>-3432383.3831422487</v>
      </c>
      <c r="CD13" s="198">
        <v>-678519</v>
      </c>
      <c r="CE13" s="198">
        <v>-34227.966854</v>
      </c>
      <c r="CH13" s="198">
        <v>5931</v>
      </c>
    </row>
    <row r="14" spans="1:86" ht="11.25">
      <c r="A14" s="198">
        <v>52</v>
      </c>
      <c r="B14" s="198" t="s">
        <v>90</v>
      </c>
      <c r="C14" s="198">
        <v>2651</v>
      </c>
      <c r="D14" s="198">
        <v>9928706.88</v>
      </c>
      <c r="E14" s="198">
        <v>4888889.772340629</v>
      </c>
      <c r="F14" s="198">
        <v>650713.0943528945</v>
      </c>
      <c r="G14" s="198">
        <v>15468309.746693525</v>
      </c>
      <c r="H14" s="198">
        <v>3642.26</v>
      </c>
      <c r="I14" s="198">
        <v>9655631.26</v>
      </c>
      <c r="J14" s="198">
        <v>5812678.486693526</v>
      </c>
      <c r="K14" s="198">
        <v>74430.12382804746</v>
      </c>
      <c r="L14" s="198">
        <v>905576.6394476612</v>
      </c>
      <c r="M14" s="198">
        <v>-645192.988887134</v>
      </c>
      <c r="N14" s="198">
        <v>6147492.261082101</v>
      </c>
      <c r="O14" s="198">
        <v>1905569.8075348837</v>
      </c>
      <c r="P14" s="198">
        <v>8053062.068616984</v>
      </c>
      <c r="Q14" s="198">
        <v>174</v>
      </c>
      <c r="R14" s="198">
        <v>25</v>
      </c>
      <c r="S14" s="198">
        <v>172</v>
      </c>
      <c r="T14" s="198">
        <v>82</v>
      </c>
      <c r="U14" s="198">
        <v>102</v>
      </c>
      <c r="V14" s="198">
        <v>1420</v>
      </c>
      <c r="W14" s="198">
        <v>353</v>
      </c>
      <c r="X14" s="198">
        <v>232</v>
      </c>
      <c r="Y14" s="198">
        <v>91</v>
      </c>
      <c r="Z14" s="198">
        <v>2524</v>
      </c>
      <c r="AA14" s="198">
        <v>52</v>
      </c>
      <c r="AB14" s="198">
        <v>0</v>
      </c>
      <c r="AC14" s="198">
        <v>75</v>
      </c>
      <c r="AD14" s="198">
        <v>354.07</v>
      </c>
      <c r="AE14" s="198">
        <v>7.487220041234784</v>
      </c>
      <c r="AF14" s="198">
        <v>676</v>
      </c>
      <c r="AG14" s="198">
        <v>4888889.772340629</v>
      </c>
      <c r="AH14" s="198">
        <v>2835370.0662886314</v>
      </c>
      <c r="AI14" s="198">
        <v>1558484.7787407914</v>
      </c>
      <c r="AJ14" s="198">
        <v>495034.9273112063</v>
      </c>
      <c r="AK14" s="198">
        <v>83</v>
      </c>
      <c r="AL14" s="198">
        <v>1188</v>
      </c>
      <c r="AM14" s="198">
        <v>0.5604539613960657</v>
      </c>
      <c r="AN14" s="198">
        <v>75</v>
      </c>
      <c r="AO14" s="198">
        <v>0.02829121086382497</v>
      </c>
      <c r="AP14" s="198">
        <v>0.026567667258171748</v>
      </c>
      <c r="AQ14" s="198">
        <v>0</v>
      </c>
      <c r="AR14" s="198">
        <v>52</v>
      </c>
      <c r="AS14" s="198">
        <v>0</v>
      </c>
      <c r="AT14" s="198">
        <v>0</v>
      </c>
      <c r="AU14" s="198">
        <v>354.07</v>
      </c>
      <c r="AV14" s="198">
        <v>7.487220041234784</v>
      </c>
      <c r="AW14" s="198">
        <v>2.4044239639992333</v>
      </c>
      <c r="AX14" s="198">
        <v>133</v>
      </c>
      <c r="AY14" s="198">
        <v>749</v>
      </c>
      <c r="AZ14" s="198">
        <v>0.17757009345794392</v>
      </c>
      <c r="BA14" s="198">
        <v>0.11388123476229174</v>
      </c>
      <c r="BB14" s="198">
        <v>0</v>
      </c>
      <c r="BC14" s="198">
        <v>965</v>
      </c>
      <c r="BD14" s="198">
        <v>1104</v>
      </c>
      <c r="BE14" s="198">
        <v>0.8740942028985508</v>
      </c>
      <c r="BF14" s="198">
        <v>0.44445534860216224</v>
      </c>
      <c r="BG14" s="198">
        <v>0</v>
      </c>
      <c r="BH14" s="198">
        <v>0</v>
      </c>
      <c r="BI14" s="198">
        <v>-265.1</v>
      </c>
      <c r="BJ14" s="198">
        <v>-636.24</v>
      </c>
      <c r="BK14" s="198">
        <v>-10869.099999999999</v>
      </c>
      <c r="BL14" s="198">
        <v>-980.87</v>
      </c>
      <c r="BM14" s="198">
        <v>-14129.83</v>
      </c>
      <c r="BN14" s="198">
        <v>-318.12</v>
      </c>
      <c r="BO14" s="198">
        <v>-100747</v>
      </c>
      <c r="BP14" s="198">
        <v>216915.193710112</v>
      </c>
      <c r="BQ14" s="198">
        <v>268330</v>
      </c>
      <c r="BR14" s="198">
        <v>90507</v>
      </c>
      <c r="BS14" s="198">
        <v>236019.7094316398</v>
      </c>
      <c r="BT14" s="198">
        <v>12785.587300546524</v>
      </c>
      <c r="BU14" s="198">
        <v>13972.667475937424</v>
      </c>
      <c r="BV14" s="198">
        <v>91029.97670731465</v>
      </c>
      <c r="BW14" s="198">
        <v>161477.11120284075</v>
      </c>
      <c r="BX14" s="198">
        <v>238.59</v>
      </c>
      <c r="BY14" s="198">
        <v>-34768.76638072978</v>
      </c>
      <c r="BZ14" s="198">
        <v>955760.0694476613</v>
      </c>
      <c r="CA14" s="198">
        <v>905576.6394476612</v>
      </c>
      <c r="CB14" s="198">
        <v>-645192.988887134</v>
      </c>
      <c r="CC14" s="232">
        <v>1905569.8075348837</v>
      </c>
      <c r="CD14" s="198">
        <v>-188812</v>
      </c>
      <c r="CE14" s="198">
        <v>57281.13200000001</v>
      </c>
      <c r="CH14" s="198">
        <v>2685</v>
      </c>
    </row>
    <row r="15" spans="1:86" ht="11.25">
      <c r="A15" s="198">
        <v>61</v>
      </c>
      <c r="B15" s="198" t="s">
        <v>91</v>
      </c>
      <c r="C15" s="198">
        <v>17521</v>
      </c>
      <c r="D15" s="198">
        <v>60939176.95999999</v>
      </c>
      <c r="E15" s="198">
        <v>25868514.269039985</v>
      </c>
      <c r="F15" s="198">
        <v>4313074.323979273</v>
      </c>
      <c r="G15" s="198">
        <v>91120765.55301926</v>
      </c>
      <c r="H15" s="198">
        <v>3642.26</v>
      </c>
      <c r="I15" s="198">
        <v>63816037.46</v>
      </c>
      <c r="J15" s="198">
        <v>27304728.093019255</v>
      </c>
      <c r="K15" s="198">
        <v>888630.2047941778</v>
      </c>
      <c r="L15" s="198">
        <v>5040866.243668771</v>
      </c>
      <c r="M15" s="198">
        <v>0</v>
      </c>
      <c r="N15" s="198">
        <v>33234224.541482203</v>
      </c>
      <c r="O15" s="198">
        <v>7999292.434700003</v>
      </c>
      <c r="P15" s="198">
        <v>41233516.97618221</v>
      </c>
      <c r="Q15" s="198">
        <v>831</v>
      </c>
      <c r="R15" s="198">
        <v>174</v>
      </c>
      <c r="S15" s="198">
        <v>946</v>
      </c>
      <c r="T15" s="198">
        <v>504</v>
      </c>
      <c r="U15" s="198">
        <v>559</v>
      </c>
      <c r="V15" s="198">
        <v>9840</v>
      </c>
      <c r="W15" s="198">
        <v>2572</v>
      </c>
      <c r="X15" s="198">
        <v>1521</v>
      </c>
      <c r="Y15" s="198">
        <v>574</v>
      </c>
      <c r="Z15" s="198">
        <v>16767</v>
      </c>
      <c r="AA15" s="198">
        <v>46</v>
      </c>
      <c r="AB15" s="198">
        <v>1</v>
      </c>
      <c r="AC15" s="198">
        <v>707</v>
      </c>
      <c r="AD15" s="198">
        <v>248.78</v>
      </c>
      <c r="AE15" s="198">
        <v>70.42768711311199</v>
      </c>
      <c r="AF15" s="198">
        <v>4667</v>
      </c>
      <c r="AG15" s="198">
        <v>25868514.269039985</v>
      </c>
      <c r="AH15" s="198">
        <v>15200862.87038647</v>
      </c>
      <c r="AI15" s="198">
        <v>7367418.549912141</v>
      </c>
      <c r="AJ15" s="198">
        <v>3300232.8487413744</v>
      </c>
      <c r="AK15" s="198">
        <v>1219</v>
      </c>
      <c r="AL15" s="198">
        <v>8229</v>
      </c>
      <c r="AM15" s="198">
        <v>1.188324181425466</v>
      </c>
      <c r="AN15" s="198">
        <v>707</v>
      </c>
      <c r="AO15" s="198">
        <v>0.040351578106272476</v>
      </c>
      <c r="AP15" s="198">
        <v>0.03862803450061925</v>
      </c>
      <c r="AQ15" s="198">
        <v>0</v>
      </c>
      <c r="AR15" s="198">
        <v>46</v>
      </c>
      <c r="AS15" s="198">
        <v>1</v>
      </c>
      <c r="AT15" s="198">
        <v>0</v>
      </c>
      <c r="AU15" s="198">
        <v>248.78</v>
      </c>
      <c r="AV15" s="198">
        <v>70.42768711311199</v>
      </c>
      <c r="AW15" s="198">
        <v>0.25561610822128794</v>
      </c>
      <c r="AX15" s="198">
        <v>946</v>
      </c>
      <c r="AY15" s="198">
        <v>4997</v>
      </c>
      <c r="AZ15" s="198">
        <v>0.18931358815289173</v>
      </c>
      <c r="BA15" s="198">
        <v>0.12562472945723957</v>
      </c>
      <c r="BB15" s="198">
        <v>0</v>
      </c>
      <c r="BC15" s="198">
        <v>8285</v>
      </c>
      <c r="BD15" s="198">
        <v>6722</v>
      </c>
      <c r="BE15" s="198">
        <v>1.232520083308539</v>
      </c>
      <c r="BF15" s="198">
        <v>0.8028812290121505</v>
      </c>
      <c r="BG15" s="198">
        <v>0</v>
      </c>
      <c r="BH15" s="198">
        <v>1</v>
      </c>
      <c r="BI15" s="198">
        <v>-1752.1000000000001</v>
      </c>
      <c r="BJ15" s="198">
        <v>-4205.04</v>
      </c>
      <c r="BK15" s="198">
        <v>-71836.09999999999</v>
      </c>
      <c r="BL15" s="198">
        <v>-6482.7699999999995</v>
      </c>
      <c r="BM15" s="198">
        <v>-93386.93000000001</v>
      </c>
      <c r="BN15" s="198">
        <v>-2102.52</v>
      </c>
      <c r="BO15" s="198">
        <v>482824</v>
      </c>
      <c r="BP15" s="198">
        <v>86203.58749876171</v>
      </c>
      <c r="BQ15" s="198">
        <v>1410670</v>
      </c>
      <c r="BR15" s="198">
        <v>454609</v>
      </c>
      <c r="BS15" s="198">
        <v>1074037.505485831</v>
      </c>
      <c r="BT15" s="198">
        <v>51148.73329094706</v>
      </c>
      <c r="BU15" s="198">
        <v>150656.3595286791</v>
      </c>
      <c r="BV15" s="198">
        <v>556585.7054233298</v>
      </c>
      <c r="BW15" s="198">
        <v>929959.1320032653</v>
      </c>
      <c r="BX15" s="198">
        <v>1576.8899999999999</v>
      </c>
      <c r="BY15" s="198">
        <v>174267.8604379583</v>
      </c>
      <c r="BZ15" s="198">
        <v>5372538.773668772</v>
      </c>
      <c r="CA15" s="198">
        <v>5040866.243668771</v>
      </c>
      <c r="CB15" s="198">
        <v>0</v>
      </c>
      <c r="CC15" s="232">
        <v>7999292.434700003</v>
      </c>
      <c r="CD15" s="198">
        <v>-10725</v>
      </c>
      <c r="CE15" s="198">
        <v>221441.38486000002</v>
      </c>
      <c r="CH15" s="198">
        <v>17667</v>
      </c>
    </row>
    <row r="16" spans="1:86" ht="11.25">
      <c r="A16" s="198">
        <v>69</v>
      </c>
      <c r="B16" s="198" t="s">
        <v>92</v>
      </c>
      <c r="C16" s="198">
        <v>7479</v>
      </c>
      <c r="D16" s="198">
        <v>28464223.220000003</v>
      </c>
      <c r="E16" s="198">
        <v>11702855.91519626</v>
      </c>
      <c r="F16" s="198">
        <v>1603955.2487499055</v>
      </c>
      <c r="G16" s="198">
        <v>41771034.383946165</v>
      </c>
      <c r="H16" s="198">
        <v>3642.26</v>
      </c>
      <c r="I16" s="198">
        <v>27240462.540000003</v>
      </c>
      <c r="J16" s="198">
        <v>14530571.843946163</v>
      </c>
      <c r="K16" s="198">
        <v>505689.2658699779</v>
      </c>
      <c r="L16" s="198">
        <v>1856363.8764278605</v>
      </c>
      <c r="M16" s="198">
        <v>0</v>
      </c>
      <c r="N16" s="198">
        <v>16892624.986244</v>
      </c>
      <c r="O16" s="198">
        <v>6655783.814380957</v>
      </c>
      <c r="P16" s="198">
        <v>23548408.80062496</v>
      </c>
      <c r="Q16" s="198">
        <v>573</v>
      </c>
      <c r="R16" s="198">
        <v>81</v>
      </c>
      <c r="S16" s="198">
        <v>624</v>
      </c>
      <c r="T16" s="198">
        <v>335</v>
      </c>
      <c r="U16" s="198">
        <v>336</v>
      </c>
      <c r="V16" s="198">
        <v>4023</v>
      </c>
      <c r="W16" s="198">
        <v>836</v>
      </c>
      <c r="X16" s="198">
        <v>500</v>
      </c>
      <c r="Y16" s="198">
        <v>171</v>
      </c>
      <c r="Z16" s="198">
        <v>7375</v>
      </c>
      <c r="AA16" s="198">
        <v>2</v>
      </c>
      <c r="AB16" s="198">
        <v>0</v>
      </c>
      <c r="AC16" s="198">
        <v>102</v>
      </c>
      <c r="AD16" s="198">
        <v>765.66</v>
      </c>
      <c r="AE16" s="198">
        <v>9.768043256798057</v>
      </c>
      <c r="AF16" s="198">
        <v>1507</v>
      </c>
      <c r="AG16" s="198">
        <v>11702855.91519626</v>
      </c>
      <c r="AH16" s="198">
        <v>6971947.60653362</v>
      </c>
      <c r="AI16" s="198">
        <v>3115531.1774365986</v>
      </c>
      <c r="AJ16" s="198">
        <v>1615377.1312260416</v>
      </c>
      <c r="AK16" s="198">
        <v>342</v>
      </c>
      <c r="AL16" s="198">
        <v>3165</v>
      </c>
      <c r="AM16" s="198">
        <v>0.866823512816673</v>
      </c>
      <c r="AN16" s="198">
        <v>102</v>
      </c>
      <c r="AO16" s="198">
        <v>0.01363818692338548</v>
      </c>
      <c r="AP16" s="198">
        <v>0.011914643317732256</v>
      </c>
      <c r="AQ16" s="198">
        <v>0</v>
      </c>
      <c r="AR16" s="198">
        <v>2</v>
      </c>
      <c r="AS16" s="198">
        <v>0</v>
      </c>
      <c r="AT16" s="198">
        <v>0</v>
      </c>
      <c r="AU16" s="198">
        <v>765.66</v>
      </c>
      <c r="AV16" s="198">
        <v>9.768043256798057</v>
      </c>
      <c r="AW16" s="198">
        <v>1.8429946323539732</v>
      </c>
      <c r="AX16" s="198">
        <v>334</v>
      </c>
      <c r="AY16" s="198">
        <v>2102</v>
      </c>
      <c r="AZ16" s="198">
        <v>0.15889628924833493</v>
      </c>
      <c r="BA16" s="198">
        <v>0.09520743055268276</v>
      </c>
      <c r="BB16" s="198">
        <v>0.13203333333333334</v>
      </c>
      <c r="BC16" s="198">
        <v>3002</v>
      </c>
      <c r="BD16" s="198">
        <v>2819</v>
      </c>
      <c r="BE16" s="198">
        <v>1.0649166371053564</v>
      </c>
      <c r="BF16" s="198">
        <v>0.635277782808968</v>
      </c>
      <c r="BG16" s="198">
        <v>0</v>
      </c>
      <c r="BH16" s="198">
        <v>0</v>
      </c>
      <c r="BI16" s="198">
        <v>-747.9000000000001</v>
      </c>
      <c r="BJ16" s="198">
        <v>-1794.96</v>
      </c>
      <c r="BK16" s="198">
        <v>-30663.899999999998</v>
      </c>
      <c r="BL16" s="198">
        <v>-2767.23</v>
      </c>
      <c r="BM16" s="198">
        <v>-39863.07</v>
      </c>
      <c r="BN16" s="198">
        <v>-897.48</v>
      </c>
      <c r="BO16" s="198">
        <v>4482</v>
      </c>
      <c r="BP16" s="198">
        <v>-113460.30353241414</v>
      </c>
      <c r="BQ16" s="198">
        <v>673244</v>
      </c>
      <c r="BR16" s="198">
        <v>206380</v>
      </c>
      <c r="BS16" s="198">
        <v>508460.5721752701</v>
      </c>
      <c r="BT16" s="198">
        <v>25606.347000850088</v>
      </c>
      <c r="BU16" s="198">
        <v>17551.09041727703</v>
      </c>
      <c r="BV16" s="198">
        <v>266734.2517578432</v>
      </c>
      <c r="BW16" s="198">
        <v>403645.1750627596</v>
      </c>
      <c r="BX16" s="198">
        <v>673.11</v>
      </c>
      <c r="BY16" s="198">
        <v>4625.103546274266</v>
      </c>
      <c r="BZ16" s="198">
        <v>1997941.3464278604</v>
      </c>
      <c r="CA16" s="198">
        <v>1856363.8764278605</v>
      </c>
      <c r="CB16" s="198">
        <v>0</v>
      </c>
      <c r="CC16" s="232">
        <v>6655783.814380957</v>
      </c>
      <c r="CD16" s="198">
        <v>-646</v>
      </c>
      <c r="CE16" s="198">
        <v>66495.92279999997</v>
      </c>
      <c r="CH16" s="198">
        <v>7616</v>
      </c>
    </row>
    <row r="17" spans="1:86" ht="11.25">
      <c r="A17" s="198">
        <v>71</v>
      </c>
      <c r="B17" s="198" t="s">
        <v>93</v>
      </c>
      <c r="C17" s="198">
        <v>7175</v>
      </c>
      <c r="D17" s="198">
        <v>27943843.869999997</v>
      </c>
      <c r="E17" s="198">
        <v>10855186.6502275</v>
      </c>
      <c r="F17" s="198">
        <v>1754452.1997141817</v>
      </c>
      <c r="G17" s="198">
        <v>40553482.71994168</v>
      </c>
      <c r="H17" s="198">
        <v>3642.26</v>
      </c>
      <c r="I17" s="198">
        <v>26133215.5</v>
      </c>
      <c r="J17" s="198">
        <v>14420267.219941683</v>
      </c>
      <c r="K17" s="198">
        <v>649684.9663807366</v>
      </c>
      <c r="L17" s="198">
        <v>1847477.0358832364</v>
      </c>
      <c r="M17" s="198">
        <v>-263917.4519460238</v>
      </c>
      <c r="N17" s="198">
        <v>16653511.77025963</v>
      </c>
      <c r="O17" s="198">
        <v>6355335.804800001</v>
      </c>
      <c r="P17" s="198">
        <v>23008847.57505963</v>
      </c>
      <c r="Q17" s="198">
        <v>581</v>
      </c>
      <c r="R17" s="198">
        <v>99</v>
      </c>
      <c r="S17" s="198">
        <v>645</v>
      </c>
      <c r="T17" s="198">
        <v>295</v>
      </c>
      <c r="U17" s="198">
        <v>316</v>
      </c>
      <c r="V17" s="198">
        <v>3847</v>
      </c>
      <c r="W17" s="198">
        <v>744</v>
      </c>
      <c r="X17" s="198">
        <v>462</v>
      </c>
      <c r="Y17" s="198">
        <v>186</v>
      </c>
      <c r="Z17" s="198">
        <v>7070</v>
      </c>
      <c r="AA17" s="198">
        <v>2</v>
      </c>
      <c r="AB17" s="198">
        <v>2</v>
      </c>
      <c r="AC17" s="198">
        <v>101</v>
      </c>
      <c r="AD17" s="198">
        <v>1049.77</v>
      </c>
      <c r="AE17" s="198">
        <v>6.834830486678034</v>
      </c>
      <c r="AF17" s="198">
        <v>1392</v>
      </c>
      <c r="AG17" s="198">
        <v>10855186.6502275</v>
      </c>
      <c r="AH17" s="198">
        <v>6600069.368706842</v>
      </c>
      <c r="AI17" s="198">
        <v>2796066.969445524</v>
      </c>
      <c r="AJ17" s="198">
        <v>1459050.3120751344</v>
      </c>
      <c r="AK17" s="198">
        <v>388</v>
      </c>
      <c r="AL17" s="198">
        <v>3086</v>
      </c>
      <c r="AM17" s="198">
        <v>1.008588693523601</v>
      </c>
      <c r="AN17" s="198">
        <v>101</v>
      </c>
      <c r="AO17" s="198">
        <v>0.01407665505226481</v>
      </c>
      <c r="AP17" s="198">
        <v>0.012353111446611586</v>
      </c>
      <c r="AQ17" s="198">
        <v>0</v>
      </c>
      <c r="AR17" s="198">
        <v>2</v>
      </c>
      <c r="AS17" s="198">
        <v>2</v>
      </c>
      <c r="AT17" s="198">
        <v>0</v>
      </c>
      <c r="AU17" s="198">
        <v>1049.77</v>
      </c>
      <c r="AV17" s="198">
        <v>6.834830486678034</v>
      </c>
      <c r="AW17" s="198">
        <v>2.633927984895798</v>
      </c>
      <c r="AX17" s="198">
        <v>241</v>
      </c>
      <c r="AY17" s="198">
        <v>1942</v>
      </c>
      <c r="AZ17" s="198">
        <v>0.12409886714727085</v>
      </c>
      <c r="BA17" s="198">
        <v>0.060410008451618674</v>
      </c>
      <c r="BB17" s="198">
        <v>0.2576</v>
      </c>
      <c r="BC17" s="198">
        <v>2715</v>
      </c>
      <c r="BD17" s="198">
        <v>2677</v>
      </c>
      <c r="BE17" s="198">
        <v>1.0141949943967128</v>
      </c>
      <c r="BF17" s="198">
        <v>0.5845561401003243</v>
      </c>
      <c r="BG17" s="198">
        <v>0</v>
      </c>
      <c r="BH17" s="198">
        <v>2</v>
      </c>
      <c r="BI17" s="198">
        <v>-717.5</v>
      </c>
      <c r="BJ17" s="198">
        <v>-1722</v>
      </c>
      <c r="BK17" s="198">
        <v>-29417.499999999996</v>
      </c>
      <c r="BL17" s="198">
        <v>-2654.75</v>
      </c>
      <c r="BM17" s="198">
        <v>-38242.75</v>
      </c>
      <c r="BN17" s="198">
        <v>-861</v>
      </c>
      <c r="BO17" s="198">
        <v>-163632</v>
      </c>
      <c r="BP17" s="198">
        <v>-11546.944741975516</v>
      </c>
      <c r="BQ17" s="198">
        <v>634501</v>
      </c>
      <c r="BR17" s="198">
        <v>212191</v>
      </c>
      <c r="BS17" s="198">
        <v>544020.7642299961</v>
      </c>
      <c r="BT17" s="198">
        <v>27631.80870777018</v>
      </c>
      <c r="BU17" s="198">
        <v>55173.66513559559</v>
      </c>
      <c r="BV17" s="198">
        <v>266304.3682504167</v>
      </c>
      <c r="BW17" s="198">
        <v>398650.65669674997</v>
      </c>
      <c r="BX17" s="198">
        <v>645.75</v>
      </c>
      <c r="BY17" s="198">
        <v>19359.71760468343</v>
      </c>
      <c r="BZ17" s="198">
        <v>1983299.7858832364</v>
      </c>
      <c r="CA17" s="198">
        <v>1847477.0358832364</v>
      </c>
      <c r="CB17" s="198">
        <v>-263917.4519460238</v>
      </c>
      <c r="CC17" s="232">
        <v>6355335.804800001</v>
      </c>
      <c r="CD17" s="198">
        <v>-249300</v>
      </c>
      <c r="CE17" s="198">
        <v>12203.371600000013</v>
      </c>
      <c r="CH17" s="198">
        <v>7241</v>
      </c>
    </row>
    <row r="18" spans="1:86" ht="11.25">
      <c r="A18" s="198">
        <v>72</v>
      </c>
      <c r="B18" s="198" t="s">
        <v>94</v>
      </c>
      <c r="C18" s="198">
        <v>997</v>
      </c>
      <c r="D18" s="198">
        <v>3423235.7300000004</v>
      </c>
      <c r="E18" s="198">
        <v>1401103.4162223723</v>
      </c>
      <c r="F18" s="198">
        <v>1390747.4588370747</v>
      </c>
      <c r="G18" s="198">
        <v>6215086.605059447</v>
      </c>
      <c r="H18" s="198">
        <v>3642.26</v>
      </c>
      <c r="I18" s="198">
        <v>3631333.22</v>
      </c>
      <c r="J18" s="198">
        <v>2583753.3850594466</v>
      </c>
      <c r="K18" s="198">
        <v>187782.5250158676</v>
      </c>
      <c r="L18" s="198">
        <v>317550.473261943</v>
      </c>
      <c r="M18" s="198">
        <v>0</v>
      </c>
      <c r="N18" s="198">
        <v>3089086.3833372574</v>
      </c>
      <c r="O18" s="198">
        <v>465606.0680519479</v>
      </c>
      <c r="P18" s="198">
        <v>3554692.451389205</v>
      </c>
      <c r="Q18" s="198">
        <v>49</v>
      </c>
      <c r="R18" s="198">
        <v>9</v>
      </c>
      <c r="S18" s="198">
        <v>48</v>
      </c>
      <c r="T18" s="198">
        <v>21</v>
      </c>
      <c r="U18" s="198">
        <v>33</v>
      </c>
      <c r="V18" s="198">
        <v>503</v>
      </c>
      <c r="W18" s="198">
        <v>209</v>
      </c>
      <c r="X18" s="198">
        <v>94</v>
      </c>
      <c r="Y18" s="198">
        <v>31</v>
      </c>
      <c r="Z18" s="198">
        <v>986</v>
      </c>
      <c r="AA18" s="198">
        <v>0</v>
      </c>
      <c r="AB18" s="198">
        <v>0</v>
      </c>
      <c r="AC18" s="198">
        <v>11</v>
      </c>
      <c r="AD18" s="198">
        <v>200.56</v>
      </c>
      <c r="AE18" s="198">
        <v>4.97108097327483</v>
      </c>
      <c r="AF18" s="198">
        <v>334</v>
      </c>
      <c r="AG18" s="198">
        <v>1401103.4162223723</v>
      </c>
      <c r="AH18" s="198">
        <v>863677.8041528007</v>
      </c>
      <c r="AI18" s="198">
        <v>381098.7929186643</v>
      </c>
      <c r="AJ18" s="198">
        <v>156326.81915090725</v>
      </c>
      <c r="AK18" s="198">
        <v>42</v>
      </c>
      <c r="AL18" s="198">
        <v>406</v>
      </c>
      <c r="AM18" s="198">
        <v>0.8298537259724047</v>
      </c>
      <c r="AN18" s="198">
        <v>11</v>
      </c>
      <c r="AO18" s="198">
        <v>0.011033099297893681</v>
      </c>
      <c r="AP18" s="198">
        <v>0.009309555692240458</v>
      </c>
      <c r="AQ18" s="198">
        <v>0</v>
      </c>
      <c r="AR18" s="198">
        <v>0</v>
      </c>
      <c r="AS18" s="198">
        <v>0</v>
      </c>
      <c r="AT18" s="198">
        <v>3</v>
      </c>
      <c r="AU18" s="198">
        <v>200.56</v>
      </c>
      <c r="AV18" s="198">
        <v>4.97108097327483</v>
      </c>
      <c r="AW18" s="198">
        <v>3.6214359387150865</v>
      </c>
      <c r="AX18" s="198">
        <v>22</v>
      </c>
      <c r="AY18" s="198">
        <v>258</v>
      </c>
      <c r="AZ18" s="198">
        <v>0.08527131782945736</v>
      </c>
      <c r="BA18" s="198">
        <v>0.021582459133805187</v>
      </c>
      <c r="BB18" s="198">
        <v>0.8267333333333333</v>
      </c>
      <c r="BC18" s="198">
        <v>237</v>
      </c>
      <c r="BD18" s="198">
        <v>345</v>
      </c>
      <c r="BE18" s="198">
        <v>0.6869565217391305</v>
      </c>
      <c r="BF18" s="198">
        <v>0.2573176674427419</v>
      </c>
      <c r="BG18" s="198">
        <v>0</v>
      </c>
      <c r="BH18" s="198">
        <v>0</v>
      </c>
      <c r="BI18" s="198">
        <v>-99.7</v>
      </c>
      <c r="BJ18" s="198">
        <v>-239.28</v>
      </c>
      <c r="BK18" s="198">
        <v>-4087.7</v>
      </c>
      <c r="BL18" s="198">
        <v>-368.89</v>
      </c>
      <c r="BM18" s="198">
        <v>-5314.01</v>
      </c>
      <c r="BN18" s="198">
        <v>-119.64</v>
      </c>
      <c r="BO18" s="198">
        <v>15733</v>
      </c>
      <c r="BP18" s="198">
        <v>41680.04681260092</v>
      </c>
      <c r="BQ18" s="198">
        <v>91944</v>
      </c>
      <c r="BR18" s="198">
        <v>29110</v>
      </c>
      <c r="BS18" s="198">
        <v>64666.662457567494</v>
      </c>
      <c r="BT18" s="198">
        <v>2692.481337280261</v>
      </c>
      <c r="BU18" s="198">
        <v>2749.036578336676</v>
      </c>
      <c r="BV18" s="198">
        <v>30690.44953189687</v>
      </c>
      <c r="BW18" s="198">
        <v>48964.25507520986</v>
      </c>
      <c r="BX18" s="198">
        <v>89.72999999999999</v>
      </c>
      <c r="BY18" s="198">
        <v>8104.021469051028</v>
      </c>
      <c r="BZ18" s="198">
        <v>336423.68326194305</v>
      </c>
      <c r="CA18" s="198">
        <v>317550.473261943</v>
      </c>
      <c r="CB18" s="198">
        <v>0</v>
      </c>
      <c r="CC18" s="232">
        <v>465606.0680519479</v>
      </c>
      <c r="CD18" s="198">
        <v>-215002</v>
      </c>
      <c r="CE18" s="198">
        <v>0</v>
      </c>
      <c r="CH18" s="198">
        <v>999</v>
      </c>
    </row>
    <row r="19" spans="1:86" ht="11.25">
      <c r="A19" s="198">
        <v>74</v>
      </c>
      <c r="B19" s="198" t="s">
        <v>95</v>
      </c>
      <c r="C19" s="198">
        <v>1222</v>
      </c>
      <c r="D19" s="198">
        <v>4732065.42</v>
      </c>
      <c r="E19" s="198">
        <v>1946791.6798398038</v>
      </c>
      <c r="F19" s="198">
        <v>434768.8139405338</v>
      </c>
      <c r="G19" s="198">
        <v>7113625.913780337</v>
      </c>
      <c r="H19" s="198">
        <v>3642.26</v>
      </c>
      <c r="I19" s="198">
        <v>4450841.720000001</v>
      </c>
      <c r="J19" s="198">
        <v>2662784.1937803365</v>
      </c>
      <c r="K19" s="198">
        <v>247422.071940579</v>
      </c>
      <c r="L19" s="198">
        <v>402225.74960707966</v>
      </c>
      <c r="M19" s="198">
        <v>0</v>
      </c>
      <c r="N19" s="198">
        <v>3312432.015327995</v>
      </c>
      <c r="O19" s="198">
        <v>903231.5336744186</v>
      </c>
      <c r="P19" s="198">
        <v>4215663.549002414</v>
      </c>
      <c r="Q19" s="198">
        <v>62</v>
      </c>
      <c r="R19" s="198">
        <v>8</v>
      </c>
      <c r="S19" s="198">
        <v>61</v>
      </c>
      <c r="T19" s="198">
        <v>53</v>
      </c>
      <c r="U19" s="198">
        <v>53</v>
      </c>
      <c r="V19" s="198">
        <v>636</v>
      </c>
      <c r="W19" s="198">
        <v>165</v>
      </c>
      <c r="X19" s="198">
        <v>137</v>
      </c>
      <c r="Y19" s="198">
        <v>47</v>
      </c>
      <c r="Z19" s="198">
        <v>1197</v>
      </c>
      <c r="AA19" s="198">
        <v>7</v>
      </c>
      <c r="AB19" s="198">
        <v>0</v>
      </c>
      <c r="AC19" s="198">
        <v>18</v>
      </c>
      <c r="AD19" s="198">
        <v>412.71</v>
      </c>
      <c r="AE19" s="198">
        <v>2.9609168665649004</v>
      </c>
      <c r="AF19" s="198">
        <v>349</v>
      </c>
      <c r="AG19" s="198">
        <v>1946791.6798398038</v>
      </c>
      <c r="AH19" s="198">
        <v>1156731.988854686</v>
      </c>
      <c r="AI19" s="198">
        <v>625048.048548049</v>
      </c>
      <c r="AJ19" s="198">
        <v>165011.64243706877</v>
      </c>
      <c r="AK19" s="198">
        <v>39</v>
      </c>
      <c r="AL19" s="198">
        <v>543</v>
      </c>
      <c r="AM19" s="198">
        <v>0.5761599533915223</v>
      </c>
      <c r="AN19" s="198">
        <v>18</v>
      </c>
      <c r="AO19" s="198">
        <v>0.014729950900163666</v>
      </c>
      <c r="AP19" s="198">
        <v>0.013006407294510443</v>
      </c>
      <c r="AQ19" s="198">
        <v>0</v>
      </c>
      <c r="AR19" s="198">
        <v>7</v>
      </c>
      <c r="AS19" s="198">
        <v>0</v>
      </c>
      <c r="AT19" s="198">
        <v>0</v>
      </c>
      <c r="AU19" s="198">
        <v>412.71</v>
      </c>
      <c r="AV19" s="198">
        <v>2.9609168665649004</v>
      </c>
      <c r="AW19" s="198">
        <v>6.080025918379038</v>
      </c>
      <c r="AX19" s="198">
        <v>50</v>
      </c>
      <c r="AY19" s="198">
        <v>321</v>
      </c>
      <c r="AZ19" s="198">
        <v>0.1557632398753894</v>
      </c>
      <c r="BA19" s="198">
        <v>0.09207438117973722</v>
      </c>
      <c r="BB19" s="198">
        <v>0.8178666666666667</v>
      </c>
      <c r="BC19" s="198">
        <v>437</v>
      </c>
      <c r="BD19" s="198">
        <v>465</v>
      </c>
      <c r="BE19" s="198">
        <v>0.9397849462365592</v>
      </c>
      <c r="BF19" s="198">
        <v>0.5101460919401706</v>
      </c>
      <c r="BG19" s="198">
        <v>0</v>
      </c>
      <c r="BH19" s="198">
        <v>0</v>
      </c>
      <c r="BI19" s="198">
        <v>-122.2</v>
      </c>
      <c r="BJ19" s="198">
        <v>-293.28</v>
      </c>
      <c r="BK19" s="198">
        <v>-5010.2</v>
      </c>
      <c r="BL19" s="198">
        <v>-452.14</v>
      </c>
      <c r="BM19" s="198">
        <v>-6513.26</v>
      </c>
      <c r="BN19" s="198">
        <v>-146.64</v>
      </c>
      <c r="BO19" s="198">
        <v>-19165</v>
      </c>
      <c r="BP19" s="198">
        <v>55446.229112515226</v>
      </c>
      <c r="BQ19" s="198">
        <v>134532</v>
      </c>
      <c r="BR19" s="198">
        <v>43901</v>
      </c>
      <c r="BS19" s="198">
        <v>113348.03837721006</v>
      </c>
      <c r="BT19" s="198">
        <v>6717.396987965677</v>
      </c>
      <c r="BU19" s="198">
        <v>-22207.792950525472</v>
      </c>
      <c r="BV19" s="198">
        <v>47988.048405878326</v>
      </c>
      <c r="BW19" s="198">
        <v>80221.3339796758</v>
      </c>
      <c r="BX19" s="198">
        <v>109.97999999999999</v>
      </c>
      <c r="BY19" s="198">
        <v>-15533.024305639843</v>
      </c>
      <c r="BZ19" s="198">
        <v>425358.2096070797</v>
      </c>
      <c r="CA19" s="198">
        <v>402225.74960707966</v>
      </c>
      <c r="CB19" s="198">
        <v>0</v>
      </c>
      <c r="CC19" s="232">
        <v>903231.5336744186</v>
      </c>
      <c r="CD19" s="198">
        <v>-362965</v>
      </c>
      <c r="CE19" s="198">
        <v>22414.356</v>
      </c>
      <c r="CH19" s="198">
        <v>1229</v>
      </c>
    </row>
    <row r="20" spans="1:86" ht="11.25">
      <c r="A20" s="198">
        <v>75</v>
      </c>
      <c r="B20" s="198" t="s">
        <v>96</v>
      </c>
      <c r="C20" s="198">
        <v>21061</v>
      </c>
      <c r="D20" s="198">
        <v>74506509.35000001</v>
      </c>
      <c r="E20" s="198">
        <v>27288097.73053246</v>
      </c>
      <c r="F20" s="198">
        <v>5327823.292804686</v>
      </c>
      <c r="G20" s="198">
        <v>107122430.37333715</v>
      </c>
      <c r="H20" s="198">
        <v>3642.26</v>
      </c>
      <c r="I20" s="198">
        <v>76709637.86</v>
      </c>
      <c r="J20" s="198">
        <v>30412792.51333715</v>
      </c>
      <c r="K20" s="198">
        <v>557546.7132804972</v>
      </c>
      <c r="L20" s="198">
        <v>4955017.986677539</v>
      </c>
      <c r="M20" s="198">
        <v>0</v>
      </c>
      <c r="N20" s="198">
        <v>35925357.21329519</v>
      </c>
      <c r="O20" s="198">
        <v>3803793.173714289</v>
      </c>
      <c r="P20" s="198">
        <v>39729150.38700948</v>
      </c>
      <c r="Q20" s="198">
        <v>1156</v>
      </c>
      <c r="R20" s="198">
        <v>182</v>
      </c>
      <c r="S20" s="198">
        <v>1246</v>
      </c>
      <c r="T20" s="198">
        <v>673</v>
      </c>
      <c r="U20" s="198">
        <v>638</v>
      </c>
      <c r="V20" s="198">
        <v>11764</v>
      </c>
      <c r="W20" s="198">
        <v>3001</v>
      </c>
      <c r="X20" s="198">
        <v>1743</v>
      </c>
      <c r="Y20" s="198">
        <v>658</v>
      </c>
      <c r="Z20" s="198">
        <v>19879</v>
      </c>
      <c r="AA20" s="198">
        <v>72</v>
      </c>
      <c r="AB20" s="198">
        <v>0</v>
      </c>
      <c r="AC20" s="198">
        <v>1110</v>
      </c>
      <c r="AD20" s="198">
        <v>609.51</v>
      </c>
      <c r="AE20" s="198">
        <v>34.553985988745055</v>
      </c>
      <c r="AF20" s="198">
        <v>5402</v>
      </c>
      <c r="AG20" s="198">
        <v>27288097.73053246</v>
      </c>
      <c r="AH20" s="198">
        <v>15754422.327954527</v>
      </c>
      <c r="AI20" s="198">
        <v>8328975.609984333</v>
      </c>
      <c r="AJ20" s="198">
        <v>3204699.792593599</v>
      </c>
      <c r="AK20" s="198">
        <v>1321</v>
      </c>
      <c r="AL20" s="198">
        <v>9500</v>
      </c>
      <c r="AM20" s="198">
        <v>1.1154689960798896</v>
      </c>
      <c r="AN20" s="198">
        <v>1110</v>
      </c>
      <c r="AO20" s="198">
        <v>0.05270405014006932</v>
      </c>
      <c r="AP20" s="198">
        <v>0.0509805065344161</v>
      </c>
      <c r="AQ20" s="198">
        <v>0</v>
      </c>
      <c r="AR20" s="198">
        <v>72</v>
      </c>
      <c r="AS20" s="198">
        <v>0</v>
      </c>
      <c r="AT20" s="198">
        <v>0</v>
      </c>
      <c r="AU20" s="198">
        <v>609.51</v>
      </c>
      <c r="AV20" s="198">
        <v>34.553985988745055</v>
      </c>
      <c r="AW20" s="198">
        <v>0.5209949236173219</v>
      </c>
      <c r="AX20" s="198">
        <v>908</v>
      </c>
      <c r="AY20" s="198">
        <v>6524</v>
      </c>
      <c r="AZ20" s="198">
        <v>0.13917841814837523</v>
      </c>
      <c r="BA20" s="198">
        <v>0.07548955945272305</v>
      </c>
      <c r="BB20" s="198">
        <v>0</v>
      </c>
      <c r="BC20" s="198">
        <v>6861</v>
      </c>
      <c r="BD20" s="198">
        <v>8084</v>
      </c>
      <c r="BE20" s="198">
        <v>0.8487135081642752</v>
      </c>
      <c r="BF20" s="198">
        <v>0.4190746538678866</v>
      </c>
      <c r="BG20" s="198">
        <v>0</v>
      </c>
      <c r="BH20" s="198">
        <v>0</v>
      </c>
      <c r="BI20" s="198">
        <v>-2106.1</v>
      </c>
      <c r="BJ20" s="198">
        <v>-5054.639999999999</v>
      </c>
      <c r="BK20" s="198">
        <v>-86350.09999999999</v>
      </c>
      <c r="BL20" s="198">
        <v>-7792.57</v>
      </c>
      <c r="BM20" s="198">
        <v>-112255.13</v>
      </c>
      <c r="BN20" s="198">
        <v>-2527.3199999999997</v>
      </c>
      <c r="BO20" s="198">
        <v>392114</v>
      </c>
      <c r="BP20" s="198">
        <v>23925.74176903814</v>
      </c>
      <c r="BQ20" s="198">
        <v>1568738</v>
      </c>
      <c r="BR20" s="198">
        <v>487407</v>
      </c>
      <c r="BS20" s="198">
        <v>1128575.9968275034</v>
      </c>
      <c r="BT20" s="198">
        <v>45002.87181555037</v>
      </c>
      <c r="BU20" s="198">
        <v>86422.8722369255</v>
      </c>
      <c r="BV20" s="198">
        <v>566255.6106364303</v>
      </c>
      <c r="BW20" s="198">
        <v>983592.6280722079</v>
      </c>
      <c r="BX20" s="198">
        <v>1895.49</v>
      </c>
      <c r="BY20" s="198">
        <v>69772.50531988277</v>
      </c>
      <c r="BZ20" s="198">
        <v>5353702.716677539</v>
      </c>
      <c r="CA20" s="198">
        <v>4955017.986677539</v>
      </c>
      <c r="CB20" s="198">
        <v>0</v>
      </c>
      <c r="CC20" s="232">
        <v>3803793.173714289</v>
      </c>
      <c r="CD20" s="198">
        <v>-2775575</v>
      </c>
      <c r="CE20" s="198">
        <v>-76507.66848000002</v>
      </c>
      <c r="CH20" s="198">
        <v>21203</v>
      </c>
    </row>
    <row r="21" spans="1:86" ht="11.25">
      <c r="A21" s="198">
        <v>77</v>
      </c>
      <c r="B21" s="198" t="s">
        <v>97</v>
      </c>
      <c r="C21" s="198">
        <v>5307</v>
      </c>
      <c r="D21" s="198">
        <v>20720365.080000002</v>
      </c>
      <c r="E21" s="198">
        <v>9721168.582897175</v>
      </c>
      <c r="F21" s="198">
        <v>1247830.778804347</v>
      </c>
      <c r="G21" s="198">
        <v>31689364.441701524</v>
      </c>
      <c r="H21" s="198">
        <v>3642.26</v>
      </c>
      <c r="I21" s="198">
        <v>19329473.82</v>
      </c>
      <c r="J21" s="198">
        <v>12359890.621701524</v>
      </c>
      <c r="K21" s="198">
        <v>233815.83029147482</v>
      </c>
      <c r="L21" s="198">
        <v>1950824.6678890458</v>
      </c>
      <c r="M21" s="198">
        <v>0</v>
      </c>
      <c r="N21" s="198">
        <v>14544531.119882043</v>
      </c>
      <c r="O21" s="198">
        <v>5541806.689581395</v>
      </c>
      <c r="P21" s="198">
        <v>20086337.809463438</v>
      </c>
      <c r="Q21" s="198">
        <v>331</v>
      </c>
      <c r="R21" s="198">
        <v>59</v>
      </c>
      <c r="S21" s="198">
        <v>321</v>
      </c>
      <c r="T21" s="198">
        <v>174</v>
      </c>
      <c r="U21" s="198">
        <v>168</v>
      </c>
      <c r="V21" s="198">
        <v>2824</v>
      </c>
      <c r="W21" s="198">
        <v>721</v>
      </c>
      <c r="X21" s="198">
        <v>474</v>
      </c>
      <c r="Y21" s="198">
        <v>235</v>
      </c>
      <c r="Z21" s="198">
        <v>5243</v>
      </c>
      <c r="AA21" s="198">
        <v>9</v>
      </c>
      <c r="AB21" s="198">
        <v>0</v>
      </c>
      <c r="AC21" s="198">
        <v>55</v>
      </c>
      <c r="AD21" s="198">
        <v>571.73</v>
      </c>
      <c r="AE21" s="198">
        <v>9.282353558497892</v>
      </c>
      <c r="AF21" s="198">
        <v>1430</v>
      </c>
      <c r="AG21" s="198">
        <v>9721168.582897175</v>
      </c>
      <c r="AH21" s="198">
        <v>5191640.992080084</v>
      </c>
      <c r="AI21" s="198">
        <v>3539457.7361946786</v>
      </c>
      <c r="AJ21" s="198">
        <v>990069.8546224124</v>
      </c>
      <c r="AK21" s="198">
        <v>338</v>
      </c>
      <c r="AL21" s="198">
        <v>2286</v>
      </c>
      <c r="AM21" s="198">
        <v>1.1860930624061696</v>
      </c>
      <c r="AN21" s="198">
        <v>55</v>
      </c>
      <c r="AO21" s="198">
        <v>0.010363670623704541</v>
      </c>
      <c r="AP21" s="198">
        <v>0.008640127018051318</v>
      </c>
      <c r="AQ21" s="198">
        <v>0</v>
      </c>
      <c r="AR21" s="198">
        <v>9</v>
      </c>
      <c r="AS21" s="198">
        <v>0</v>
      </c>
      <c r="AT21" s="198">
        <v>0</v>
      </c>
      <c r="AU21" s="198">
        <v>571.73</v>
      </c>
      <c r="AV21" s="198">
        <v>9.282353558497892</v>
      </c>
      <c r="AW21" s="198">
        <v>1.939427449884108</v>
      </c>
      <c r="AX21" s="198">
        <v>215</v>
      </c>
      <c r="AY21" s="198">
        <v>1475</v>
      </c>
      <c r="AZ21" s="198">
        <v>0.14576271186440679</v>
      </c>
      <c r="BA21" s="198">
        <v>0.08207385316875461</v>
      </c>
      <c r="BB21" s="198">
        <v>0.0984</v>
      </c>
      <c r="BC21" s="198">
        <v>1527</v>
      </c>
      <c r="BD21" s="198">
        <v>1902</v>
      </c>
      <c r="BE21" s="198">
        <v>0.8028391167192429</v>
      </c>
      <c r="BF21" s="198">
        <v>0.37320026242285437</v>
      </c>
      <c r="BG21" s="198">
        <v>0</v>
      </c>
      <c r="BH21" s="198">
        <v>0</v>
      </c>
      <c r="BI21" s="198">
        <v>-530.7</v>
      </c>
      <c r="BJ21" s="198">
        <v>-1273.68</v>
      </c>
      <c r="BK21" s="198">
        <v>-21758.699999999997</v>
      </c>
      <c r="BL21" s="198">
        <v>-1963.59</v>
      </c>
      <c r="BM21" s="198">
        <v>-28286.31</v>
      </c>
      <c r="BN21" s="198">
        <v>-636.84</v>
      </c>
      <c r="BO21" s="198">
        <v>96106</v>
      </c>
      <c r="BP21" s="198">
        <v>157787.49098494463</v>
      </c>
      <c r="BQ21" s="198">
        <v>567639</v>
      </c>
      <c r="BR21" s="198">
        <v>165760</v>
      </c>
      <c r="BS21" s="198">
        <v>418313.4407374764</v>
      </c>
      <c r="BT21" s="198">
        <v>22899.471769744072</v>
      </c>
      <c r="BU21" s="198">
        <v>68329.26429098393</v>
      </c>
      <c r="BV21" s="198">
        <v>205003.42725285116</v>
      </c>
      <c r="BW21" s="198">
        <v>302952.0641998011</v>
      </c>
      <c r="BX21" s="198">
        <v>477.63</v>
      </c>
      <c r="BY21" s="198">
        <v>46018.38865324468</v>
      </c>
      <c r="BZ21" s="198">
        <v>2051286.1778890458</v>
      </c>
      <c r="CA21" s="198">
        <v>1950824.6678890458</v>
      </c>
      <c r="CB21" s="198">
        <v>0</v>
      </c>
      <c r="CC21" s="232">
        <v>5541806.689581395</v>
      </c>
      <c r="CD21" s="198">
        <v>-323765</v>
      </c>
      <c r="CE21" s="198">
        <v>113740.40428000002</v>
      </c>
      <c r="CH21" s="198">
        <v>5404</v>
      </c>
    </row>
    <row r="22" spans="1:86" ht="11.25">
      <c r="A22" s="198">
        <v>78</v>
      </c>
      <c r="B22" s="198" t="s">
        <v>98</v>
      </c>
      <c r="C22" s="198">
        <v>9021</v>
      </c>
      <c r="D22" s="198">
        <v>30634466.14</v>
      </c>
      <c r="E22" s="198">
        <v>9828420.32628987</v>
      </c>
      <c r="F22" s="198">
        <v>3583311.5489216764</v>
      </c>
      <c r="G22" s="198">
        <v>44046198.015211545</v>
      </c>
      <c r="H22" s="198">
        <v>3642.26</v>
      </c>
      <c r="I22" s="198">
        <v>32856827.46</v>
      </c>
      <c r="J22" s="198">
        <v>11189370.555211544</v>
      </c>
      <c r="K22" s="198">
        <v>1165592.7234818519</v>
      </c>
      <c r="L22" s="198">
        <v>2060173.9214154019</v>
      </c>
      <c r="M22" s="198">
        <v>0</v>
      </c>
      <c r="N22" s="198">
        <v>14415137.200108798</v>
      </c>
      <c r="O22" s="198">
        <v>-544549.3306669734</v>
      </c>
      <c r="P22" s="198">
        <v>13870587.869441824</v>
      </c>
      <c r="Q22" s="198">
        <v>474</v>
      </c>
      <c r="R22" s="198">
        <v>83</v>
      </c>
      <c r="S22" s="198">
        <v>502</v>
      </c>
      <c r="T22" s="198">
        <v>297</v>
      </c>
      <c r="U22" s="198">
        <v>279</v>
      </c>
      <c r="V22" s="198">
        <v>4921</v>
      </c>
      <c r="W22" s="198">
        <v>1549</v>
      </c>
      <c r="X22" s="198">
        <v>694</v>
      </c>
      <c r="Y22" s="198">
        <v>222</v>
      </c>
      <c r="Z22" s="198">
        <v>4797</v>
      </c>
      <c r="AA22" s="198">
        <v>3841</v>
      </c>
      <c r="AB22" s="198">
        <v>1</v>
      </c>
      <c r="AC22" s="198">
        <v>382</v>
      </c>
      <c r="AD22" s="198">
        <v>116.89</v>
      </c>
      <c r="AE22" s="198">
        <v>77.17512190948756</v>
      </c>
      <c r="AF22" s="198">
        <v>2465</v>
      </c>
      <c r="AG22" s="198">
        <v>9828420.32628987</v>
      </c>
      <c r="AH22" s="198">
        <v>6105045.848131959</v>
      </c>
      <c r="AI22" s="198">
        <v>2403281.3386613596</v>
      </c>
      <c r="AJ22" s="198">
        <v>1320093.13949655</v>
      </c>
      <c r="AK22" s="198">
        <v>562</v>
      </c>
      <c r="AL22" s="198">
        <v>4155</v>
      </c>
      <c r="AM22" s="198">
        <v>1.0850345788927598</v>
      </c>
      <c r="AN22" s="198">
        <v>382</v>
      </c>
      <c r="AO22" s="198">
        <v>0.04234563795588072</v>
      </c>
      <c r="AP22" s="198">
        <v>0.0406220943502275</v>
      </c>
      <c r="AQ22" s="198">
        <v>1</v>
      </c>
      <c r="AR22" s="198">
        <v>3841</v>
      </c>
      <c r="AS22" s="198">
        <v>1</v>
      </c>
      <c r="AT22" s="198">
        <v>0</v>
      </c>
      <c r="AU22" s="198">
        <v>116.89</v>
      </c>
      <c r="AV22" s="198">
        <v>77.17512190948756</v>
      </c>
      <c r="AW22" s="198">
        <v>0.23326754588083265</v>
      </c>
      <c r="AX22" s="198">
        <v>690</v>
      </c>
      <c r="AY22" s="198">
        <v>2712</v>
      </c>
      <c r="AZ22" s="198">
        <v>0.25442477876106195</v>
      </c>
      <c r="BA22" s="198">
        <v>0.1907359200654098</v>
      </c>
      <c r="BB22" s="198">
        <v>0.4212166666666667</v>
      </c>
      <c r="BC22" s="198">
        <v>3734</v>
      </c>
      <c r="BD22" s="198">
        <v>3435</v>
      </c>
      <c r="BE22" s="198">
        <v>1.0870451237263465</v>
      </c>
      <c r="BF22" s="198">
        <v>0.6574062694299581</v>
      </c>
      <c r="BG22" s="198">
        <v>0</v>
      </c>
      <c r="BH22" s="198">
        <v>1</v>
      </c>
      <c r="BI22" s="198">
        <v>-902.1</v>
      </c>
      <c r="BJ22" s="198">
        <v>-2165.04</v>
      </c>
      <c r="BK22" s="198">
        <v>-36986.1</v>
      </c>
      <c r="BL22" s="198">
        <v>-3337.77</v>
      </c>
      <c r="BM22" s="198">
        <v>-48081.93</v>
      </c>
      <c r="BN22" s="198">
        <v>-1082.52</v>
      </c>
      <c r="BO22" s="198">
        <v>286074</v>
      </c>
      <c r="BP22" s="198">
        <v>82923.98256242089</v>
      </c>
      <c r="BQ22" s="198">
        <v>656636</v>
      </c>
      <c r="BR22" s="198">
        <v>215300</v>
      </c>
      <c r="BS22" s="198">
        <v>400984.0691540849</v>
      </c>
      <c r="BT22" s="198">
        <v>7536.817691286501</v>
      </c>
      <c r="BU22" s="198">
        <v>13723.005639968009</v>
      </c>
      <c r="BV22" s="198">
        <v>240221.42672180056</v>
      </c>
      <c r="BW22" s="198">
        <v>364992.2792495429</v>
      </c>
      <c r="BX22" s="198">
        <v>811.89</v>
      </c>
      <c r="BY22" s="198">
        <v>-38262.019603702414</v>
      </c>
      <c r="BZ22" s="198">
        <v>2230941.451415402</v>
      </c>
      <c r="CA22" s="198">
        <v>2060173.9214154019</v>
      </c>
      <c r="CB22" s="198">
        <v>0</v>
      </c>
      <c r="CC22" s="232">
        <v>-544549.3306669734</v>
      </c>
      <c r="CD22" s="198">
        <v>-1143171</v>
      </c>
      <c r="CE22" s="198">
        <v>-55600.055300000015</v>
      </c>
      <c r="CH22" s="198">
        <v>9109</v>
      </c>
    </row>
    <row r="23" spans="1:86" ht="11.25">
      <c r="A23" s="198">
        <v>79</v>
      </c>
      <c r="B23" s="198" t="s">
        <v>99</v>
      </c>
      <c r="C23" s="198">
        <v>7366</v>
      </c>
      <c r="D23" s="198">
        <v>26876867.839999996</v>
      </c>
      <c r="E23" s="198">
        <v>9515826.709289802</v>
      </c>
      <c r="F23" s="198">
        <v>1325971.39263085</v>
      </c>
      <c r="G23" s="198">
        <v>37718665.94192065</v>
      </c>
      <c r="H23" s="198">
        <v>3642.26</v>
      </c>
      <c r="I23" s="198">
        <v>26828887.16</v>
      </c>
      <c r="J23" s="198">
        <v>10889778.781920653</v>
      </c>
      <c r="K23" s="198">
        <v>448866.7570771315</v>
      </c>
      <c r="L23" s="198">
        <v>1607841.6425985587</v>
      </c>
      <c r="M23" s="198">
        <v>877787.6032326018</v>
      </c>
      <c r="N23" s="198">
        <v>13824274.784828944</v>
      </c>
      <c r="O23" s="198">
        <v>-925578.949844809</v>
      </c>
      <c r="P23" s="198">
        <v>12898695.834984135</v>
      </c>
      <c r="Q23" s="198">
        <v>408</v>
      </c>
      <c r="R23" s="198">
        <v>60</v>
      </c>
      <c r="S23" s="198">
        <v>459</v>
      </c>
      <c r="T23" s="198">
        <v>208</v>
      </c>
      <c r="U23" s="198">
        <v>245</v>
      </c>
      <c r="V23" s="198">
        <v>3949</v>
      </c>
      <c r="W23" s="198">
        <v>1129</v>
      </c>
      <c r="X23" s="198">
        <v>641</v>
      </c>
      <c r="Y23" s="198">
        <v>267</v>
      </c>
      <c r="Z23" s="198">
        <v>7169</v>
      </c>
      <c r="AA23" s="198">
        <v>16</v>
      </c>
      <c r="AB23" s="198">
        <v>0</v>
      </c>
      <c r="AC23" s="198">
        <v>181</v>
      </c>
      <c r="AD23" s="198">
        <v>123.46</v>
      </c>
      <c r="AE23" s="198">
        <v>59.663048760732224</v>
      </c>
      <c r="AF23" s="198">
        <v>2037</v>
      </c>
      <c r="AG23" s="198">
        <v>9515826.709289802</v>
      </c>
      <c r="AH23" s="198">
        <v>5795888.174782994</v>
      </c>
      <c r="AI23" s="198">
        <v>2425899.8648687424</v>
      </c>
      <c r="AJ23" s="198">
        <v>1294038.6696380654</v>
      </c>
      <c r="AK23" s="198">
        <v>384</v>
      </c>
      <c r="AL23" s="198">
        <v>3278</v>
      </c>
      <c r="AM23" s="198">
        <v>0.9397245365495932</v>
      </c>
      <c r="AN23" s="198">
        <v>181</v>
      </c>
      <c r="AO23" s="198">
        <v>0.024572359489546565</v>
      </c>
      <c r="AP23" s="198">
        <v>0.022848815883893342</v>
      </c>
      <c r="AQ23" s="198">
        <v>0</v>
      </c>
      <c r="AR23" s="198">
        <v>16</v>
      </c>
      <c r="AS23" s="198">
        <v>0</v>
      </c>
      <c r="AT23" s="198">
        <v>0</v>
      </c>
      <c r="AU23" s="198">
        <v>123.46</v>
      </c>
      <c r="AV23" s="198">
        <v>59.663048760732224</v>
      </c>
      <c r="AW23" s="198">
        <v>0.30173535655336337</v>
      </c>
      <c r="AX23" s="198">
        <v>322</v>
      </c>
      <c r="AY23" s="198">
        <v>2081</v>
      </c>
      <c r="AZ23" s="198">
        <v>0.15473330129745314</v>
      </c>
      <c r="BA23" s="198">
        <v>0.09104444260180096</v>
      </c>
      <c r="BB23" s="198">
        <v>0</v>
      </c>
      <c r="BC23" s="198">
        <v>3865</v>
      </c>
      <c r="BD23" s="198">
        <v>2772</v>
      </c>
      <c r="BE23" s="198">
        <v>1.3943001443001444</v>
      </c>
      <c r="BF23" s="198">
        <v>0.9646612900037559</v>
      </c>
      <c r="BG23" s="198">
        <v>0</v>
      </c>
      <c r="BH23" s="198">
        <v>0</v>
      </c>
      <c r="BI23" s="198">
        <v>-736.6</v>
      </c>
      <c r="BJ23" s="198">
        <v>-1767.84</v>
      </c>
      <c r="BK23" s="198">
        <v>-30200.6</v>
      </c>
      <c r="BL23" s="198">
        <v>-2725.42</v>
      </c>
      <c r="BM23" s="198">
        <v>-39260.78</v>
      </c>
      <c r="BN23" s="198">
        <v>-883.92</v>
      </c>
      <c r="BO23" s="198">
        <v>199711</v>
      </c>
      <c r="BP23" s="198">
        <v>93941.89818028547</v>
      </c>
      <c r="BQ23" s="198">
        <v>489725</v>
      </c>
      <c r="BR23" s="198">
        <v>169748</v>
      </c>
      <c r="BS23" s="198">
        <v>361767.9968837349</v>
      </c>
      <c r="BT23" s="198">
        <v>17405.703014667208</v>
      </c>
      <c r="BU23" s="198">
        <v>72742.07318975206</v>
      </c>
      <c r="BV23" s="198">
        <v>207561.9031788306</v>
      </c>
      <c r="BW23" s="198">
        <v>322795.98222396907</v>
      </c>
      <c r="BX23" s="198">
        <v>662.9399999999999</v>
      </c>
      <c r="BY23" s="198">
        <v>-188782.4740726802</v>
      </c>
      <c r="BZ23" s="198">
        <v>1747280.0225985588</v>
      </c>
      <c r="CA23" s="198">
        <v>1607841.6425985587</v>
      </c>
      <c r="CB23" s="198">
        <v>877787.6032326018</v>
      </c>
      <c r="CC23" s="232">
        <v>-925578.949844809</v>
      </c>
      <c r="CD23" s="198">
        <v>-900709</v>
      </c>
      <c r="CE23" s="198">
        <v>-85158.364654</v>
      </c>
      <c r="CH23" s="198">
        <v>7407</v>
      </c>
    </row>
    <row r="24" spans="1:86" ht="11.25">
      <c r="A24" s="198">
        <v>81</v>
      </c>
      <c r="B24" s="198" t="s">
        <v>100</v>
      </c>
      <c r="C24" s="198">
        <v>3071</v>
      </c>
      <c r="D24" s="198">
        <v>11084432.91</v>
      </c>
      <c r="E24" s="198">
        <v>4831443.539702155</v>
      </c>
      <c r="F24" s="198">
        <v>966018.4111609254</v>
      </c>
      <c r="G24" s="198">
        <v>16881894.860863082</v>
      </c>
      <c r="H24" s="198">
        <v>3642.26</v>
      </c>
      <c r="I24" s="198">
        <v>11185380.46</v>
      </c>
      <c r="J24" s="198">
        <v>5696514.400863081</v>
      </c>
      <c r="K24" s="198">
        <v>346589.0055213369</v>
      </c>
      <c r="L24" s="198">
        <v>953565.2692510595</v>
      </c>
      <c r="M24" s="198">
        <v>0</v>
      </c>
      <c r="N24" s="198">
        <v>6996668.6756354775</v>
      </c>
      <c r="O24" s="198">
        <v>2500181.7573023257</v>
      </c>
      <c r="P24" s="198">
        <v>9496850.432937803</v>
      </c>
      <c r="Q24" s="198">
        <v>109</v>
      </c>
      <c r="R24" s="198">
        <v>13</v>
      </c>
      <c r="S24" s="198">
        <v>146</v>
      </c>
      <c r="T24" s="198">
        <v>92</v>
      </c>
      <c r="U24" s="198">
        <v>96</v>
      </c>
      <c r="V24" s="198">
        <v>1649</v>
      </c>
      <c r="W24" s="198">
        <v>529</v>
      </c>
      <c r="X24" s="198">
        <v>301</v>
      </c>
      <c r="Y24" s="198">
        <v>136</v>
      </c>
      <c r="Z24" s="198">
        <v>3012</v>
      </c>
      <c r="AA24" s="198">
        <v>2</v>
      </c>
      <c r="AB24" s="198">
        <v>0</v>
      </c>
      <c r="AC24" s="198">
        <v>57</v>
      </c>
      <c r="AD24" s="198">
        <v>542.95</v>
      </c>
      <c r="AE24" s="198">
        <v>5.656137765908462</v>
      </c>
      <c r="AF24" s="198">
        <v>966</v>
      </c>
      <c r="AG24" s="198">
        <v>4831443.539702155</v>
      </c>
      <c r="AH24" s="198">
        <v>2733782.942255125</v>
      </c>
      <c r="AI24" s="198">
        <v>1593940.8468496616</v>
      </c>
      <c r="AJ24" s="198">
        <v>503719.7505973679</v>
      </c>
      <c r="AK24" s="198">
        <v>171</v>
      </c>
      <c r="AL24" s="198">
        <v>1331</v>
      </c>
      <c r="AM24" s="198">
        <v>1.0306147325562625</v>
      </c>
      <c r="AN24" s="198">
        <v>57</v>
      </c>
      <c r="AO24" s="198">
        <v>0.0185607294041029</v>
      </c>
      <c r="AP24" s="198">
        <v>0.016837185798449675</v>
      </c>
      <c r="AQ24" s="198">
        <v>0</v>
      </c>
      <c r="AR24" s="198">
        <v>2</v>
      </c>
      <c r="AS24" s="198">
        <v>0</v>
      </c>
      <c r="AT24" s="198">
        <v>0</v>
      </c>
      <c r="AU24" s="198">
        <v>542.95</v>
      </c>
      <c r="AV24" s="198">
        <v>5.656137765908462</v>
      </c>
      <c r="AW24" s="198">
        <v>3.182816974400335</v>
      </c>
      <c r="AX24" s="198">
        <v>176</v>
      </c>
      <c r="AY24" s="198">
        <v>826</v>
      </c>
      <c r="AZ24" s="198">
        <v>0.21307506053268765</v>
      </c>
      <c r="BA24" s="198">
        <v>0.1493862018370355</v>
      </c>
      <c r="BB24" s="198">
        <v>0.35675</v>
      </c>
      <c r="BC24" s="198">
        <v>1152</v>
      </c>
      <c r="BD24" s="198">
        <v>1107</v>
      </c>
      <c r="BE24" s="198">
        <v>1.0406504065040652</v>
      </c>
      <c r="BF24" s="198">
        <v>0.6110115522076767</v>
      </c>
      <c r="BG24" s="198">
        <v>0</v>
      </c>
      <c r="BH24" s="198">
        <v>0</v>
      </c>
      <c r="BI24" s="198">
        <v>-307.1</v>
      </c>
      <c r="BJ24" s="198">
        <v>-737.04</v>
      </c>
      <c r="BK24" s="198">
        <v>-12591.099999999999</v>
      </c>
      <c r="BL24" s="198">
        <v>-1136.27</v>
      </c>
      <c r="BM24" s="198">
        <v>-16368.43</v>
      </c>
      <c r="BN24" s="198">
        <v>-368.52</v>
      </c>
      <c r="BO24" s="198">
        <v>6856</v>
      </c>
      <c r="BP24" s="198">
        <v>-49133.1341699101</v>
      </c>
      <c r="BQ24" s="198">
        <v>382259</v>
      </c>
      <c r="BR24" s="198">
        <v>112706</v>
      </c>
      <c r="BS24" s="198">
        <v>280753.0252410473</v>
      </c>
      <c r="BT24" s="198">
        <v>16551.202542072944</v>
      </c>
      <c r="BU24" s="198">
        <v>-34065.64087492219</v>
      </c>
      <c r="BV24" s="198">
        <v>133220.72793783026</v>
      </c>
      <c r="BW24" s="198">
        <v>187009.03287675773</v>
      </c>
      <c r="BX24" s="198">
        <v>276.39</v>
      </c>
      <c r="BY24" s="198">
        <v>-24733.304301816635</v>
      </c>
      <c r="BZ24" s="198">
        <v>1011699.2992510595</v>
      </c>
      <c r="CA24" s="198">
        <v>953565.2692510595</v>
      </c>
      <c r="CB24" s="198">
        <v>0</v>
      </c>
      <c r="CC24" s="232">
        <v>2500181.7573023257</v>
      </c>
      <c r="CD24" s="198">
        <v>-604537</v>
      </c>
      <c r="CE24" s="198">
        <v>65997.826</v>
      </c>
      <c r="CH24" s="198">
        <v>3098</v>
      </c>
    </row>
    <row r="25" spans="1:86" ht="11.25">
      <c r="A25" s="198">
        <v>82</v>
      </c>
      <c r="B25" s="198" t="s">
        <v>101</v>
      </c>
      <c r="C25" s="198">
        <v>9738</v>
      </c>
      <c r="D25" s="198">
        <v>34647136.809999995</v>
      </c>
      <c r="E25" s="198">
        <v>7949174.237549933</v>
      </c>
      <c r="F25" s="198">
        <v>1287517.3520059031</v>
      </c>
      <c r="G25" s="198">
        <v>43883828.39955583</v>
      </c>
      <c r="H25" s="198">
        <v>3642.26</v>
      </c>
      <c r="I25" s="198">
        <v>35468327.88</v>
      </c>
      <c r="J25" s="198">
        <v>8415500.51955583</v>
      </c>
      <c r="K25" s="198">
        <v>134905.1837262807</v>
      </c>
      <c r="L25" s="198">
        <v>1851052.0726319645</v>
      </c>
      <c r="M25" s="198">
        <v>353763.17539105937</v>
      </c>
      <c r="N25" s="198">
        <v>10755220.951305134</v>
      </c>
      <c r="O25" s="198">
        <v>1502766.8570999969</v>
      </c>
      <c r="P25" s="198">
        <v>12257987.808405131</v>
      </c>
      <c r="Q25" s="198">
        <v>684</v>
      </c>
      <c r="R25" s="198">
        <v>140</v>
      </c>
      <c r="S25" s="198">
        <v>740</v>
      </c>
      <c r="T25" s="198">
        <v>387</v>
      </c>
      <c r="U25" s="198">
        <v>334</v>
      </c>
      <c r="V25" s="198">
        <v>5565</v>
      </c>
      <c r="W25" s="198">
        <v>1128</v>
      </c>
      <c r="X25" s="198">
        <v>563</v>
      </c>
      <c r="Y25" s="198">
        <v>197</v>
      </c>
      <c r="Z25" s="198">
        <v>9562</v>
      </c>
      <c r="AA25" s="198">
        <v>33</v>
      </c>
      <c r="AB25" s="198">
        <v>0</v>
      </c>
      <c r="AC25" s="198">
        <v>143</v>
      </c>
      <c r="AD25" s="198">
        <v>357.81</v>
      </c>
      <c r="AE25" s="198">
        <v>27.215561331432884</v>
      </c>
      <c r="AF25" s="198">
        <v>1888</v>
      </c>
      <c r="AG25" s="198">
        <v>7949174.237549933</v>
      </c>
      <c r="AH25" s="198">
        <v>5074031.792385578</v>
      </c>
      <c r="AI25" s="198">
        <v>1832963.6508249738</v>
      </c>
      <c r="AJ25" s="198">
        <v>1042178.7943393816</v>
      </c>
      <c r="AK25" s="198">
        <v>402</v>
      </c>
      <c r="AL25" s="198">
        <v>4784</v>
      </c>
      <c r="AM25" s="198">
        <v>0.674082687944976</v>
      </c>
      <c r="AN25" s="198">
        <v>143</v>
      </c>
      <c r="AO25" s="198">
        <v>0.014684740193058123</v>
      </c>
      <c r="AP25" s="198">
        <v>0.0129611965874049</v>
      </c>
      <c r="AQ25" s="198">
        <v>0</v>
      </c>
      <c r="AR25" s="198">
        <v>33</v>
      </c>
      <c r="AS25" s="198">
        <v>0</v>
      </c>
      <c r="AT25" s="198">
        <v>0</v>
      </c>
      <c r="AU25" s="198">
        <v>357.81</v>
      </c>
      <c r="AV25" s="198">
        <v>27.215561331432884</v>
      </c>
      <c r="AW25" s="198">
        <v>0.661476391085424</v>
      </c>
      <c r="AX25" s="198">
        <v>356</v>
      </c>
      <c r="AY25" s="198">
        <v>3214</v>
      </c>
      <c r="AZ25" s="198">
        <v>0.11076540136901059</v>
      </c>
      <c r="BA25" s="198">
        <v>0.04707654267335841</v>
      </c>
      <c r="BB25" s="198">
        <v>0</v>
      </c>
      <c r="BC25" s="198">
        <v>2795</v>
      </c>
      <c r="BD25" s="198">
        <v>4307</v>
      </c>
      <c r="BE25" s="198">
        <v>0.6489435802182494</v>
      </c>
      <c r="BF25" s="198">
        <v>0.21930472592186084</v>
      </c>
      <c r="BG25" s="198">
        <v>0</v>
      </c>
      <c r="BH25" s="198">
        <v>0</v>
      </c>
      <c r="BI25" s="198">
        <v>-973.8000000000001</v>
      </c>
      <c r="BJ25" s="198">
        <v>-2337.12</v>
      </c>
      <c r="BK25" s="198">
        <v>-39925.799999999996</v>
      </c>
      <c r="BL25" s="198">
        <v>-3603.06</v>
      </c>
      <c r="BM25" s="198">
        <v>-51903.54</v>
      </c>
      <c r="BN25" s="198">
        <v>-1168.56</v>
      </c>
      <c r="BO25" s="198">
        <v>88078</v>
      </c>
      <c r="BP25" s="198">
        <v>-115651.5479556378</v>
      </c>
      <c r="BQ25" s="198">
        <v>676314</v>
      </c>
      <c r="BR25" s="198">
        <v>221366</v>
      </c>
      <c r="BS25" s="198">
        <v>445055.0591263313</v>
      </c>
      <c r="BT25" s="198">
        <v>6932.215931270755</v>
      </c>
      <c r="BU25" s="198">
        <v>58409.76069782427</v>
      </c>
      <c r="BV25" s="198">
        <v>192372.5287367456</v>
      </c>
      <c r="BW25" s="198">
        <v>452421.2746462758</v>
      </c>
      <c r="BX25" s="198">
        <v>876.42</v>
      </c>
      <c r="BY25" s="198">
        <v>9218.701449155189</v>
      </c>
      <c r="BZ25" s="198">
        <v>2035392.4126319645</v>
      </c>
      <c r="CA25" s="198">
        <v>1851052.0726319645</v>
      </c>
      <c r="CB25" s="198">
        <v>353763.17539105937</v>
      </c>
      <c r="CC25" s="232">
        <v>1502766.8570999969</v>
      </c>
      <c r="CD25" s="198">
        <v>-2487265</v>
      </c>
      <c r="CE25" s="198">
        <v>35402.23006</v>
      </c>
      <c r="CH25" s="198">
        <v>9684</v>
      </c>
    </row>
    <row r="26" spans="1:86" ht="11.25">
      <c r="A26" s="198">
        <v>86</v>
      </c>
      <c r="B26" s="198" t="s">
        <v>102</v>
      </c>
      <c r="C26" s="198">
        <v>8815</v>
      </c>
      <c r="D26" s="198">
        <v>31965130.890000004</v>
      </c>
      <c r="E26" s="198">
        <v>8749551.998014688</v>
      </c>
      <c r="F26" s="198">
        <v>1486042.5725764523</v>
      </c>
      <c r="G26" s="198">
        <v>42200725.460591145</v>
      </c>
      <c r="H26" s="198">
        <v>3642.26</v>
      </c>
      <c r="I26" s="198">
        <v>32106521.900000002</v>
      </c>
      <c r="J26" s="198">
        <v>10094203.560591143</v>
      </c>
      <c r="K26" s="198">
        <v>74636.19557677231</v>
      </c>
      <c r="L26" s="198">
        <v>2003121.758138697</v>
      </c>
      <c r="M26" s="198">
        <v>0</v>
      </c>
      <c r="N26" s="198">
        <v>12171961.514306612</v>
      </c>
      <c r="O26" s="198">
        <v>2745767.45095238</v>
      </c>
      <c r="P26" s="198">
        <v>14917728.965258993</v>
      </c>
      <c r="Q26" s="198">
        <v>661</v>
      </c>
      <c r="R26" s="198">
        <v>107</v>
      </c>
      <c r="S26" s="198">
        <v>724</v>
      </c>
      <c r="T26" s="198">
        <v>344</v>
      </c>
      <c r="U26" s="198">
        <v>319</v>
      </c>
      <c r="V26" s="198">
        <v>5092</v>
      </c>
      <c r="W26" s="198">
        <v>890</v>
      </c>
      <c r="X26" s="198">
        <v>477</v>
      </c>
      <c r="Y26" s="198">
        <v>201</v>
      </c>
      <c r="Z26" s="198">
        <v>8566</v>
      </c>
      <c r="AA26" s="198">
        <v>38</v>
      </c>
      <c r="AB26" s="198">
        <v>0</v>
      </c>
      <c r="AC26" s="198">
        <v>211</v>
      </c>
      <c r="AD26" s="198">
        <v>389.31</v>
      </c>
      <c r="AE26" s="198">
        <v>22.642624129870796</v>
      </c>
      <c r="AF26" s="198">
        <v>1568</v>
      </c>
      <c r="AG26" s="198">
        <v>8749551.998014688</v>
      </c>
      <c r="AH26" s="198">
        <v>5475055.879229823</v>
      </c>
      <c r="AI26" s="198">
        <v>2154153.9148700307</v>
      </c>
      <c r="AJ26" s="198">
        <v>1120342.2039148351</v>
      </c>
      <c r="AK26" s="198">
        <v>351</v>
      </c>
      <c r="AL26" s="198">
        <v>4347</v>
      </c>
      <c r="AM26" s="198">
        <v>0.6477326184091027</v>
      </c>
      <c r="AN26" s="198">
        <v>211</v>
      </c>
      <c r="AO26" s="198">
        <v>0.023936471922858762</v>
      </c>
      <c r="AP26" s="198">
        <v>0.02221292831720554</v>
      </c>
      <c r="AQ26" s="198">
        <v>0</v>
      </c>
      <c r="AR26" s="198">
        <v>38</v>
      </c>
      <c r="AS26" s="198">
        <v>0</v>
      </c>
      <c r="AT26" s="198">
        <v>0</v>
      </c>
      <c r="AU26" s="198">
        <v>389.31</v>
      </c>
      <c r="AV26" s="198">
        <v>22.642624129870796</v>
      </c>
      <c r="AW26" s="198">
        <v>0.7950691221840711</v>
      </c>
      <c r="AX26" s="198">
        <v>455</v>
      </c>
      <c r="AY26" s="198">
        <v>3093</v>
      </c>
      <c r="AZ26" s="198">
        <v>0.1471063692208212</v>
      </c>
      <c r="BA26" s="198">
        <v>0.08341751052516903</v>
      </c>
      <c r="BB26" s="198">
        <v>0</v>
      </c>
      <c r="BC26" s="198">
        <v>2222</v>
      </c>
      <c r="BD26" s="198">
        <v>3942</v>
      </c>
      <c r="BE26" s="198">
        <v>0.5636732623033993</v>
      </c>
      <c r="BF26" s="198">
        <v>0.13403440800701077</v>
      </c>
      <c r="BG26" s="198">
        <v>0</v>
      </c>
      <c r="BH26" s="198">
        <v>0</v>
      </c>
      <c r="BI26" s="198">
        <v>-881.5</v>
      </c>
      <c r="BJ26" s="198">
        <v>-2115.6</v>
      </c>
      <c r="BK26" s="198">
        <v>-36141.5</v>
      </c>
      <c r="BL26" s="198">
        <v>-3261.55</v>
      </c>
      <c r="BM26" s="198">
        <v>-46983.95</v>
      </c>
      <c r="BN26" s="198">
        <v>-1057.8</v>
      </c>
      <c r="BO26" s="198">
        <v>50241</v>
      </c>
      <c r="BP26" s="198">
        <v>26314.203572351485</v>
      </c>
      <c r="BQ26" s="198">
        <v>684929</v>
      </c>
      <c r="BR26" s="198">
        <v>219405</v>
      </c>
      <c r="BS26" s="198">
        <v>453618.33415046043</v>
      </c>
      <c r="BT26" s="198">
        <v>11746.726739898262</v>
      </c>
      <c r="BU26" s="198">
        <v>84479.08494531004</v>
      </c>
      <c r="BV26" s="198">
        <v>176088.1724966164</v>
      </c>
      <c r="BW26" s="198">
        <v>432722.76791058073</v>
      </c>
      <c r="BX26" s="198">
        <v>793.35</v>
      </c>
      <c r="BY26" s="198">
        <v>29652.068323478816</v>
      </c>
      <c r="BZ26" s="198">
        <v>2169989.708138697</v>
      </c>
      <c r="CA26" s="198">
        <v>2003121.758138697</v>
      </c>
      <c r="CB26" s="198">
        <v>0</v>
      </c>
      <c r="CC26" s="232">
        <v>2745767.45095238</v>
      </c>
      <c r="CD26" s="198">
        <v>-1621875</v>
      </c>
      <c r="CE26" s="198">
        <v>-637190.3314</v>
      </c>
      <c r="CH26" s="198">
        <v>8808</v>
      </c>
    </row>
    <row r="27" spans="1:86" ht="11.25">
      <c r="A27" s="198">
        <v>111</v>
      </c>
      <c r="B27" s="198" t="s">
        <v>103</v>
      </c>
      <c r="C27" s="198">
        <v>19695</v>
      </c>
      <c r="D27" s="198">
        <v>68323373.96000001</v>
      </c>
      <c r="E27" s="198">
        <v>28793610.34834592</v>
      </c>
      <c r="F27" s="198">
        <v>4716202.372608696</v>
      </c>
      <c r="G27" s="198">
        <v>101833186.68095462</v>
      </c>
      <c r="H27" s="198">
        <v>3642.26</v>
      </c>
      <c r="I27" s="198">
        <v>71734310.7</v>
      </c>
      <c r="J27" s="198">
        <v>30098875.980954617</v>
      </c>
      <c r="K27" s="198">
        <v>678847.4726335098</v>
      </c>
      <c r="L27" s="198">
        <v>5156431.139591023</v>
      </c>
      <c r="M27" s="198">
        <v>0</v>
      </c>
      <c r="N27" s="198">
        <v>35934154.59317915</v>
      </c>
      <c r="O27" s="198">
        <v>7395613.160097551</v>
      </c>
      <c r="P27" s="198">
        <v>43329767.753276706</v>
      </c>
      <c r="Q27" s="198">
        <v>864</v>
      </c>
      <c r="R27" s="198">
        <v>138</v>
      </c>
      <c r="S27" s="198">
        <v>1083</v>
      </c>
      <c r="T27" s="198">
        <v>588</v>
      </c>
      <c r="U27" s="198">
        <v>661</v>
      </c>
      <c r="V27" s="198">
        <v>10762</v>
      </c>
      <c r="W27" s="198">
        <v>3224</v>
      </c>
      <c r="X27" s="198">
        <v>1739</v>
      </c>
      <c r="Y27" s="198">
        <v>636</v>
      </c>
      <c r="Z27" s="198">
        <v>19095</v>
      </c>
      <c r="AA27" s="198">
        <v>37</v>
      </c>
      <c r="AB27" s="198">
        <v>2</v>
      </c>
      <c r="AC27" s="198">
        <v>561</v>
      </c>
      <c r="AD27" s="198">
        <v>676.09</v>
      </c>
      <c r="AE27" s="198">
        <v>29.130737032051943</v>
      </c>
      <c r="AF27" s="198">
        <v>5599</v>
      </c>
      <c r="AG27" s="198">
        <v>28793610.34834592</v>
      </c>
      <c r="AH27" s="198">
        <v>17195481.029403076</v>
      </c>
      <c r="AI27" s="198">
        <v>8184993.767481372</v>
      </c>
      <c r="AJ27" s="198">
        <v>3413135.551461475</v>
      </c>
      <c r="AK27" s="198">
        <v>1439</v>
      </c>
      <c r="AL27" s="198">
        <v>8788</v>
      </c>
      <c r="AM27" s="198">
        <v>1.3135573448093774</v>
      </c>
      <c r="AN27" s="198">
        <v>561</v>
      </c>
      <c r="AO27" s="198">
        <v>0.028484386900228486</v>
      </c>
      <c r="AP27" s="198">
        <v>0.026760843294575263</v>
      </c>
      <c r="AQ27" s="198">
        <v>0</v>
      </c>
      <c r="AR27" s="198">
        <v>37</v>
      </c>
      <c r="AS27" s="198">
        <v>2</v>
      </c>
      <c r="AT27" s="198">
        <v>0</v>
      </c>
      <c r="AU27" s="198">
        <v>676.09</v>
      </c>
      <c r="AV27" s="198">
        <v>29.130737032051943</v>
      </c>
      <c r="AW27" s="198">
        <v>0.6179881844758174</v>
      </c>
      <c r="AX27" s="198">
        <v>944</v>
      </c>
      <c r="AY27" s="198">
        <v>5622</v>
      </c>
      <c r="AZ27" s="198">
        <v>0.167911775168979</v>
      </c>
      <c r="BA27" s="198">
        <v>0.10422291647332683</v>
      </c>
      <c r="BB27" s="198">
        <v>0</v>
      </c>
      <c r="BC27" s="198">
        <v>7022</v>
      </c>
      <c r="BD27" s="198">
        <v>7200</v>
      </c>
      <c r="BE27" s="198">
        <v>0.9752777777777778</v>
      </c>
      <c r="BF27" s="198">
        <v>0.5456389234813892</v>
      </c>
      <c r="BG27" s="198">
        <v>0</v>
      </c>
      <c r="BH27" s="198">
        <v>2</v>
      </c>
      <c r="BI27" s="198">
        <v>-1969.5</v>
      </c>
      <c r="BJ27" s="198">
        <v>-4726.8</v>
      </c>
      <c r="BK27" s="198">
        <v>-80749.5</v>
      </c>
      <c r="BL27" s="198">
        <v>-7287.15</v>
      </c>
      <c r="BM27" s="198">
        <v>-104974.35</v>
      </c>
      <c r="BN27" s="198">
        <v>-2363.4</v>
      </c>
      <c r="BO27" s="198">
        <v>751929</v>
      </c>
      <c r="BP27" s="198">
        <v>-211195.58279307187</v>
      </c>
      <c r="BQ27" s="198">
        <v>1456682</v>
      </c>
      <c r="BR27" s="198">
        <v>464204</v>
      </c>
      <c r="BS27" s="198">
        <v>1094866.502573506</v>
      </c>
      <c r="BT27" s="198">
        <v>51131.63424286549</v>
      </c>
      <c r="BU27" s="198">
        <v>176358.02767384014</v>
      </c>
      <c r="BV27" s="198">
        <v>602628.2312042551</v>
      </c>
      <c r="BW27" s="198">
        <v>941166.9944607123</v>
      </c>
      <c r="BX27" s="198">
        <v>1772.55</v>
      </c>
      <c r="BY27" s="198">
        <v>199714.13222891683</v>
      </c>
      <c r="BZ27" s="198">
        <v>5529257.489591023</v>
      </c>
      <c r="CA27" s="198">
        <v>5156431.139591023</v>
      </c>
      <c r="CB27" s="198">
        <v>0</v>
      </c>
      <c r="CC27" s="232">
        <v>7395613.160097551</v>
      </c>
      <c r="CD27" s="198">
        <v>-3194852</v>
      </c>
      <c r="CE27" s="198">
        <v>-182963.40705999994</v>
      </c>
      <c r="CH27" s="198">
        <v>19979</v>
      </c>
    </row>
    <row r="28" spans="1:86" ht="11.25">
      <c r="A28" s="198">
        <v>90</v>
      </c>
      <c r="B28" s="198" t="s">
        <v>104</v>
      </c>
      <c r="C28" s="198">
        <v>3638</v>
      </c>
      <c r="D28" s="198">
        <v>13710978.349999998</v>
      </c>
      <c r="E28" s="198">
        <v>8199600.338212573</v>
      </c>
      <c r="F28" s="198">
        <v>1430837.1872054453</v>
      </c>
      <c r="G28" s="198">
        <v>23341415.875418015</v>
      </c>
      <c r="H28" s="198">
        <v>3642.26</v>
      </c>
      <c r="I28" s="198">
        <v>13250541.88</v>
      </c>
      <c r="J28" s="198">
        <v>10090873.995418014</v>
      </c>
      <c r="K28" s="198">
        <v>646807.0258285113</v>
      </c>
      <c r="L28" s="198">
        <v>1047471.3854181209</v>
      </c>
      <c r="M28" s="198">
        <v>0</v>
      </c>
      <c r="N28" s="198">
        <v>11785152.406664645</v>
      </c>
      <c r="O28" s="198">
        <v>2480900.448674698</v>
      </c>
      <c r="P28" s="198">
        <v>14266052.855339343</v>
      </c>
      <c r="Q28" s="198">
        <v>146</v>
      </c>
      <c r="R28" s="198">
        <v>38</v>
      </c>
      <c r="S28" s="198">
        <v>197</v>
      </c>
      <c r="T28" s="198">
        <v>92</v>
      </c>
      <c r="U28" s="198">
        <v>96</v>
      </c>
      <c r="V28" s="198">
        <v>1844</v>
      </c>
      <c r="W28" s="198">
        <v>639</v>
      </c>
      <c r="X28" s="198">
        <v>423</v>
      </c>
      <c r="Y28" s="198">
        <v>163</v>
      </c>
      <c r="Z28" s="198">
        <v>3566</v>
      </c>
      <c r="AA28" s="198">
        <v>5</v>
      </c>
      <c r="AB28" s="198">
        <v>0</v>
      </c>
      <c r="AC28" s="198">
        <v>67</v>
      </c>
      <c r="AD28" s="198">
        <v>1030.28</v>
      </c>
      <c r="AE28" s="198">
        <v>3.531078929999612</v>
      </c>
      <c r="AF28" s="198">
        <v>1225</v>
      </c>
      <c r="AG28" s="198">
        <v>8199600.338212573</v>
      </c>
      <c r="AH28" s="198">
        <v>4752987.823068594</v>
      </c>
      <c r="AI28" s="198">
        <v>2638923.949530958</v>
      </c>
      <c r="AJ28" s="198">
        <v>807688.5656130208</v>
      </c>
      <c r="AK28" s="198">
        <v>217</v>
      </c>
      <c r="AL28" s="198">
        <v>1437</v>
      </c>
      <c r="AM28" s="198">
        <v>1.211382393306505</v>
      </c>
      <c r="AN28" s="198">
        <v>67</v>
      </c>
      <c r="AO28" s="198">
        <v>0.018416712479384277</v>
      </c>
      <c r="AP28" s="198">
        <v>0.016693168873731054</v>
      </c>
      <c r="AQ28" s="198">
        <v>0</v>
      </c>
      <c r="AR28" s="198">
        <v>5</v>
      </c>
      <c r="AS28" s="198">
        <v>0</v>
      </c>
      <c r="AT28" s="198">
        <v>0</v>
      </c>
      <c r="AU28" s="198">
        <v>1030.28</v>
      </c>
      <c r="AV28" s="198">
        <v>3.531078929999612</v>
      </c>
      <c r="AW28" s="198">
        <v>5.0982862880615984</v>
      </c>
      <c r="AX28" s="198">
        <v>171</v>
      </c>
      <c r="AY28" s="198">
        <v>934</v>
      </c>
      <c r="AZ28" s="198">
        <v>0.18308351177730192</v>
      </c>
      <c r="BA28" s="198">
        <v>0.11939465308164975</v>
      </c>
      <c r="BB28" s="198">
        <v>0.68</v>
      </c>
      <c r="BC28" s="198">
        <v>1188</v>
      </c>
      <c r="BD28" s="198">
        <v>1184</v>
      </c>
      <c r="BE28" s="198">
        <v>1.0033783783783783</v>
      </c>
      <c r="BF28" s="198">
        <v>0.5737395240819898</v>
      </c>
      <c r="BG28" s="198">
        <v>0</v>
      </c>
      <c r="BH28" s="198">
        <v>0</v>
      </c>
      <c r="BI28" s="198">
        <v>-363.8</v>
      </c>
      <c r="BJ28" s="198">
        <v>-873.12</v>
      </c>
      <c r="BK28" s="198">
        <v>-14915.8</v>
      </c>
      <c r="BL28" s="198">
        <v>-1346.06</v>
      </c>
      <c r="BM28" s="198">
        <v>-19390.54</v>
      </c>
      <c r="BN28" s="198">
        <v>-436.56</v>
      </c>
      <c r="BO28" s="198">
        <v>-138429</v>
      </c>
      <c r="BP28" s="198">
        <v>50519.79779796116</v>
      </c>
      <c r="BQ28" s="198">
        <v>414960</v>
      </c>
      <c r="BR28" s="198">
        <v>115556</v>
      </c>
      <c r="BS28" s="198">
        <v>307791.1445000703</v>
      </c>
      <c r="BT28" s="198">
        <v>16925.36445599054</v>
      </c>
      <c r="BU28" s="198">
        <v>55473.379691860675</v>
      </c>
      <c r="BV28" s="198">
        <v>155595.83504072958</v>
      </c>
      <c r="BW28" s="198">
        <v>198231.1546148558</v>
      </c>
      <c r="BX28" s="198">
        <v>327.42</v>
      </c>
      <c r="BY28" s="198">
        <v>-60612.37068334714</v>
      </c>
      <c r="BZ28" s="198">
        <v>1116338.7254181209</v>
      </c>
      <c r="CA28" s="198">
        <v>1047471.3854181209</v>
      </c>
      <c r="CB28" s="198">
        <v>0</v>
      </c>
      <c r="CC28" s="232">
        <v>2480900.448674698</v>
      </c>
      <c r="CD28" s="198">
        <v>-348151</v>
      </c>
      <c r="CE28" s="198">
        <v>51117.1841</v>
      </c>
      <c r="CH28" s="198">
        <v>3667</v>
      </c>
    </row>
    <row r="29" spans="1:86" ht="11.25">
      <c r="A29" s="198">
        <v>91</v>
      </c>
      <c r="B29" s="198" t="s">
        <v>105</v>
      </c>
      <c r="C29" s="198">
        <v>620715</v>
      </c>
      <c r="D29" s="198">
        <v>1872853551.63</v>
      </c>
      <c r="E29" s="198">
        <v>585125314.1019282</v>
      </c>
      <c r="F29" s="198">
        <v>263838843.1460432</v>
      </c>
      <c r="G29" s="198">
        <v>2721817708.8779716</v>
      </c>
      <c r="H29" s="198">
        <v>3642.26</v>
      </c>
      <c r="I29" s="198">
        <v>2260805415.9</v>
      </c>
      <c r="J29" s="198">
        <v>461012292.97797155</v>
      </c>
      <c r="K29" s="198">
        <v>33745341.35018395</v>
      </c>
      <c r="L29" s="198">
        <v>84762752.3579204</v>
      </c>
      <c r="M29" s="198">
        <v>0</v>
      </c>
      <c r="N29" s="198">
        <v>579520386.6860759</v>
      </c>
      <c r="O29" s="198">
        <v>-265432370.03333032</v>
      </c>
      <c r="P29" s="198">
        <v>314088016.6527456</v>
      </c>
      <c r="Q29" s="198">
        <v>38615</v>
      </c>
      <c r="R29" s="198">
        <v>5937</v>
      </c>
      <c r="S29" s="198">
        <v>31523</v>
      </c>
      <c r="T29" s="198">
        <v>14927</v>
      </c>
      <c r="U29" s="198">
        <v>16233</v>
      </c>
      <c r="V29" s="198">
        <v>411771</v>
      </c>
      <c r="W29" s="198">
        <v>58976</v>
      </c>
      <c r="X29" s="198">
        <v>30186</v>
      </c>
      <c r="Y29" s="198">
        <v>12547</v>
      </c>
      <c r="Z29" s="198">
        <v>501257</v>
      </c>
      <c r="AA29" s="198">
        <v>35845</v>
      </c>
      <c r="AB29" s="198">
        <v>64</v>
      </c>
      <c r="AC29" s="198">
        <v>83549</v>
      </c>
      <c r="AD29" s="198">
        <v>213.75</v>
      </c>
      <c r="AE29" s="198">
        <v>2903.9298245614036</v>
      </c>
      <c r="AF29" s="198">
        <v>101709</v>
      </c>
      <c r="AG29" s="198">
        <v>585125314.1019282</v>
      </c>
      <c r="AH29" s="198">
        <v>356176685.0919858</v>
      </c>
      <c r="AI29" s="198">
        <v>149734355.81686324</v>
      </c>
      <c r="AJ29" s="198">
        <v>79214273.19307916</v>
      </c>
      <c r="AK29" s="198">
        <v>35641</v>
      </c>
      <c r="AL29" s="198">
        <v>323952</v>
      </c>
      <c r="AM29" s="198">
        <v>0.8825666382407392</v>
      </c>
      <c r="AN29" s="198">
        <v>83549</v>
      </c>
      <c r="AO29" s="198">
        <v>0.13460122600549365</v>
      </c>
      <c r="AP29" s="198">
        <v>0.13287768239984044</v>
      </c>
      <c r="AQ29" s="198">
        <v>1</v>
      </c>
      <c r="AR29" s="198">
        <v>35845</v>
      </c>
      <c r="AS29" s="198">
        <v>64</v>
      </c>
      <c r="AT29" s="198">
        <v>1</v>
      </c>
      <c r="AU29" s="198">
        <v>213.75</v>
      </c>
      <c r="AV29" s="198">
        <v>2903.9298245614036</v>
      </c>
      <c r="AW29" s="198">
        <v>0.006199341023538422</v>
      </c>
      <c r="AX29" s="198">
        <v>41322</v>
      </c>
      <c r="AY29" s="198">
        <v>225384</v>
      </c>
      <c r="AZ29" s="198">
        <v>0.18334043232882546</v>
      </c>
      <c r="BA29" s="198">
        <v>0.11965157363317329</v>
      </c>
      <c r="BB29" s="198">
        <v>0</v>
      </c>
      <c r="BC29" s="198">
        <v>381942</v>
      </c>
      <c r="BD29" s="198">
        <v>296020</v>
      </c>
      <c r="BE29" s="198">
        <v>1.2902574150395243</v>
      </c>
      <c r="BF29" s="198">
        <v>0.8606185607431358</v>
      </c>
      <c r="BG29" s="198">
        <v>0</v>
      </c>
      <c r="BH29" s="198">
        <v>64</v>
      </c>
      <c r="BI29" s="198">
        <v>-62071.5</v>
      </c>
      <c r="BJ29" s="198">
        <v>-148971.6</v>
      </c>
      <c r="BK29" s="198">
        <v>-2544931.5</v>
      </c>
      <c r="BL29" s="198">
        <v>-229664.55</v>
      </c>
      <c r="BM29" s="198">
        <v>-3308410.95</v>
      </c>
      <c r="BN29" s="198">
        <v>-74485.8</v>
      </c>
      <c r="BO29" s="198">
        <v>-6090483</v>
      </c>
      <c r="BP29" s="198">
        <v>-5538615.30365333</v>
      </c>
      <c r="BQ29" s="198">
        <v>33023199</v>
      </c>
      <c r="BR29" s="198">
        <v>13663332</v>
      </c>
      <c r="BS29" s="198">
        <v>32140867.169646222</v>
      </c>
      <c r="BT29" s="198">
        <v>1308957.284300828</v>
      </c>
      <c r="BU29" s="198">
        <v>-4477969.055873193</v>
      </c>
      <c r="BV29" s="198">
        <v>10724768.73021238</v>
      </c>
      <c r="BW29" s="198">
        <v>28792817.389099948</v>
      </c>
      <c r="BX29" s="198">
        <v>55864.35</v>
      </c>
      <c r="BY29" s="198">
        <v>-7089851.25581247</v>
      </c>
      <c r="BZ29" s="198">
        <v>96512887.3079204</v>
      </c>
      <c r="CA29" s="198">
        <v>84762752.3579204</v>
      </c>
      <c r="CB29" s="198">
        <v>0</v>
      </c>
      <c r="CC29" s="232">
        <v>-265432370.03333032</v>
      </c>
      <c r="CD29" s="198">
        <v>-7249643</v>
      </c>
      <c r="CE29" s="198">
        <v>-67329566.24504599</v>
      </c>
      <c r="CH29" s="198">
        <v>612664</v>
      </c>
    </row>
    <row r="30" spans="1:86" ht="11.25">
      <c r="A30" s="198">
        <v>97</v>
      </c>
      <c r="B30" s="198" t="s">
        <v>106</v>
      </c>
      <c r="C30" s="198">
        <v>2326</v>
      </c>
      <c r="D30" s="198">
        <v>8768654.580000002</v>
      </c>
      <c r="E30" s="198">
        <v>3779120.424590145</v>
      </c>
      <c r="F30" s="198">
        <v>726205.9226716551</v>
      </c>
      <c r="G30" s="198">
        <v>13273980.927261801</v>
      </c>
      <c r="H30" s="198">
        <v>3642.26</v>
      </c>
      <c r="I30" s="198">
        <v>8471896.76</v>
      </c>
      <c r="J30" s="198">
        <v>4802084.167261802</v>
      </c>
      <c r="K30" s="198">
        <v>57155.42485178131</v>
      </c>
      <c r="L30" s="198">
        <v>915531.6526119299</v>
      </c>
      <c r="M30" s="198">
        <v>29641.01711097454</v>
      </c>
      <c r="N30" s="198">
        <v>5804412.261836488</v>
      </c>
      <c r="O30" s="198">
        <v>1819202.9659487177</v>
      </c>
      <c r="P30" s="198">
        <v>7623615.2277852055</v>
      </c>
      <c r="Q30" s="198">
        <v>90</v>
      </c>
      <c r="R30" s="198">
        <v>12</v>
      </c>
      <c r="S30" s="198">
        <v>95</v>
      </c>
      <c r="T30" s="198">
        <v>95</v>
      </c>
      <c r="U30" s="198">
        <v>93</v>
      </c>
      <c r="V30" s="198">
        <v>1218</v>
      </c>
      <c r="W30" s="198">
        <v>379</v>
      </c>
      <c r="X30" s="198">
        <v>241</v>
      </c>
      <c r="Y30" s="198">
        <v>103</v>
      </c>
      <c r="Z30" s="198">
        <v>2274</v>
      </c>
      <c r="AA30" s="198">
        <v>7</v>
      </c>
      <c r="AB30" s="198">
        <v>0</v>
      </c>
      <c r="AC30" s="198">
        <v>45</v>
      </c>
      <c r="AD30" s="198">
        <v>465.38</v>
      </c>
      <c r="AE30" s="198">
        <v>4.998066096523272</v>
      </c>
      <c r="AF30" s="198">
        <v>723</v>
      </c>
      <c r="AG30" s="198">
        <v>3779120.424590145</v>
      </c>
      <c r="AH30" s="198">
        <v>2141715.14227013</v>
      </c>
      <c r="AI30" s="198">
        <v>1272642.704301231</v>
      </c>
      <c r="AJ30" s="198">
        <v>364762.57801878353</v>
      </c>
      <c r="AK30" s="198">
        <v>117</v>
      </c>
      <c r="AL30" s="198">
        <v>972</v>
      </c>
      <c r="AM30" s="198">
        <v>0.9656014033691253</v>
      </c>
      <c r="AN30" s="198">
        <v>45</v>
      </c>
      <c r="AO30" s="198">
        <v>0.01934651762682717</v>
      </c>
      <c r="AP30" s="198">
        <v>0.017622974021173948</v>
      </c>
      <c r="AQ30" s="198">
        <v>0</v>
      </c>
      <c r="AR30" s="198">
        <v>7</v>
      </c>
      <c r="AS30" s="198">
        <v>0</v>
      </c>
      <c r="AT30" s="198">
        <v>1</v>
      </c>
      <c r="AU30" s="198">
        <v>465.38</v>
      </c>
      <c r="AV30" s="198">
        <v>4.998066096523272</v>
      </c>
      <c r="AW30" s="198">
        <v>3.6018833971409485</v>
      </c>
      <c r="AX30" s="198">
        <v>108</v>
      </c>
      <c r="AY30" s="198">
        <v>604</v>
      </c>
      <c r="AZ30" s="198">
        <v>0.17880794701986755</v>
      </c>
      <c r="BA30" s="198">
        <v>0.11511908832421537</v>
      </c>
      <c r="BB30" s="198">
        <v>0</v>
      </c>
      <c r="BC30" s="198">
        <v>668</v>
      </c>
      <c r="BD30" s="198">
        <v>816</v>
      </c>
      <c r="BE30" s="198">
        <v>0.8186274509803921</v>
      </c>
      <c r="BF30" s="198">
        <v>0.3889885966840036</v>
      </c>
      <c r="BG30" s="198">
        <v>0</v>
      </c>
      <c r="BH30" s="198">
        <v>0</v>
      </c>
      <c r="BI30" s="198">
        <v>-232.60000000000002</v>
      </c>
      <c r="BJ30" s="198">
        <v>-558.24</v>
      </c>
      <c r="BK30" s="198">
        <v>-9536.599999999999</v>
      </c>
      <c r="BL30" s="198">
        <v>-860.62</v>
      </c>
      <c r="BM30" s="198">
        <v>-12397.58</v>
      </c>
      <c r="BN30" s="198">
        <v>-279.12</v>
      </c>
      <c r="BO30" s="198">
        <v>79164</v>
      </c>
      <c r="BP30" s="198">
        <v>86034.37929508742</v>
      </c>
      <c r="BQ30" s="198">
        <v>269011</v>
      </c>
      <c r="BR30" s="198">
        <v>77732</v>
      </c>
      <c r="BS30" s="198">
        <v>190041.25671568306</v>
      </c>
      <c r="BT30" s="198">
        <v>10897.25655848356</v>
      </c>
      <c r="BU30" s="198">
        <v>25535.254371790128</v>
      </c>
      <c r="BV30" s="198">
        <v>85775.7317094981</v>
      </c>
      <c r="BW30" s="198">
        <v>133941.83526728099</v>
      </c>
      <c r="BX30" s="198">
        <v>209.34</v>
      </c>
      <c r="BY30" s="198">
        <v>1220.7786941067607</v>
      </c>
      <c r="BZ30" s="198">
        <v>959562.83261193</v>
      </c>
      <c r="CA30" s="198">
        <v>915531.6526119299</v>
      </c>
      <c r="CB30" s="198">
        <v>29641.01711097454</v>
      </c>
      <c r="CC30" s="232">
        <v>1819202.9659487177</v>
      </c>
      <c r="CD30" s="198">
        <v>-580620</v>
      </c>
      <c r="CE30" s="198">
        <v>13386.351500000004</v>
      </c>
      <c r="CH30" s="198">
        <v>2338</v>
      </c>
    </row>
    <row r="31" spans="1:86" ht="11.25">
      <c r="A31" s="198">
        <v>98</v>
      </c>
      <c r="B31" s="198" t="s">
        <v>107</v>
      </c>
      <c r="C31" s="198">
        <v>21892</v>
      </c>
      <c r="D31" s="198">
        <v>78227161.6</v>
      </c>
      <c r="E31" s="198">
        <v>23988527.536631174</v>
      </c>
      <c r="F31" s="198">
        <v>3647564.497751699</v>
      </c>
      <c r="G31" s="198">
        <v>105863253.63438286</v>
      </c>
      <c r="H31" s="198">
        <v>3642.26</v>
      </c>
      <c r="I31" s="198">
        <v>79736355.92</v>
      </c>
      <c r="J31" s="198">
        <v>26126897.714382857</v>
      </c>
      <c r="K31" s="198">
        <v>259271.03133011036</v>
      </c>
      <c r="L31" s="198">
        <v>4688850.063754254</v>
      </c>
      <c r="M31" s="198">
        <v>-191566.14368348577</v>
      </c>
      <c r="N31" s="198">
        <v>30883452.665783733</v>
      </c>
      <c r="O31" s="198">
        <v>4141954.1841927636</v>
      </c>
      <c r="P31" s="198">
        <v>35025406.849976495</v>
      </c>
      <c r="Q31" s="198">
        <v>1494</v>
      </c>
      <c r="R31" s="198">
        <v>292</v>
      </c>
      <c r="S31" s="198">
        <v>1825</v>
      </c>
      <c r="T31" s="198">
        <v>894</v>
      </c>
      <c r="U31" s="198">
        <v>806</v>
      </c>
      <c r="V31" s="198">
        <v>12207</v>
      </c>
      <c r="W31" s="198">
        <v>2695</v>
      </c>
      <c r="X31" s="198">
        <v>1285</v>
      </c>
      <c r="Y31" s="198">
        <v>394</v>
      </c>
      <c r="Z31" s="198">
        <v>21307</v>
      </c>
      <c r="AA31" s="198">
        <v>77</v>
      </c>
      <c r="AB31" s="198">
        <v>0</v>
      </c>
      <c r="AC31" s="198">
        <v>508</v>
      </c>
      <c r="AD31" s="198">
        <v>463.16</v>
      </c>
      <c r="AE31" s="198">
        <v>47.266603333621205</v>
      </c>
      <c r="AF31" s="198">
        <v>4374</v>
      </c>
      <c r="AG31" s="198">
        <v>23988527.536631174</v>
      </c>
      <c r="AH31" s="198">
        <v>13871291.112079037</v>
      </c>
      <c r="AI31" s="198">
        <v>7346777.796266613</v>
      </c>
      <c r="AJ31" s="198">
        <v>2770458.6282855226</v>
      </c>
      <c r="AK31" s="198">
        <v>1101</v>
      </c>
      <c r="AL31" s="198">
        <v>10482</v>
      </c>
      <c r="AM31" s="198">
        <v>0.8426000005270277</v>
      </c>
      <c r="AN31" s="198">
        <v>508</v>
      </c>
      <c r="AO31" s="198">
        <v>0.023204823679883062</v>
      </c>
      <c r="AP31" s="198">
        <v>0.02148128007422984</v>
      </c>
      <c r="AQ31" s="198">
        <v>0</v>
      </c>
      <c r="AR31" s="198">
        <v>77</v>
      </c>
      <c r="AS31" s="198">
        <v>0</v>
      </c>
      <c r="AT31" s="198">
        <v>0</v>
      </c>
      <c r="AU31" s="198">
        <v>463.16</v>
      </c>
      <c r="AV31" s="198">
        <v>47.266603333621205</v>
      </c>
      <c r="AW31" s="198">
        <v>0.3808704248074225</v>
      </c>
      <c r="AX31" s="198">
        <v>1023</v>
      </c>
      <c r="AY31" s="198">
        <v>7165</v>
      </c>
      <c r="AZ31" s="198">
        <v>0.14277739009071877</v>
      </c>
      <c r="BA31" s="198">
        <v>0.0790885313950666</v>
      </c>
      <c r="BB31" s="198">
        <v>0</v>
      </c>
      <c r="BC31" s="198">
        <v>5717</v>
      </c>
      <c r="BD31" s="198">
        <v>9264</v>
      </c>
      <c r="BE31" s="198">
        <v>0.6171200345423143</v>
      </c>
      <c r="BF31" s="198">
        <v>0.1874811802459258</v>
      </c>
      <c r="BG31" s="198">
        <v>0</v>
      </c>
      <c r="BH31" s="198">
        <v>0</v>
      </c>
      <c r="BI31" s="198">
        <v>-2189.2000000000003</v>
      </c>
      <c r="BJ31" s="198">
        <v>-5254.08</v>
      </c>
      <c r="BK31" s="198">
        <v>-89757.2</v>
      </c>
      <c r="BL31" s="198">
        <v>-8100.04</v>
      </c>
      <c r="BM31" s="198">
        <v>-116684.36</v>
      </c>
      <c r="BN31" s="198">
        <v>-2627.04</v>
      </c>
      <c r="BO31" s="198">
        <v>520688</v>
      </c>
      <c r="BP31" s="198">
        <v>-6568.542668476701</v>
      </c>
      <c r="BQ31" s="198">
        <v>1535074</v>
      </c>
      <c r="BR31" s="198">
        <v>496516</v>
      </c>
      <c r="BS31" s="198">
        <v>1060888.9990971792</v>
      </c>
      <c r="BT31" s="198">
        <v>28677.423435213626</v>
      </c>
      <c r="BU31" s="198">
        <v>-37913.07587501295</v>
      </c>
      <c r="BV31" s="198">
        <v>489873.1465874094</v>
      </c>
      <c r="BW31" s="198">
        <v>952960.206658214</v>
      </c>
      <c r="BX31" s="198">
        <v>1970.28</v>
      </c>
      <c r="BY31" s="198">
        <v>61099.18651972691</v>
      </c>
      <c r="BZ31" s="198">
        <v>5103265.623754254</v>
      </c>
      <c r="CA31" s="198">
        <v>4688850.063754254</v>
      </c>
      <c r="CB31" s="198">
        <v>-191566.14368348577</v>
      </c>
      <c r="CC31" s="232">
        <v>4141954.1841927636</v>
      </c>
      <c r="CD31" s="198">
        <v>-4686535</v>
      </c>
      <c r="CE31" s="198">
        <v>1389016.396077999</v>
      </c>
      <c r="CH31" s="198">
        <v>21987</v>
      </c>
    </row>
    <row r="32" spans="1:86" ht="11.25">
      <c r="A32" s="198">
        <v>99</v>
      </c>
      <c r="B32" s="198" t="s">
        <v>108</v>
      </c>
      <c r="C32" s="198">
        <v>1788</v>
      </c>
      <c r="D32" s="198">
        <v>6346352.3100000005</v>
      </c>
      <c r="E32" s="198">
        <v>2291432.0146274953</v>
      </c>
      <c r="F32" s="198">
        <v>726863.2298511751</v>
      </c>
      <c r="G32" s="198">
        <v>9364647.554478671</v>
      </c>
      <c r="H32" s="198">
        <v>3642.26</v>
      </c>
      <c r="I32" s="198">
        <v>6512360.880000001</v>
      </c>
      <c r="J32" s="198">
        <v>2852286.6744786706</v>
      </c>
      <c r="K32" s="198">
        <v>69022.1617206828</v>
      </c>
      <c r="L32" s="198">
        <v>814351.6589054441</v>
      </c>
      <c r="M32" s="198">
        <v>0</v>
      </c>
      <c r="N32" s="198">
        <v>3735660.4951047977</v>
      </c>
      <c r="O32" s="198">
        <v>1153407.3041882354</v>
      </c>
      <c r="P32" s="198">
        <v>4889067.799293033</v>
      </c>
      <c r="Q32" s="198">
        <v>107</v>
      </c>
      <c r="R32" s="198">
        <v>25</v>
      </c>
      <c r="S32" s="198">
        <v>84</v>
      </c>
      <c r="T32" s="198">
        <v>50</v>
      </c>
      <c r="U32" s="198">
        <v>52</v>
      </c>
      <c r="V32" s="198">
        <v>1035</v>
      </c>
      <c r="W32" s="198">
        <v>229</v>
      </c>
      <c r="X32" s="198">
        <v>141</v>
      </c>
      <c r="Y32" s="198">
        <v>65</v>
      </c>
      <c r="Z32" s="198">
        <v>1676</v>
      </c>
      <c r="AA32" s="198">
        <v>5</v>
      </c>
      <c r="AB32" s="198">
        <v>0</v>
      </c>
      <c r="AC32" s="198">
        <v>107</v>
      </c>
      <c r="AD32" s="198">
        <v>331.36</v>
      </c>
      <c r="AE32" s="198">
        <v>5.395943988411395</v>
      </c>
      <c r="AF32" s="198">
        <v>435</v>
      </c>
      <c r="AG32" s="198">
        <v>2291432.0146274953</v>
      </c>
      <c r="AH32" s="198">
        <v>1433487.2937428926</v>
      </c>
      <c r="AI32" s="198">
        <v>527921.4360104653</v>
      </c>
      <c r="AJ32" s="198">
        <v>330023.28487413755</v>
      </c>
      <c r="AK32" s="198">
        <v>90</v>
      </c>
      <c r="AL32" s="198">
        <v>831</v>
      </c>
      <c r="AM32" s="198">
        <v>0.868799929718402</v>
      </c>
      <c r="AN32" s="198">
        <v>107</v>
      </c>
      <c r="AO32" s="198">
        <v>0.059843400447427295</v>
      </c>
      <c r="AP32" s="198">
        <v>0.05811985684177407</v>
      </c>
      <c r="AQ32" s="198">
        <v>0</v>
      </c>
      <c r="AR32" s="198">
        <v>5</v>
      </c>
      <c r="AS32" s="198">
        <v>0</v>
      </c>
      <c r="AT32" s="198">
        <v>0</v>
      </c>
      <c r="AU32" s="198">
        <v>331.36</v>
      </c>
      <c r="AV32" s="198">
        <v>5.395943988411395</v>
      </c>
      <c r="AW32" s="198">
        <v>3.3362932101488125</v>
      </c>
      <c r="AX32" s="198">
        <v>133</v>
      </c>
      <c r="AY32" s="198">
        <v>512</v>
      </c>
      <c r="AZ32" s="198">
        <v>0.259765625</v>
      </c>
      <c r="BA32" s="198">
        <v>0.19607676630434784</v>
      </c>
      <c r="BB32" s="198">
        <v>0</v>
      </c>
      <c r="BC32" s="198">
        <v>792</v>
      </c>
      <c r="BD32" s="198">
        <v>761</v>
      </c>
      <c r="BE32" s="198">
        <v>1.040735873850197</v>
      </c>
      <c r="BF32" s="198">
        <v>0.6110970195538086</v>
      </c>
      <c r="BG32" s="198">
        <v>0</v>
      </c>
      <c r="BH32" s="198">
        <v>0</v>
      </c>
      <c r="BI32" s="198">
        <v>-178.8</v>
      </c>
      <c r="BJ32" s="198">
        <v>-429.12</v>
      </c>
      <c r="BK32" s="198">
        <v>-7330.799999999999</v>
      </c>
      <c r="BL32" s="198">
        <v>-661.56</v>
      </c>
      <c r="BM32" s="198">
        <v>-9530.04</v>
      </c>
      <c r="BN32" s="198">
        <v>-214.56</v>
      </c>
      <c r="BO32" s="198">
        <v>53239</v>
      </c>
      <c r="BP32" s="198">
        <v>83056.90863813274</v>
      </c>
      <c r="BQ32" s="198">
        <v>201096</v>
      </c>
      <c r="BR32" s="198">
        <v>75004</v>
      </c>
      <c r="BS32" s="198">
        <v>202131.85211242025</v>
      </c>
      <c r="BT32" s="198">
        <v>12153.77722601064</v>
      </c>
      <c r="BU32" s="198">
        <v>33334.52188881473</v>
      </c>
      <c r="BV32" s="198">
        <v>79746.42832374311</v>
      </c>
      <c r="BW32" s="198">
        <v>132372.25308604498</v>
      </c>
      <c r="BX32" s="198">
        <v>160.92</v>
      </c>
      <c r="BY32" s="198">
        <v>-24097.162369722362</v>
      </c>
      <c r="BZ32" s="198">
        <v>848198.498905444</v>
      </c>
      <c r="CA32" s="198">
        <v>814351.6589054441</v>
      </c>
      <c r="CB32" s="198">
        <v>0</v>
      </c>
      <c r="CC32" s="232">
        <v>1153407.3041882354</v>
      </c>
      <c r="CD32" s="198">
        <v>-512868</v>
      </c>
      <c r="CE32" s="198">
        <v>34866.776000000005</v>
      </c>
      <c r="CH32" s="198">
        <v>1819</v>
      </c>
    </row>
    <row r="33" spans="1:86" ht="11.25">
      <c r="A33" s="198">
        <v>102</v>
      </c>
      <c r="B33" s="198" t="s">
        <v>109</v>
      </c>
      <c r="C33" s="198">
        <v>10487</v>
      </c>
      <c r="D33" s="198">
        <v>38396335.14999999</v>
      </c>
      <c r="E33" s="198">
        <v>12834582.82851861</v>
      </c>
      <c r="F33" s="198">
        <v>1936500.278947112</v>
      </c>
      <c r="G33" s="198">
        <v>53167418.25746572</v>
      </c>
      <c r="H33" s="198">
        <v>3642.26</v>
      </c>
      <c r="I33" s="198">
        <v>38196380.620000005</v>
      </c>
      <c r="J33" s="198">
        <v>14971037.637465715</v>
      </c>
      <c r="K33" s="198">
        <v>385177.15374233166</v>
      </c>
      <c r="L33" s="198">
        <v>2948623.499122428</v>
      </c>
      <c r="M33" s="198">
        <v>863279.5474095644</v>
      </c>
      <c r="N33" s="198">
        <v>19168117.83774004</v>
      </c>
      <c r="O33" s="198">
        <v>6842061.003753087</v>
      </c>
      <c r="P33" s="198">
        <v>26010178.84149313</v>
      </c>
      <c r="Q33" s="198">
        <v>597</v>
      </c>
      <c r="R33" s="198">
        <v>98</v>
      </c>
      <c r="S33" s="198">
        <v>623</v>
      </c>
      <c r="T33" s="198">
        <v>340</v>
      </c>
      <c r="U33" s="198">
        <v>331</v>
      </c>
      <c r="V33" s="198">
        <v>5827</v>
      </c>
      <c r="W33" s="198">
        <v>1380</v>
      </c>
      <c r="X33" s="198">
        <v>918</v>
      </c>
      <c r="Y33" s="198">
        <v>373</v>
      </c>
      <c r="Z33" s="198">
        <v>10164</v>
      </c>
      <c r="AA33" s="198">
        <v>13</v>
      </c>
      <c r="AB33" s="198">
        <v>0</v>
      </c>
      <c r="AC33" s="198">
        <v>310</v>
      </c>
      <c r="AD33" s="198">
        <v>532.62</v>
      </c>
      <c r="AE33" s="198">
        <v>19.68945965228493</v>
      </c>
      <c r="AF33" s="198">
        <v>2671</v>
      </c>
      <c r="AG33" s="198">
        <v>12834582.82851861</v>
      </c>
      <c r="AH33" s="198">
        <v>7499813.125694106</v>
      </c>
      <c r="AI33" s="198">
        <v>3554380.929161394</v>
      </c>
      <c r="AJ33" s="198">
        <v>1780388.7736631103</v>
      </c>
      <c r="AK33" s="198">
        <v>385</v>
      </c>
      <c r="AL33" s="198">
        <v>4812</v>
      </c>
      <c r="AM33" s="198">
        <v>0.6418202307066985</v>
      </c>
      <c r="AN33" s="198">
        <v>310</v>
      </c>
      <c r="AO33" s="198">
        <v>0.029560408124344427</v>
      </c>
      <c r="AP33" s="198">
        <v>0.027836864518691204</v>
      </c>
      <c r="AQ33" s="198">
        <v>0</v>
      </c>
      <c r="AR33" s="198">
        <v>13</v>
      </c>
      <c r="AS33" s="198">
        <v>0</v>
      </c>
      <c r="AT33" s="198">
        <v>0</v>
      </c>
      <c r="AU33" s="198">
        <v>532.62</v>
      </c>
      <c r="AV33" s="198">
        <v>19.68945965228493</v>
      </c>
      <c r="AW33" s="198">
        <v>0.9143192148897334</v>
      </c>
      <c r="AX33" s="198">
        <v>456</v>
      </c>
      <c r="AY33" s="198">
        <v>3055</v>
      </c>
      <c r="AZ33" s="198">
        <v>0.14926350245499181</v>
      </c>
      <c r="BA33" s="198">
        <v>0.08557464375933964</v>
      </c>
      <c r="BB33" s="198">
        <v>0</v>
      </c>
      <c r="BC33" s="198">
        <v>4384</v>
      </c>
      <c r="BD33" s="198">
        <v>4336</v>
      </c>
      <c r="BE33" s="198">
        <v>1.011070110701107</v>
      </c>
      <c r="BF33" s="198">
        <v>0.5814312564047186</v>
      </c>
      <c r="BG33" s="198">
        <v>0</v>
      </c>
      <c r="BH33" s="198">
        <v>0</v>
      </c>
      <c r="BI33" s="198">
        <v>-1048.7</v>
      </c>
      <c r="BJ33" s="198">
        <v>-2516.88</v>
      </c>
      <c r="BK33" s="198">
        <v>-42996.7</v>
      </c>
      <c r="BL33" s="198">
        <v>-3880.19</v>
      </c>
      <c r="BM33" s="198">
        <v>-55895.71</v>
      </c>
      <c r="BN33" s="198">
        <v>-1258.44</v>
      </c>
      <c r="BO33" s="198">
        <v>10018</v>
      </c>
      <c r="BP33" s="198">
        <v>66100.35522380471</v>
      </c>
      <c r="BQ33" s="198">
        <v>957097</v>
      </c>
      <c r="BR33" s="198">
        <v>307625</v>
      </c>
      <c r="BS33" s="198">
        <v>775785.650171192</v>
      </c>
      <c r="BT33" s="198">
        <v>36395.60139388675</v>
      </c>
      <c r="BU33" s="198">
        <v>60999.028802497414</v>
      </c>
      <c r="BV33" s="198">
        <v>342628.85533858417</v>
      </c>
      <c r="BW33" s="198">
        <v>593062.3300229644</v>
      </c>
      <c r="BX33" s="198">
        <v>943.8299999999999</v>
      </c>
      <c r="BY33" s="198">
        <v>-3513.2418305016763</v>
      </c>
      <c r="BZ33" s="198">
        <v>3147142.409122428</v>
      </c>
      <c r="CA33" s="198">
        <v>2948623.499122428</v>
      </c>
      <c r="CB33" s="198">
        <v>863279.5474095644</v>
      </c>
      <c r="CC33" s="232">
        <v>6842061.003753087</v>
      </c>
      <c r="CD33" s="198">
        <v>-378972</v>
      </c>
      <c r="CE33" s="198">
        <v>302718.3302000001</v>
      </c>
      <c r="CH33" s="198">
        <v>10543</v>
      </c>
    </row>
    <row r="34" spans="1:86" ht="11.25">
      <c r="A34" s="198">
        <v>103</v>
      </c>
      <c r="B34" s="198" t="s">
        <v>110</v>
      </c>
      <c r="C34" s="198">
        <v>2440</v>
      </c>
      <c r="D34" s="198">
        <v>9145305.18</v>
      </c>
      <c r="E34" s="198">
        <v>2872231.01168291</v>
      </c>
      <c r="F34" s="198">
        <v>498304.1520631326</v>
      </c>
      <c r="G34" s="198">
        <v>12515840.343746042</v>
      </c>
      <c r="H34" s="198">
        <v>3642.26</v>
      </c>
      <c r="I34" s="198">
        <v>8887114.4</v>
      </c>
      <c r="J34" s="198">
        <v>3628725.9437460415</v>
      </c>
      <c r="K34" s="198">
        <v>40852.19516335021</v>
      </c>
      <c r="L34" s="198">
        <v>759951.2803216693</v>
      </c>
      <c r="M34" s="198">
        <v>373849.76972972136</v>
      </c>
      <c r="N34" s="198">
        <v>4803379.188960782</v>
      </c>
      <c r="O34" s="198">
        <v>1973068.1247619044</v>
      </c>
      <c r="P34" s="198">
        <v>6776447.313722687</v>
      </c>
      <c r="Q34" s="198">
        <v>142</v>
      </c>
      <c r="R34" s="198">
        <v>36</v>
      </c>
      <c r="S34" s="198">
        <v>166</v>
      </c>
      <c r="T34" s="198">
        <v>95</v>
      </c>
      <c r="U34" s="198">
        <v>82</v>
      </c>
      <c r="V34" s="198">
        <v>1365</v>
      </c>
      <c r="W34" s="198">
        <v>285</v>
      </c>
      <c r="X34" s="198">
        <v>187</v>
      </c>
      <c r="Y34" s="198">
        <v>82</v>
      </c>
      <c r="Z34" s="198">
        <v>2390</v>
      </c>
      <c r="AA34" s="198">
        <v>6</v>
      </c>
      <c r="AB34" s="198">
        <v>0</v>
      </c>
      <c r="AC34" s="198">
        <v>44</v>
      </c>
      <c r="AD34" s="198">
        <v>147.94</v>
      </c>
      <c r="AE34" s="198">
        <v>16.49317290793565</v>
      </c>
      <c r="AF34" s="198">
        <v>554</v>
      </c>
      <c r="AG34" s="198">
        <v>2872231.01168291</v>
      </c>
      <c r="AH34" s="198">
        <v>1670187.4094786027</v>
      </c>
      <c r="AI34" s="198">
        <v>837281.0241855235</v>
      </c>
      <c r="AJ34" s="198">
        <v>364762.5780187836</v>
      </c>
      <c r="AK34" s="198">
        <v>146</v>
      </c>
      <c r="AL34" s="198">
        <v>1175</v>
      </c>
      <c r="AM34" s="198">
        <v>0.9967661491538048</v>
      </c>
      <c r="AN34" s="198">
        <v>44</v>
      </c>
      <c r="AO34" s="198">
        <v>0.018032786885245903</v>
      </c>
      <c r="AP34" s="198">
        <v>0.01630924327959268</v>
      </c>
      <c r="AQ34" s="198">
        <v>0</v>
      </c>
      <c r="AR34" s="198">
        <v>6</v>
      </c>
      <c r="AS34" s="198">
        <v>0</v>
      </c>
      <c r="AT34" s="198">
        <v>0</v>
      </c>
      <c r="AU34" s="198">
        <v>147.94</v>
      </c>
      <c r="AV34" s="198">
        <v>16.49317290793565</v>
      </c>
      <c r="AW34" s="198">
        <v>1.0915092803167306</v>
      </c>
      <c r="AX34" s="198">
        <v>116</v>
      </c>
      <c r="AY34" s="198">
        <v>741</v>
      </c>
      <c r="AZ34" s="198">
        <v>0.15654520917678813</v>
      </c>
      <c r="BA34" s="198">
        <v>0.09285635048113595</v>
      </c>
      <c r="BB34" s="198">
        <v>0</v>
      </c>
      <c r="BC34" s="198">
        <v>653</v>
      </c>
      <c r="BD34" s="198">
        <v>940</v>
      </c>
      <c r="BE34" s="198">
        <v>0.6946808510638298</v>
      </c>
      <c r="BF34" s="198">
        <v>0.2650419967674413</v>
      </c>
      <c r="BG34" s="198">
        <v>0</v>
      </c>
      <c r="BH34" s="198">
        <v>0</v>
      </c>
      <c r="BI34" s="198">
        <v>-244</v>
      </c>
      <c r="BJ34" s="198">
        <v>-585.6</v>
      </c>
      <c r="BK34" s="198">
        <v>-10004</v>
      </c>
      <c r="BL34" s="198">
        <v>-902.8</v>
      </c>
      <c r="BM34" s="198">
        <v>-13005.2</v>
      </c>
      <c r="BN34" s="198">
        <v>-292.8</v>
      </c>
      <c r="BO34" s="198">
        <v>-12271</v>
      </c>
      <c r="BP34" s="198">
        <v>46918.21716419887</v>
      </c>
      <c r="BQ34" s="198">
        <v>237213</v>
      </c>
      <c r="BR34" s="198">
        <v>76959</v>
      </c>
      <c r="BS34" s="198">
        <v>185381.41894099</v>
      </c>
      <c r="BT34" s="198">
        <v>8896.713697212512</v>
      </c>
      <c r="BU34" s="198">
        <v>23020.65466639808</v>
      </c>
      <c r="BV34" s="198">
        <v>81482.30875896385</v>
      </c>
      <c r="BW34" s="198">
        <v>144562.22638558762</v>
      </c>
      <c r="BX34" s="198">
        <v>219.6</v>
      </c>
      <c r="BY34" s="198">
        <v>13758.340708318348</v>
      </c>
      <c r="BZ34" s="198">
        <v>806140.4803216693</v>
      </c>
      <c r="CA34" s="198">
        <v>759951.2803216693</v>
      </c>
      <c r="CB34" s="198">
        <v>373849.76972972136</v>
      </c>
      <c r="CC34" s="232">
        <v>1973068.1247619044</v>
      </c>
      <c r="CD34" s="198">
        <v>-545844</v>
      </c>
      <c r="CE34" s="198">
        <v>14942.904000000002</v>
      </c>
      <c r="CH34" s="198">
        <v>2463</v>
      </c>
    </row>
    <row r="35" spans="1:86" ht="11.25">
      <c r="A35" s="198">
        <v>105</v>
      </c>
      <c r="B35" s="198" t="s">
        <v>111</v>
      </c>
      <c r="C35" s="198">
        <v>2490</v>
      </c>
      <c r="D35" s="198">
        <v>8786628.85</v>
      </c>
      <c r="E35" s="198">
        <v>5174976.315452235</v>
      </c>
      <c r="F35" s="198">
        <v>1482281.046575109</v>
      </c>
      <c r="G35" s="198">
        <v>15443886.212027343</v>
      </c>
      <c r="H35" s="198">
        <v>3642.26</v>
      </c>
      <c r="I35" s="198">
        <v>9069227.4</v>
      </c>
      <c r="J35" s="198">
        <v>6374658.812027343</v>
      </c>
      <c r="K35" s="198">
        <v>1166924.4561335933</v>
      </c>
      <c r="L35" s="198">
        <v>968772.6045049193</v>
      </c>
      <c r="M35" s="198">
        <v>2329.22794037686</v>
      </c>
      <c r="N35" s="198">
        <v>8512685.100606231</v>
      </c>
      <c r="O35" s="198">
        <v>2114706.2849655175</v>
      </c>
      <c r="P35" s="198">
        <v>10627391.385571748</v>
      </c>
      <c r="Q35" s="198">
        <v>82</v>
      </c>
      <c r="R35" s="198">
        <v>16</v>
      </c>
      <c r="S35" s="198">
        <v>104</v>
      </c>
      <c r="T35" s="198">
        <v>66</v>
      </c>
      <c r="U35" s="198">
        <v>59</v>
      </c>
      <c r="V35" s="198">
        <v>1341</v>
      </c>
      <c r="W35" s="198">
        <v>441</v>
      </c>
      <c r="X35" s="198">
        <v>277</v>
      </c>
      <c r="Y35" s="198">
        <v>104</v>
      </c>
      <c r="Z35" s="198">
        <v>2455</v>
      </c>
      <c r="AA35" s="198">
        <v>2</v>
      </c>
      <c r="AB35" s="198">
        <v>0</v>
      </c>
      <c r="AC35" s="198">
        <v>33</v>
      </c>
      <c r="AD35" s="198">
        <v>1421.05</v>
      </c>
      <c r="AE35" s="198">
        <v>1.7522254670841984</v>
      </c>
      <c r="AF35" s="198">
        <v>822</v>
      </c>
      <c r="AG35" s="198">
        <v>5174976.315452235</v>
      </c>
      <c r="AH35" s="198">
        <v>3064938.404443532</v>
      </c>
      <c r="AI35" s="198">
        <v>1502100.2809773958</v>
      </c>
      <c r="AJ35" s="198">
        <v>607937.630031306</v>
      </c>
      <c r="AK35" s="198">
        <v>194</v>
      </c>
      <c r="AL35" s="198">
        <v>1012</v>
      </c>
      <c r="AM35" s="198">
        <v>1.5377987688803523</v>
      </c>
      <c r="AN35" s="198">
        <v>33</v>
      </c>
      <c r="AO35" s="198">
        <v>0.01325301204819277</v>
      </c>
      <c r="AP35" s="198">
        <v>0.011529468442539548</v>
      </c>
      <c r="AQ35" s="198">
        <v>0</v>
      </c>
      <c r="AR35" s="198">
        <v>2</v>
      </c>
      <c r="AS35" s="198">
        <v>0</v>
      </c>
      <c r="AT35" s="198">
        <v>0</v>
      </c>
      <c r="AU35" s="198">
        <v>1421.05</v>
      </c>
      <c r="AV35" s="198">
        <v>1.7522254670841984</v>
      </c>
      <c r="AW35" s="198">
        <v>10.274049561006171</v>
      </c>
      <c r="AX35" s="198">
        <v>81</v>
      </c>
      <c r="AY35" s="198">
        <v>608</v>
      </c>
      <c r="AZ35" s="198">
        <v>0.13322368421052633</v>
      </c>
      <c r="BA35" s="198">
        <v>0.06953482551487415</v>
      </c>
      <c r="BB35" s="198">
        <v>1.4300333333333333</v>
      </c>
      <c r="BC35" s="198">
        <v>631</v>
      </c>
      <c r="BD35" s="198">
        <v>809</v>
      </c>
      <c r="BE35" s="198">
        <v>0.7799752781211372</v>
      </c>
      <c r="BF35" s="198">
        <v>0.35033642382474867</v>
      </c>
      <c r="BG35" s="198">
        <v>0</v>
      </c>
      <c r="BH35" s="198">
        <v>0</v>
      </c>
      <c r="BI35" s="198">
        <v>-249</v>
      </c>
      <c r="BJ35" s="198">
        <v>-597.6</v>
      </c>
      <c r="BK35" s="198">
        <v>-10209</v>
      </c>
      <c r="BL35" s="198">
        <v>-921.3</v>
      </c>
      <c r="BM35" s="198">
        <v>-13271.7</v>
      </c>
      <c r="BN35" s="198">
        <v>-298.8</v>
      </c>
      <c r="BO35" s="198">
        <v>22819</v>
      </c>
      <c r="BP35" s="198">
        <v>133478.1041463446</v>
      </c>
      <c r="BQ35" s="198">
        <v>279305</v>
      </c>
      <c r="BR35" s="198">
        <v>81640</v>
      </c>
      <c r="BS35" s="198">
        <v>204901.33930158522</v>
      </c>
      <c r="BT35" s="198">
        <v>13280.894779769194</v>
      </c>
      <c r="BU35" s="198">
        <v>45938.39271567553</v>
      </c>
      <c r="BV35" s="198">
        <v>110928.5401283251</v>
      </c>
      <c r="BW35" s="198">
        <v>138420.7097057878</v>
      </c>
      <c r="BX35" s="198">
        <v>224.1</v>
      </c>
      <c r="BY35" s="198">
        <v>-15027.77627256823</v>
      </c>
      <c r="BZ35" s="198">
        <v>1015908.3045049192</v>
      </c>
      <c r="CA35" s="198">
        <v>968772.6045049193</v>
      </c>
      <c r="CB35" s="198">
        <v>2329.22794037686</v>
      </c>
      <c r="CC35" s="232">
        <v>2114706.2849655175</v>
      </c>
      <c r="CD35" s="198">
        <v>-634225</v>
      </c>
      <c r="CE35" s="198">
        <v>-3735.7260000000024</v>
      </c>
      <c r="CH35" s="198">
        <v>2565</v>
      </c>
    </row>
    <row r="36" spans="1:86" ht="11.25">
      <c r="A36" s="198">
        <v>106</v>
      </c>
      <c r="B36" s="198" t="s">
        <v>112</v>
      </c>
      <c r="C36" s="198">
        <v>46366</v>
      </c>
      <c r="D36" s="198">
        <v>158008378.42000002</v>
      </c>
      <c r="E36" s="198">
        <v>52281483.42468651</v>
      </c>
      <c r="F36" s="198">
        <v>9829543.281568296</v>
      </c>
      <c r="G36" s="198">
        <v>220119405.1262548</v>
      </c>
      <c r="H36" s="198">
        <v>3642.26</v>
      </c>
      <c r="I36" s="198">
        <v>168877027.16</v>
      </c>
      <c r="J36" s="198">
        <v>51242377.9662548</v>
      </c>
      <c r="K36" s="198">
        <v>1502371.2441216004</v>
      </c>
      <c r="L36" s="198">
        <v>8800109.408284746</v>
      </c>
      <c r="M36" s="198">
        <v>0</v>
      </c>
      <c r="N36" s="198">
        <v>61544858.61866115</v>
      </c>
      <c r="O36" s="198">
        <v>-4880204.15436634</v>
      </c>
      <c r="P36" s="198">
        <v>56664654.46429481</v>
      </c>
      <c r="Q36" s="198">
        <v>2896</v>
      </c>
      <c r="R36" s="198">
        <v>552</v>
      </c>
      <c r="S36" s="198">
        <v>3120</v>
      </c>
      <c r="T36" s="198">
        <v>1549</v>
      </c>
      <c r="U36" s="198">
        <v>1684</v>
      </c>
      <c r="V36" s="198">
        <v>27730</v>
      </c>
      <c r="W36" s="198">
        <v>5035</v>
      </c>
      <c r="X36" s="198">
        <v>2718</v>
      </c>
      <c r="Y36" s="198">
        <v>1082</v>
      </c>
      <c r="Z36" s="198">
        <v>43784</v>
      </c>
      <c r="AA36" s="198">
        <v>385</v>
      </c>
      <c r="AB36" s="198">
        <v>0</v>
      </c>
      <c r="AC36" s="198">
        <v>2197</v>
      </c>
      <c r="AD36" s="198">
        <v>322.62</v>
      </c>
      <c r="AE36" s="198">
        <v>143.7170665178848</v>
      </c>
      <c r="AF36" s="198">
        <v>8835</v>
      </c>
      <c r="AG36" s="198">
        <v>52281483.42468651</v>
      </c>
      <c r="AH36" s="198">
        <v>31395550.344476923</v>
      </c>
      <c r="AI36" s="198">
        <v>14311521.852585318</v>
      </c>
      <c r="AJ36" s="198">
        <v>6574411.2276242655</v>
      </c>
      <c r="AK36" s="198">
        <v>2506</v>
      </c>
      <c r="AL36" s="198">
        <v>22908</v>
      </c>
      <c r="AM36" s="198">
        <v>0.8775506326948161</v>
      </c>
      <c r="AN36" s="198">
        <v>2197</v>
      </c>
      <c r="AO36" s="198">
        <v>0.04738385886209723</v>
      </c>
      <c r="AP36" s="198">
        <v>0.045660315256444005</v>
      </c>
      <c r="AQ36" s="198">
        <v>0</v>
      </c>
      <c r="AR36" s="198">
        <v>385</v>
      </c>
      <c r="AS36" s="198">
        <v>0</v>
      </c>
      <c r="AT36" s="198">
        <v>0</v>
      </c>
      <c r="AU36" s="198">
        <v>322.62</v>
      </c>
      <c r="AV36" s="198">
        <v>143.7170665178848</v>
      </c>
      <c r="AW36" s="198">
        <v>0.12526314185963386</v>
      </c>
      <c r="AX36" s="198">
        <v>2347</v>
      </c>
      <c r="AY36" s="198">
        <v>15187</v>
      </c>
      <c r="AZ36" s="198">
        <v>0.15454006716270494</v>
      </c>
      <c r="BA36" s="198">
        <v>0.09085120846705276</v>
      </c>
      <c r="BB36" s="198">
        <v>0</v>
      </c>
      <c r="BC36" s="198">
        <v>19370</v>
      </c>
      <c r="BD36" s="198">
        <v>20550</v>
      </c>
      <c r="BE36" s="198">
        <v>0.9425790754257908</v>
      </c>
      <c r="BF36" s="198">
        <v>0.5129402211294023</v>
      </c>
      <c r="BG36" s="198">
        <v>0</v>
      </c>
      <c r="BH36" s="198">
        <v>0</v>
      </c>
      <c r="BI36" s="198">
        <v>-4636.6</v>
      </c>
      <c r="BJ36" s="198">
        <v>-11127.84</v>
      </c>
      <c r="BK36" s="198">
        <v>-190100.59999999998</v>
      </c>
      <c r="BL36" s="198">
        <v>-17155.42</v>
      </c>
      <c r="BM36" s="198">
        <v>-247130.78</v>
      </c>
      <c r="BN36" s="198">
        <v>-5563.92</v>
      </c>
      <c r="BO36" s="198">
        <v>763367</v>
      </c>
      <c r="BP36" s="198">
        <v>-44193.19768912345</v>
      </c>
      <c r="BQ36" s="198">
        <v>2890456</v>
      </c>
      <c r="BR36" s="198">
        <v>981270</v>
      </c>
      <c r="BS36" s="198">
        <v>2082748.6046677604</v>
      </c>
      <c r="BT36" s="198">
        <v>51781.00130433286</v>
      </c>
      <c r="BU36" s="198">
        <v>167661.500230224</v>
      </c>
      <c r="BV36" s="198">
        <v>857276.2194981568</v>
      </c>
      <c r="BW36" s="198">
        <v>1987407.6538033749</v>
      </c>
      <c r="BX36" s="198">
        <v>4172.94</v>
      </c>
      <c r="BY36" s="198">
        <v>-64129.93352997792</v>
      </c>
      <c r="BZ36" s="198">
        <v>9677817.788284747</v>
      </c>
      <c r="CA36" s="198">
        <v>8800109.408284746</v>
      </c>
      <c r="CB36" s="198">
        <v>0</v>
      </c>
      <c r="CC36" s="232">
        <v>-4880204.15436634</v>
      </c>
      <c r="CD36" s="198">
        <v>-4809365</v>
      </c>
      <c r="CE36" s="198">
        <v>53931.43101999967</v>
      </c>
      <c r="CH36" s="198">
        <v>46188</v>
      </c>
    </row>
    <row r="37" spans="1:86" ht="11.25">
      <c r="A37" s="198">
        <v>283</v>
      </c>
      <c r="B37" s="198" t="s">
        <v>113</v>
      </c>
      <c r="C37" s="198">
        <v>2104</v>
      </c>
      <c r="D37" s="198">
        <v>7864563.789999999</v>
      </c>
      <c r="E37" s="198">
        <v>2603885.552509619</v>
      </c>
      <c r="F37" s="198">
        <v>438682.1444966828</v>
      </c>
      <c r="G37" s="198">
        <v>10907131.487006301</v>
      </c>
      <c r="H37" s="198">
        <v>3642.26</v>
      </c>
      <c r="I37" s="198">
        <v>7663315.04</v>
      </c>
      <c r="J37" s="198">
        <v>3243816.447006301</v>
      </c>
      <c r="K37" s="198">
        <v>19131.242458394005</v>
      </c>
      <c r="L37" s="198">
        <v>648015.166172341</v>
      </c>
      <c r="M37" s="198">
        <v>298054.8732915567</v>
      </c>
      <c r="N37" s="198">
        <v>4209017.728928592</v>
      </c>
      <c r="O37" s="198">
        <v>1485384.928930233</v>
      </c>
      <c r="P37" s="198">
        <v>5694402.657858825</v>
      </c>
      <c r="Q37" s="198">
        <v>130</v>
      </c>
      <c r="R37" s="198">
        <v>19</v>
      </c>
      <c r="S37" s="198">
        <v>145</v>
      </c>
      <c r="T37" s="198">
        <v>67</v>
      </c>
      <c r="U37" s="198">
        <v>72</v>
      </c>
      <c r="V37" s="198">
        <v>1144</v>
      </c>
      <c r="W37" s="198">
        <v>270</v>
      </c>
      <c r="X37" s="198">
        <v>184</v>
      </c>
      <c r="Y37" s="198">
        <v>73</v>
      </c>
      <c r="Z37" s="198">
        <v>2055</v>
      </c>
      <c r="AA37" s="198">
        <v>0</v>
      </c>
      <c r="AB37" s="198">
        <v>0</v>
      </c>
      <c r="AC37" s="198">
        <v>49</v>
      </c>
      <c r="AD37" s="198">
        <v>187.73</v>
      </c>
      <c r="AE37" s="198">
        <v>11.207585361956001</v>
      </c>
      <c r="AF37" s="198">
        <v>527</v>
      </c>
      <c r="AG37" s="198">
        <v>2603885.552509619</v>
      </c>
      <c r="AH37" s="198">
        <v>1509022.2622300608</v>
      </c>
      <c r="AI37" s="198">
        <v>773524.8286915822</v>
      </c>
      <c r="AJ37" s="198">
        <v>321338.46158797597</v>
      </c>
      <c r="AK37" s="198">
        <v>91</v>
      </c>
      <c r="AL37" s="198">
        <v>952</v>
      </c>
      <c r="AM37" s="198">
        <v>0.7668011144401877</v>
      </c>
      <c r="AN37" s="198">
        <v>49</v>
      </c>
      <c r="AO37" s="198">
        <v>0.02328897338403042</v>
      </c>
      <c r="AP37" s="198">
        <v>0.021565429778377197</v>
      </c>
      <c r="AQ37" s="198">
        <v>0</v>
      </c>
      <c r="AR37" s="198">
        <v>0</v>
      </c>
      <c r="AS37" s="198">
        <v>0</v>
      </c>
      <c r="AT37" s="198">
        <v>0</v>
      </c>
      <c r="AU37" s="198">
        <v>187.73</v>
      </c>
      <c r="AV37" s="198">
        <v>11.207585361956001</v>
      </c>
      <c r="AW37" s="198">
        <v>1.6062738502076748</v>
      </c>
      <c r="AX37" s="198">
        <v>87</v>
      </c>
      <c r="AY37" s="198">
        <v>606</v>
      </c>
      <c r="AZ37" s="198">
        <v>0.14356435643564355</v>
      </c>
      <c r="BA37" s="198">
        <v>0.07987549773999138</v>
      </c>
      <c r="BB37" s="198">
        <v>0</v>
      </c>
      <c r="BC37" s="198">
        <v>495</v>
      </c>
      <c r="BD37" s="198">
        <v>863</v>
      </c>
      <c r="BE37" s="198">
        <v>0.5735805330243338</v>
      </c>
      <c r="BF37" s="198">
        <v>0.14394167872794522</v>
      </c>
      <c r="BG37" s="198">
        <v>0</v>
      </c>
      <c r="BH37" s="198">
        <v>0</v>
      </c>
      <c r="BI37" s="198">
        <v>-210.4</v>
      </c>
      <c r="BJ37" s="198">
        <v>-504.96</v>
      </c>
      <c r="BK37" s="198">
        <v>-8626.4</v>
      </c>
      <c r="BL37" s="198">
        <v>-778.48</v>
      </c>
      <c r="BM37" s="198">
        <v>-11214.32</v>
      </c>
      <c r="BN37" s="198">
        <v>-252.48</v>
      </c>
      <c r="BO37" s="198">
        <v>39805</v>
      </c>
      <c r="BP37" s="198">
        <v>6523.89735085424</v>
      </c>
      <c r="BQ37" s="198">
        <v>201409</v>
      </c>
      <c r="BR37" s="198">
        <v>61843</v>
      </c>
      <c r="BS37" s="198">
        <v>162462.0333584456</v>
      </c>
      <c r="BT37" s="198">
        <v>7648.602999296728</v>
      </c>
      <c r="BU37" s="198">
        <v>24360.059279593537</v>
      </c>
      <c r="BV37" s="198">
        <v>64200.366255683155</v>
      </c>
      <c r="BW37" s="198">
        <v>118998.25644254708</v>
      </c>
      <c r="BX37" s="198">
        <v>189.35999999999999</v>
      </c>
      <c r="BY37" s="198">
        <v>404.3104859205814</v>
      </c>
      <c r="BZ37" s="198">
        <v>687843.886172341</v>
      </c>
      <c r="CA37" s="198">
        <v>648015.166172341</v>
      </c>
      <c r="CB37" s="198">
        <v>298054.8732915567</v>
      </c>
      <c r="CC37" s="232">
        <v>1485384.928930233</v>
      </c>
      <c r="CD37" s="198">
        <v>-553962</v>
      </c>
      <c r="CE37" s="198">
        <v>-609184.8388200002</v>
      </c>
      <c r="CH37" s="198">
        <v>2086</v>
      </c>
    </row>
    <row r="38" spans="1:86" ht="11.25">
      <c r="A38" s="198">
        <v>108</v>
      </c>
      <c r="B38" s="198" t="s">
        <v>114</v>
      </c>
      <c r="C38" s="198">
        <v>10610</v>
      </c>
      <c r="D38" s="198">
        <v>39057753.220000006</v>
      </c>
      <c r="E38" s="198">
        <v>12631311.97528603</v>
      </c>
      <c r="F38" s="198">
        <v>1843690.9983438656</v>
      </c>
      <c r="G38" s="198">
        <v>53532756.1936299</v>
      </c>
      <c r="H38" s="198">
        <v>3642.26</v>
      </c>
      <c r="I38" s="198">
        <v>38644378.6</v>
      </c>
      <c r="J38" s="198">
        <v>14888377.593629897</v>
      </c>
      <c r="K38" s="198">
        <v>172817.31976259482</v>
      </c>
      <c r="L38" s="198">
        <v>2485140.3673366937</v>
      </c>
      <c r="M38" s="198">
        <v>469021.9554581828</v>
      </c>
      <c r="N38" s="198">
        <v>18015357.23618737</v>
      </c>
      <c r="O38" s="198">
        <v>5577333.73742857</v>
      </c>
      <c r="P38" s="198">
        <v>23592690.973615937</v>
      </c>
      <c r="Q38" s="198">
        <v>739</v>
      </c>
      <c r="R38" s="198">
        <v>124</v>
      </c>
      <c r="S38" s="198">
        <v>801</v>
      </c>
      <c r="T38" s="198">
        <v>383</v>
      </c>
      <c r="U38" s="198">
        <v>363</v>
      </c>
      <c r="V38" s="198">
        <v>5978</v>
      </c>
      <c r="W38" s="198">
        <v>1197</v>
      </c>
      <c r="X38" s="198">
        <v>726</v>
      </c>
      <c r="Y38" s="198">
        <v>299</v>
      </c>
      <c r="Z38" s="198">
        <v>10460</v>
      </c>
      <c r="AA38" s="198">
        <v>12</v>
      </c>
      <c r="AB38" s="198">
        <v>0</v>
      </c>
      <c r="AC38" s="198">
        <v>138</v>
      </c>
      <c r="AD38" s="198">
        <v>463.77</v>
      </c>
      <c r="AE38" s="198">
        <v>22.877719559264293</v>
      </c>
      <c r="AF38" s="198">
        <v>2222</v>
      </c>
      <c r="AG38" s="198">
        <v>12631311.97528603</v>
      </c>
      <c r="AH38" s="198">
        <v>7837953.822088375</v>
      </c>
      <c r="AI38" s="198">
        <v>2830588.0905251536</v>
      </c>
      <c r="AJ38" s="198">
        <v>1962770.062672502</v>
      </c>
      <c r="AK38" s="198">
        <v>631</v>
      </c>
      <c r="AL38" s="198">
        <v>4857</v>
      </c>
      <c r="AM38" s="198">
        <v>1.0421723513533068</v>
      </c>
      <c r="AN38" s="198">
        <v>138</v>
      </c>
      <c r="AO38" s="198">
        <v>0.013006597549481622</v>
      </c>
      <c r="AP38" s="198">
        <v>0.011283053943828399</v>
      </c>
      <c r="AQ38" s="198">
        <v>0</v>
      </c>
      <c r="AR38" s="198">
        <v>12</v>
      </c>
      <c r="AS38" s="198">
        <v>0</v>
      </c>
      <c r="AT38" s="198">
        <v>0</v>
      </c>
      <c r="AU38" s="198">
        <v>463.77</v>
      </c>
      <c r="AV38" s="198">
        <v>22.877719559264293</v>
      </c>
      <c r="AW38" s="198">
        <v>0.7868988534563175</v>
      </c>
      <c r="AX38" s="198">
        <v>440</v>
      </c>
      <c r="AY38" s="198">
        <v>3479</v>
      </c>
      <c r="AZ38" s="198">
        <v>0.12647312446105202</v>
      </c>
      <c r="BA38" s="198">
        <v>0.06278426576539985</v>
      </c>
      <c r="BB38" s="198">
        <v>0</v>
      </c>
      <c r="BC38" s="198">
        <v>2906</v>
      </c>
      <c r="BD38" s="198">
        <v>4227</v>
      </c>
      <c r="BE38" s="198">
        <v>0.6874852140998344</v>
      </c>
      <c r="BF38" s="198">
        <v>0.2578463598034459</v>
      </c>
      <c r="BG38" s="198">
        <v>0</v>
      </c>
      <c r="BH38" s="198">
        <v>0</v>
      </c>
      <c r="BI38" s="198">
        <v>-1061</v>
      </c>
      <c r="BJ38" s="198">
        <v>-2546.4</v>
      </c>
      <c r="BK38" s="198">
        <v>-43500.99999999999</v>
      </c>
      <c r="BL38" s="198">
        <v>-3925.7</v>
      </c>
      <c r="BM38" s="198">
        <v>-56551.3</v>
      </c>
      <c r="BN38" s="198">
        <v>-1273.2</v>
      </c>
      <c r="BO38" s="198">
        <v>-12046</v>
      </c>
      <c r="BP38" s="198">
        <v>188528.23985093832</v>
      </c>
      <c r="BQ38" s="198">
        <v>826508</v>
      </c>
      <c r="BR38" s="198">
        <v>260391</v>
      </c>
      <c r="BS38" s="198">
        <v>579739.51677479</v>
      </c>
      <c r="BT38" s="198">
        <v>24385.922358569595</v>
      </c>
      <c r="BU38" s="198">
        <v>9854.673982785083</v>
      </c>
      <c r="BV38" s="198">
        <v>253279.334823059</v>
      </c>
      <c r="BW38" s="198">
        <v>525703.3961907247</v>
      </c>
      <c r="BX38" s="198">
        <v>954.9</v>
      </c>
      <c r="BY38" s="198">
        <v>28688.68335582692</v>
      </c>
      <c r="BZ38" s="198">
        <v>2685987.6673366935</v>
      </c>
      <c r="CA38" s="198">
        <v>2485140.3673366937</v>
      </c>
      <c r="CB38" s="198">
        <v>469021.9554581828</v>
      </c>
      <c r="CC38" s="232">
        <v>5577333.73742857</v>
      </c>
      <c r="CD38" s="198">
        <v>-1727225</v>
      </c>
      <c r="CE38" s="198">
        <v>230319.96032</v>
      </c>
      <c r="CH38" s="198">
        <v>10582</v>
      </c>
    </row>
    <row r="39" spans="1:86" ht="11.25">
      <c r="A39" s="198">
        <v>109</v>
      </c>
      <c r="B39" s="198" t="s">
        <v>115</v>
      </c>
      <c r="C39" s="198">
        <v>67976</v>
      </c>
      <c r="D39" s="198">
        <v>240017128.22000003</v>
      </c>
      <c r="E39" s="198">
        <v>79284419.87002745</v>
      </c>
      <c r="F39" s="198">
        <v>13953273.018791815</v>
      </c>
      <c r="G39" s="198">
        <v>333254821.10881925</v>
      </c>
      <c r="H39" s="198">
        <v>3642.26</v>
      </c>
      <c r="I39" s="198">
        <v>247586265.76000002</v>
      </c>
      <c r="J39" s="198">
        <v>85668555.34881923</v>
      </c>
      <c r="K39" s="198">
        <v>2635155.8796157134</v>
      </c>
      <c r="L39" s="198">
        <v>12956203.322326468</v>
      </c>
      <c r="M39" s="198">
        <v>0</v>
      </c>
      <c r="N39" s="198">
        <v>101259914.5507614</v>
      </c>
      <c r="O39" s="198">
        <v>3613264.950716058</v>
      </c>
      <c r="P39" s="198">
        <v>104873179.50147747</v>
      </c>
      <c r="Q39" s="198">
        <v>4130</v>
      </c>
      <c r="R39" s="198">
        <v>705</v>
      </c>
      <c r="S39" s="198">
        <v>4177</v>
      </c>
      <c r="T39" s="198">
        <v>2134</v>
      </c>
      <c r="U39" s="198">
        <v>2252</v>
      </c>
      <c r="V39" s="198">
        <v>39074</v>
      </c>
      <c r="W39" s="198">
        <v>8544</v>
      </c>
      <c r="X39" s="198">
        <v>4872</v>
      </c>
      <c r="Y39" s="198">
        <v>2088</v>
      </c>
      <c r="Z39" s="198">
        <v>65006</v>
      </c>
      <c r="AA39" s="198">
        <v>218</v>
      </c>
      <c r="AB39" s="198">
        <v>5</v>
      </c>
      <c r="AC39" s="198">
        <v>2747</v>
      </c>
      <c r="AD39" s="198">
        <v>1785.21</v>
      </c>
      <c r="AE39" s="198">
        <v>38.077313033200575</v>
      </c>
      <c r="AF39" s="198">
        <v>15504</v>
      </c>
      <c r="AG39" s="198">
        <v>79284419.87002745</v>
      </c>
      <c r="AH39" s="198">
        <v>47022773.02297643</v>
      </c>
      <c r="AI39" s="198">
        <v>22360948.300826892</v>
      </c>
      <c r="AJ39" s="198">
        <v>9900698.546224125</v>
      </c>
      <c r="AK39" s="198">
        <v>3655</v>
      </c>
      <c r="AL39" s="198">
        <v>32027</v>
      </c>
      <c r="AM39" s="198">
        <v>0.9154811636478081</v>
      </c>
      <c r="AN39" s="198">
        <v>2747</v>
      </c>
      <c r="AO39" s="198">
        <v>0.0404113216429328</v>
      </c>
      <c r="AP39" s="198">
        <v>0.038687778037279574</v>
      </c>
      <c r="AQ39" s="198">
        <v>0</v>
      </c>
      <c r="AR39" s="198">
        <v>218</v>
      </c>
      <c r="AS39" s="198">
        <v>5</v>
      </c>
      <c r="AT39" s="198">
        <v>0</v>
      </c>
      <c r="AU39" s="198">
        <v>1785.21</v>
      </c>
      <c r="AV39" s="198">
        <v>38.077313033200575</v>
      </c>
      <c r="AW39" s="198">
        <v>0.4727868081233423</v>
      </c>
      <c r="AX39" s="198">
        <v>2708</v>
      </c>
      <c r="AY39" s="198">
        <v>20757</v>
      </c>
      <c r="AZ39" s="198">
        <v>0.13046201281495398</v>
      </c>
      <c r="BA39" s="198">
        <v>0.0667731541193018</v>
      </c>
      <c r="BB39" s="198">
        <v>0</v>
      </c>
      <c r="BC39" s="198">
        <v>29602</v>
      </c>
      <c r="BD39" s="198">
        <v>28373</v>
      </c>
      <c r="BE39" s="198">
        <v>1.0433158284284354</v>
      </c>
      <c r="BF39" s="198">
        <v>0.6136769741320469</v>
      </c>
      <c r="BG39" s="198">
        <v>0</v>
      </c>
      <c r="BH39" s="198">
        <v>5</v>
      </c>
      <c r="BI39" s="198">
        <v>-6797.6</v>
      </c>
      <c r="BJ39" s="198">
        <v>-16314.24</v>
      </c>
      <c r="BK39" s="198">
        <v>-278701.6</v>
      </c>
      <c r="BL39" s="198">
        <v>-25151.12</v>
      </c>
      <c r="BM39" s="198">
        <v>-362312.08</v>
      </c>
      <c r="BN39" s="198">
        <v>-8157.12</v>
      </c>
      <c r="BO39" s="198">
        <v>56873</v>
      </c>
      <c r="BP39" s="198">
        <v>-768345.0770012736</v>
      </c>
      <c r="BQ39" s="198">
        <v>4556748</v>
      </c>
      <c r="BR39" s="198">
        <v>1570984</v>
      </c>
      <c r="BS39" s="198">
        <v>3432285.8347071824</v>
      </c>
      <c r="BT39" s="198">
        <v>116664.23442693883</v>
      </c>
      <c r="BU39" s="198">
        <v>300048.3093346076</v>
      </c>
      <c r="BV39" s="198">
        <v>1539308.20603492</v>
      </c>
      <c r="BW39" s="198">
        <v>3195117.828343519</v>
      </c>
      <c r="BX39" s="198">
        <v>6117.84</v>
      </c>
      <c r="BY39" s="198">
        <v>237186.82648057723</v>
      </c>
      <c r="BZ39" s="198">
        <v>14242989.002326468</v>
      </c>
      <c r="CA39" s="198">
        <v>12956203.322326468</v>
      </c>
      <c r="CB39" s="198">
        <v>0</v>
      </c>
      <c r="CC39" s="232">
        <v>3613264.950716058</v>
      </c>
      <c r="CD39" s="198">
        <v>-15287661</v>
      </c>
      <c r="CE39" s="198">
        <v>312854.6000799999</v>
      </c>
      <c r="CH39" s="198">
        <v>67806</v>
      </c>
    </row>
    <row r="40" spans="1:86" ht="11.25">
      <c r="A40" s="198">
        <v>139</v>
      </c>
      <c r="B40" s="198" t="s">
        <v>116</v>
      </c>
      <c r="C40" s="198">
        <v>9666</v>
      </c>
      <c r="D40" s="198">
        <v>38649733.49</v>
      </c>
      <c r="E40" s="198">
        <v>12188024.27784006</v>
      </c>
      <c r="F40" s="198">
        <v>2644481.0168771874</v>
      </c>
      <c r="G40" s="198">
        <v>53482238.78471725</v>
      </c>
      <c r="H40" s="198">
        <v>3642.26</v>
      </c>
      <c r="I40" s="198">
        <v>35206085.160000004</v>
      </c>
      <c r="J40" s="198">
        <v>18276153.624717243</v>
      </c>
      <c r="K40" s="198">
        <v>168888.85957304458</v>
      </c>
      <c r="L40" s="198">
        <v>2095710.684691051</v>
      </c>
      <c r="M40" s="198">
        <v>475313.09011200065</v>
      </c>
      <c r="N40" s="198">
        <v>21016066.259093337</v>
      </c>
      <c r="O40" s="198">
        <v>7172307.107294116</v>
      </c>
      <c r="P40" s="198">
        <v>28188373.366387453</v>
      </c>
      <c r="Q40" s="198">
        <v>928</v>
      </c>
      <c r="R40" s="198">
        <v>172</v>
      </c>
      <c r="S40" s="198">
        <v>942</v>
      </c>
      <c r="T40" s="198">
        <v>420</v>
      </c>
      <c r="U40" s="198">
        <v>354</v>
      </c>
      <c r="V40" s="198">
        <v>5124</v>
      </c>
      <c r="W40" s="198">
        <v>911</v>
      </c>
      <c r="X40" s="198">
        <v>604</v>
      </c>
      <c r="Y40" s="198">
        <v>211</v>
      </c>
      <c r="Z40" s="198">
        <v>9596</v>
      </c>
      <c r="AA40" s="198">
        <v>10</v>
      </c>
      <c r="AB40" s="198">
        <v>1</v>
      </c>
      <c r="AC40" s="198">
        <v>59</v>
      </c>
      <c r="AD40" s="198">
        <v>1552.66</v>
      </c>
      <c r="AE40" s="198">
        <v>6.225445364728916</v>
      </c>
      <c r="AF40" s="198">
        <v>1726</v>
      </c>
      <c r="AG40" s="198">
        <v>12188024.27784006</v>
      </c>
      <c r="AH40" s="198">
        <v>7327510.681949503</v>
      </c>
      <c r="AI40" s="198">
        <v>3140918.5852305763</v>
      </c>
      <c r="AJ40" s="198">
        <v>1719595.01065998</v>
      </c>
      <c r="AK40" s="198">
        <v>722</v>
      </c>
      <c r="AL40" s="198">
        <v>4053</v>
      </c>
      <c r="AM40" s="198">
        <v>1.4290219026573083</v>
      </c>
      <c r="AN40" s="198">
        <v>59</v>
      </c>
      <c r="AO40" s="198">
        <v>0.006103869232360852</v>
      </c>
      <c r="AP40" s="198">
        <v>0.004380325626707629</v>
      </c>
      <c r="AQ40" s="198">
        <v>0</v>
      </c>
      <c r="AR40" s="198">
        <v>10</v>
      </c>
      <c r="AS40" s="198">
        <v>1</v>
      </c>
      <c r="AT40" s="198">
        <v>0</v>
      </c>
      <c r="AU40" s="198">
        <v>1552.66</v>
      </c>
      <c r="AV40" s="198">
        <v>6.225445364728916</v>
      </c>
      <c r="AW40" s="198">
        <v>2.8917531575934325</v>
      </c>
      <c r="AX40" s="198">
        <v>335</v>
      </c>
      <c r="AY40" s="198">
        <v>2890</v>
      </c>
      <c r="AZ40" s="198">
        <v>0.11591695501730104</v>
      </c>
      <c r="BA40" s="198">
        <v>0.05222809632164886</v>
      </c>
      <c r="BB40" s="198">
        <v>0</v>
      </c>
      <c r="BC40" s="198">
        <v>2368</v>
      </c>
      <c r="BD40" s="198">
        <v>3353</v>
      </c>
      <c r="BE40" s="198">
        <v>0.7062332239785267</v>
      </c>
      <c r="BF40" s="198">
        <v>0.2765943696821382</v>
      </c>
      <c r="BG40" s="198">
        <v>0</v>
      </c>
      <c r="BH40" s="198">
        <v>1</v>
      </c>
      <c r="BI40" s="198">
        <v>-966.6</v>
      </c>
      <c r="BJ40" s="198">
        <v>-2319.8399999999997</v>
      </c>
      <c r="BK40" s="198">
        <v>-39630.6</v>
      </c>
      <c r="BL40" s="198">
        <v>-3576.42</v>
      </c>
      <c r="BM40" s="198">
        <v>-51519.78</v>
      </c>
      <c r="BN40" s="198">
        <v>-1159.9199999999998</v>
      </c>
      <c r="BO40" s="198">
        <v>132064</v>
      </c>
      <c r="BP40" s="198">
        <v>-103891.53774344549</v>
      </c>
      <c r="BQ40" s="198">
        <v>723887</v>
      </c>
      <c r="BR40" s="198">
        <v>216091</v>
      </c>
      <c r="BS40" s="198">
        <v>530323.5174787409</v>
      </c>
      <c r="BT40" s="198">
        <v>16076.989392230093</v>
      </c>
      <c r="BU40" s="198">
        <v>9193.438746910622</v>
      </c>
      <c r="BV40" s="198">
        <v>255264.1904055092</v>
      </c>
      <c r="BW40" s="198">
        <v>451896.730313654</v>
      </c>
      <c r="BX40" s="198">
        <v>869.9399999999999</v>
      </c>
      <c r="BY40" s="198">
        <v>46912.796097451865</v>
      </c>
      <c r="BZ40" s="198">
        <v>2278688.064691051</v>
      </c>
      <c r="CA40" s="198">
        <v>2095710.684691051</v>
      </c>
      <c r="CB40" s="198">
        <v>475313.09011200065</v>
      </c>
      <c r="CC40" s="232">
        <v>7172307.107294116</v>
      </c>
      <c r="CD40" s="198">
        <v>-1049580</v>
      </c>
      <c r="CE40" s="198">
        <v>46136.216100000005</v>
      </c>
      <c r="CH40" s="198">
        <v>9610</v>
      </c>
    </row>
    <row r="41" spans="1:86" ht="11.25">
      <c r="A41" s="198">
        <v>140</v>
      </c>
      <c r="B41" s="198" t="s">
        <v>117</v>
      </c>
      <c r="C41" s="198">
        <v>22115</v>
      </c>
      <c r="D41" s="198">
        <v>78264525.94</v>
      </c>
      <c r="E41" s="198">
        <v>36722135.29792028</v>
      </c>
      <c r="F41" s="198">
        <v>4140421.6880521434</v>
      </c>
      <c r="G41" s="198">
        <v>119127082.92597243</v>
      </c>
      <c r="H41" s="198">
        <v>3642.26</v>
      </c>
      <c r="I41" s="198">
        <v>80548579.9</v>
      </c>
      <c r="J41" s="198">
        <v>38578503.025972426</v>
      </c>
      <c r="K41" s="198">
        <v>963679.9921605141</v>
      </c>
      <c r="L41" s="198">
        <v>5084780.875994924</v>
      </c>
      <c r="M41" s="198">
        <v>-3004702.6637583976</v>
      </c>
      <c r="N41" s="198">
        <v>41622261.23036946</v>
      </c>
      <c r="O41" s="198">
        <v>8762474.504878053</v>
      </c>
      <c r="P41" s="198">
        <v>50384735.735247515</v>
      </c>
      <c r="Q41" s="198">
        <v>1400</v>
      </c>
      <c r="R41" s="198">
        <v>221</v>
      </c>
      <c r="S41" s="198">
        <v>1351</v>
      </c>
      <c r="T41" s="198">
        <v>699</v>
      </c>
      <c r="U41" s="198">
        <v>745</v>
      </c>
      <c r="V41" s="198">
        <v>12812</v>
      </c>
      <c r="W41" s="198">
        <v>2601</v>
      </c>
      <c r="X41" s="198">
        <v>1616</v>
      </c>
      <c r="Y41" s="198">
        <v>670</v>
      </c>
      <c r="Z41" s="198">
        <v>21658</v>
      </c>
      <c r="AA41" s="198">
        <v>5</v>
      </c>
      <c r="AB41" s="198">
        <v>3</v>
      </c>
      <c r="AC41" s="198">
        <v>449</v>
      </c>
      <c r="AD41" s="198">
        <v>762.97</v>
      </c>
      <c r="AE41" s="198">
        <v>28.98541227046935</v>
      </c>
      <c r="AF41" s="198">
        <v>4887</v>
      </c>
      <c r="AG41" s="198">
        <v>36722135.29792028</v>
      </c>
      <c r="AH41" s="198">
        <v>19880057.96287005</v>
      </c>
      <c r="AI41" s="198">
        <v>12768895.21384048</v>
      </c>
      <c r="AJ41" s="198">
        <v>4073182.1212097504</v>
      </c>
      <c r="AK41" s="198">
        <v>1424</v>
      </c>
      <c r="AL41" s="198">
        <v>10341</v>
      </c>
      <c r="AM41" s="198">
        <v>1.104652659889644</v>
      </c>
      <c r="AN41" s="198">
        <v>449</v>
      </c>
      <c r="AO41" s="198">
        <v>0.020302961790639836</v>
      </c>
      <c r="AP41" s="198">
        <v>0.018579418184986613</v>
      </c>
      <c r="AQ41" s="198">
        <v>0</v>
      </c>
      <c r="AR41" s="198">
        <v>5</v>
      </c>
      <c r="AS41" s="198">
        <v>3</v>
      </c>
      <c r="AT41" s="198">
        <v>0</v>
      </c>
      <c r="AU41" s="198">
        <v>762.97</v>
      </c>
      <c r="AV41" s="198">
        <v>28.98541227046935</v>
      </c>
      <c r="AW41" s="198">
        <v>0.6210866046304724</v>
      </c>
      <c r="AX41" s="198">
        <v>813</v>
      </c>
      <c r="AY41" s="198">
        <v>6421</v>
      </c>
      <c r="AZ41" s="198">
        <v>0.12661579193272077</v>
      </c>
      <c r="BA41" s="198">
        <v>0.06292693323706859</v>
      </c>
      <c r="BB41" s="198">
        <v>0.01775</v>
      </c>
      <c r="BC41" s="198">
        <v>9258</v>
      </c>
      <c r="BD41" s="198">
        <v>8726</v>
      </c>
      <c r="BE41" s="198">
        <v>1.0609672243868897</v>
      </c>
      <c r="BF41" s="198">
        <v>0.6313283700905012</v>
      </c>
      <c r="BG41" s="198">
        <v>0</v>
      </c>
      <c r="BH41" s="198">
        <v>3</v>
      </c>
      <c r="BI41" s="198">
        <v>-2211.5</v>
      </c>
      <c r="BJ41" s="198">
        <v>-5307.599999999999</v>
      </c>
      <c r="BK41" s="198">
        <v>-90671.49999999999</v>
      </c>
      <c r="BL41" s="198">
        <v>-8182.55</v>
      </c>
      <c r="BM41" s="198">
        <v>-117872.95</v>
      </c>
      <c r="BN41" s="198">
        <v>-2653.7999999999997</v>
      </c>
      <c r="BO41" s="198">
        <v>2846</v>
      </c>
      <c r="BP41" s="198">
        <v>-103509.28852503002</v>
      </c>
      <c r="BQ41" s="198">
        <v>1719855</v>
      </c>
      <c r="BR41" s="198">
        <v>554062</v>
      </c>
      <c r="BS41" s="198">
        <v>1309102.96830591</v>
      </c>
      <c r="BT41" s="198">
        <v>55085.89497350688</v>
      </c>
      <c r="BU41" s="198">
        <v>227371.5223683299</v>
      </c>
      <c r="BV41" s="198">
        <v>674080.996412253</v>
      </c>
      <c r="BW41" s="198">
        <v>1089486.0947243758</v>
      </c>
      <c r="BX41" s="198">
        <v>1990.35</v>
      </c>
      <c r="BY41" s="198">
        <v>-26953.712264420174</v>
      </c>
      <c r="BZ41" s="198">
        <v>5503417.825994925</v>
      </c>
      <c r="CA41" s="198">
        <v>5084780.875994924</v>
      </c>
      <c r="CB41" s="198">
        <v>-3004702.6637583976</v>
      </c>
      <c r="CC41" s="232">
        <v>8762474.504878053</v>
      </c>
      <c r="CD41" s="198">
        <v>-2215662</v>
      </c>
      <c r="CE41" s="198">
        <v>-112681.94857999997</v>
      </c>
      <c r="CH41" s="198">
        <v>22171</v>
      </c>
    </row>
    <row r="42" spans="1:86" ht="11.25">
      <c r="A42" s="198">
        <v>142</v>
      </c>
      <c r="B42" s="198" t="s">
        <v>118</v>
      </c>
      <c r="C42" s="198">
        <v>6950</v>
      </c>
      <c r="D42" s="198">
        <v>25176287.3</v>
      </c>
      <c r="E42" s="198">
        <v>8761826.674678085</v>
      </c>
      <c r="F42" s="198">
        <v>1526616.5480318374</v>
      </c>
      <c r="G42" s="198">
        <v>35464730.52270992</v>
      </c>
      <c r="H42" s="198">
        <v>3642.26</v>
      </c>
      <c r="I42" s="198">
        <v>25313707</v>
      </c>
      <c r="J42" s="198">
        <v>10151023.522709921</v>
      </c>
      <c r="K42" s="198">
        <v>166420.62009150334</v>
      </c>
      <c r="L42" s="198">
        <v>1724358.2812411913</v>
      </c>
      <c r="M42" s="198">
        <v>174640.7598169874</v>
      </c>
      <c r="N42" s="198">
        <v>12216443.183859603</v>
      </c>
      <c r="O42" s="198">
        <v>3922269.1200000006</v>
      </c>
      <c r="P42" s="198">
        <v>16138712.303859605</v>
      </c>
      <c r="Q42" s="198">
        <v>388</v>
      </c>
      <c r="R42" s="198">
        <v>58</v>
      </c>
      <c r="S42" s="198">
        <v>418</v>
      </c>
      <c r="T42" s="198">
        <v>225</v>
      </c>
      <c r="U42" s="198">
        <v>206</v>
      </c>
      <c r="V42" s="198">
        <v>3833</v>
      </c>
      <c r="W42" s="198">
        <v>1009</v>
      </c>
      <c r="X42" s="198">
        <v>569</v>
      </c>
      <c r="Y42" s="198">
        <v>244</v>
      </c>
      <c r="Z42" s="198">
        <v>6818</v>
      </c>
      <c r="AA42" s="198">
        <v>20</v>
      </c>
      <c r="AB42" s="198">
        <v>0</v>
      </c>
      <c r="AC42" s="198">
        <v>112</v>
      </c>
      <c r="AD42" s="198">
        <v>589.8</v>
      </c>
      <c r="AE42" s="198">
        <v>11.78365547643269</v>
      </c>
      <c r="AF42" s="198">
        <v>1822</v>
      </c>
      <c r="AG42" s="198">
        <v>8761826.674678085</v>
      </c>
      <c r="AH42" s="198">
        <v>5211294.086920353</v>
      </c>
      <c r="AI42" s="198">
        <v>2525723.4399906727</v>
      </c>
      <c r="AJ42" s="198">
        <v>1024809.1477670588</v>
      </c>
      <c r="AK42" s="198">
        <v>407</v>
      </c>
      <c r="AL42" s="198">
        <v>3216</v>
      </c>
      <c r="AM42" s="198">
        <v>1.0152118084216721</v>
      </c>
      <c r="AN42" s="198">
        <v>112</v>
      </c>
      <c r="AO42" s="198">
        <v>0.016115107913669064</v>
      </c>
      <c r="AP42" s="198">
        <v>0.014391564308015841</v>
      </c>
      <c r="AQ42" s="198">
        <v>0</v>
      </c>
      <c r="AR42" s="198">
        <v>20</v>
      </c>
      <c r="AS42" s="198">
        <v>0</v>
      </c>
      <c r="AT42" s="198">
        <v>0</v>
      </c>
      <c r="AU42" s="198">
        <v>589.8</v>
      </c>
      <c r="AV42" s="198">
        <v>11.78365547643269</v>
      </c>
      <c r="AW42" s="198">
        <v>1.5277475930016065</v>
      </c>
      <c r="AX42" s="198">
        <v>316</v>
      </c>
      <c r="AY42" s="198">
        <v>2008</v>
      </c>
      <c r="AZ42" s="198">
        <v>0.15737051792828685</v>
      </c>
      <c r="BA42" s="198">
        <v>0.09368165923263468</v>
      </c>
      <c r="BB42" s="198">
        <v>0</v>
      </c>
      <c r="BC42" s="198">
        <v>2249</v>
      </c>
      <c r="BD42" s="198">
        <v>2781</v>
      </c>
      <c r="BE42" s="198">
        <v>0.8087019057892845</v>
      </c>
      <c r="BF42" s="198">
        <v>0.37906305149289593</v>
      </c>
      <c r="BG42" s="198">
        <v>0</v>
      </c>
      <c r="BH42" s="198">
        <v>0</v>
      </c>
      <c r="BI42" s="198">
        <v>-695</v>
      </c>
      <c r="BJ42" s="198">
        <v>-1668</v>
      </c>
      <c r="BK42" s="198">
        <v>-28494.999999999996</v>
      </c>
      <c r="BL42" s="198">
        <v>-2571.5</v>
      </c>
      <c r="BM42" s="198">
        <v>-37043.5</v>
      </c>
      <c r="BN42" s="198">
        <v>-834</v>
      </c>
      <c r="BO42" s="198">
        <v>36498</v>
      </c>
      <c r="BP42" s="198">
        <v>7043.986740678549</v>
      </c>
      <c r="BQ42" s="198">
        <v>561007</v>
      </c>
      <c r="BR42" s="198">
        <v>186515</v>
      </c>
      <c r="BS42" s="198">
        <v>430490.72209921485</v>
      </c>
      <c r="BT42" s="198">
        <v>23482.037625590612</v>
      </c>
      <c r="BU42" s="198">
        <v>26031.39221942881</v>
      </c>
      <c r="BV42" s="198">
        <v>198577.07449350462</v>
      </c>
      <c r="BW42" s="198">
        <v>353828.8694831129</v>
      </c>
      <c r="BX42" s="198">
        <v>625.5</v>
      </c>
      <c r="BY42" s="198">
        <v>31822.198579660995</v>
      </c>
      <c r="BZ42" s="198">
        <v>1855921.7812411913</v>
      </c>
      <c r="CA42" s="198">
        <v>1724358.2812411913</v>
      </c>
      <c r="CB42" s="198">
        <v>174640.7598169874</v>
      </c>
      <c r="CC42" s="232">
        <v>3922269.1200000006</v>
      </c>
      <c r="CD42" s="198">
        <v>-384054</v>
      </c>
      <c r="CE42" s="198">
        <v>247280.1563600001</v>
      </c>
      <c r="CH42" s="198">
        <v>6981</v>
      </c>
    </row>
    <row r="43" spans="1:86" ht="11.25">
      <c r="A43" s="198">
        <v>143</v>
      </c>
      <c r="B43" s="198" t="s">
        <v>119</v>
      </c>
      <c r="C43" s="198">
        <v>7298</v>
      </c>
      <c r="D43" s="198">
        <v>26886150.009999998</v>
      </c>
      <c r="E43" s="198">
        <v>9329497.014955716</v>
      </c>
      <c r="F43" s="198">
        <v>1676100.1887196745</v>
      </c>
      <c r="G43" s="198">
        <v>37891747.21367539</v>
      </c>
      <c r="H43" s="198">
        <v>3642.26</v>
      </c>
      <c r="I43" s="198">
        <v>26581213.48</v>
      </c>
      <c r="J43" s="198">
        <v>11310533.733675387</v>
      </c>
      <c r="K43" s="198">
        <v>238400.8822847587</v>
      </c>
      <c r="L43" s="198">
        <v>2186099.389450198</v>
      </c>
      <c r="M43" s="198">
        <v>597071.5813864842</v>
      </c>
      <c r="N43" s="198">
        <v>14332105.586796828</v>
      </c>
      <c r="O43" s="198">
        <v>4657480.681734939</v>
      </c>
      <c r="P43" s="198">
        <v>18989586.268531766</v>
      </c>
      <c r="Q43" s="198">
        <v>437</v>
      </c>
      <c r="R43" s="198">
        <v>72</v>
      </c>
      <c r="S43" s="198">
        <v>409</v>
      </c>
      <c r="T43" s="198">
        <v>225</v>
      </c>
      <c r="U43" s="198">
        <v>233</v>
      </c>
      <c r="V43" s="198">
        <v>3945</v>
      </c>
      <c r="W43" s="198">
        <v>1098</v>
      </c>
      <c r="X43" s="198">
        <v>605</v>
      </c>
      <c r="Y43" s="198">
        <v>274</v>
      </c>
      <c r="Z43" s="198">
        <v>7166</v>
      </c>
      <c r="AA43" s="198">
        <v>12</v>
      </c>
      <c r="AB43" s="198">
        <v>0</v>
      </c>
      <c r="AC43" s="198">
        <v>120</v>
      </c>
      <c r="AD43" s="198">
        <v>750.3</v>
      </c>
      <c r="AE43" s="198">
        <v>9.726775956284154</v>
      </c>
      <c r="AF43" s="198">
        <v>1977</v>
      </c>
      <c r="AG43" s="198">
        <v>9329497.014955716</v>
      </c>
      <c r="AH43" s="198">
        <v>5588268.777675886</v>
      </c>
      <c r="AI43" s="198">
        <v>2681679.7963681254</v>
      </c>
      <c r="AJ43" s="198">
        <v>1059548.4409117044</v>
      </c>
      <c r="AK43" s="198">
        <v>421</v>
      </c>
      <c r="AL43" s="198">
        <v>3212</v>
      </c>
      <c r="AM43" s="198">
        <v>1.0514408613944675</v>
      </c>
      <c r="AN43" s="198">
        <v>120</v>
      </c>
      <c r="AO43" s="198">
        <v>0.01644286105782406</v>
      </c>
      <c r="AP43" s="198">
        <v>0.014719317452170838</v>
      </c>
      <c r="AQ43" s="198">
        <v>0</v>
      </c>
      <c r="AR43" s="198">
        <v>12</v>
      </c>
      <c r="AS43" s="198">
        <v>0</v>
      </c>
      <c r="AT43" s="198">
        <v>0</v>
      </c>
      <c r="AU43" s="198">
        <v>750.3</v>
      </c>
      <c r="AV43" s="198">
        <v>9.726775956284154</v>
      </c>
      <c r="AW43" s="198">
        <v>1.850813812489373</v>
      </c>
      <c r="AX43" s="198">
        <v>288</v>
      </c>
      <c r="AY43" s="198">
        <v>2032</v>
      </c>
      <c r="AZ43" s="198">
        <v>0.14173228346456693</v>
      </c>
      <c r="BA43" s="198">
        <v>0.07804342476891475</v>
      </c>
      <c r="BB43" s="198">
        <v>0</v>
      </c>
      <c r="BC43" s="198">
        <v>2543</v>
      </c>
      <c r="BD43" s="198">
        <v>2686</v>
      </c>
      <c r="BE43" s="198">
        <v>0.9467609828741623</v>
      </c>
      <c r="BF43" s="198">
        <v>0.5171221285777738</v>
      </c>
      <c r="BG43" s="198">
        <v>0</v>
      </c>
      <c r="BH43" s="198">
        <v>0</v>
      </c>
      <c r="BI43" s="198">
        <v>-729.8000000000001</v>
      </c>
      <c r="BJ43" s="198">
        <v>-1751.52</v>
      </c>
      <c r="BK43" s="198">
        <v>-29921.799999999996</v>
      </c>
      <c r="BL43" s="198">
        <v>-2700.2599999999998</v>
      </c>
      <c r="BM43" s="198">
        <v>-38898.340000000004</v>
      </c>
      <c r="BN43" s="198">
        <v>-875.76</v>
      </c>
      <c r="BO43" s="198">
        <v>138175</v>
      </c>
      <c r="BP43" s="198">
        <v>79890.6480099801</v>
      </c>
      <c r="BQ43" s="198">
        <v>680777</v>
      </c>
      <c r="BR43" s="198">
        <v>207953</v>
      </c>
      <c r="BS43" s="198">
        <v>496189.18011094985</v>
      </c>
      <c r="BT43" s="198">
        <v>24908.36419060258</v>
      </c>
      <c r="BU43" s="198">
        <v>82317.76892538632</v>
      </c>
      <c r="BV43" s="198">
        <v>232829.75872488532</v>
      </c>
      <c r="BW43" s="198">
        <v>406620.6020718945</v>
      </c>
      <c r="BX43" s="198">
        <v>656.8199999999999</v>
      </c>
      <c r="BY43" s="198">
        <v>-26067.61258350042</v>
      </c>
      <c r="BZ43" s="198">
        <v>2324250.529450198</v>
      </c>
      <c r="CA43" s="198">
        <v>2186099.389450198</v>
      </c>
      <c r="CB43" s="198">
        <v>597071.5813864842</v>
      </c>
      <c r="CC43" s="232">
        <v>4657480.681734939</v>
      </c>
      <c r="CD43" s="198">
        <v>-323558</v>
      </c>
      <c r="CE43" s="198">
        <v>144572.59619999997</v>
      </c>
      <c r="CH43" s="198">
        <v>7303</v>
      </c>
    </row>
    <row r="44" spans="1:86" ht="11.25">
      <c r="A44" s="198">
        <v>145</v>
      </c>
      <c r="B44" s="198" t="s">
        <v>120</v>
      </c>
      <c r="C44" s="198">
        <v>12181</v>
      </c>
      <c r="D44" s="198">
        <v>46664486.53</v>
      </c>
      <c r="E44" s="198">
        <v>15718642.392544629</v>
      </c>
      <c r="F44" s="198">
        <v>1548390.6337588502</v>
      </c>
      <c r="G44" s="198">
        <v>63931519.55630348</v>
      </c>
      <c r="H44" s="198">
        <v>3642.26</v>
      </c>
      <c r="I44" s="198">
        <v>44366369.06</v>
      </c>
      <c r="J44" s="198">
        <v>19565150.496303476</v>
      </c>
      <c r="K44" s="198">
        <v>171073.08280850705</v>
      </c>
      <c r="L44" s="198">
        <v>2744600.9875790933</v>
      </c>
      <c r="M44" s="198">
        <v>0</v>
      </c>
      <c r="N44" s="198">
        <v>22480824.566691075</v>
      </c>
      <c r="O44" s="198">
        <v>6927219.536000007</v>
      </c>
      <c r="P44" s="198">
        <v>29408044.10269108</v>
      </c>
      <c r="Q44" s="198">
        <v>963</v>
      </c>
      <c r="R44" s="198">
        <v>185</v>
      </c>
      <c r="S44" s="198">
        <v>971</v>
      </c>
      <c r="T44" s="198">
        <v>486</v>
      </c>
      <c r="U44" s="198">
        <v>446</v>
      </c>
      <c r="V44" s="198">
        <v>6782</v>
      </c>
      <c r="W44" s="198">
        <v>1217</v>
      </c>
      <c r="X44" s="198">
        <v>785</v>
      </c>
      <c r="Y44" s="198">
        <v>346</v>
      </c>
      <c r="Z44" s="198">
        <v>12045</v>
      </c>
      <c r="AA44" s="198">
        <v>26</v>
      </c>
      <c r="AB44" s="198">
        <v>1</v>
      </c>
      <c r="AC44" s="198">
        <v>109</v>
      </c>
      <c r="AD44" s="198">
        <v>576.79</v>
      </c>
      <c r="AE44" s="198">
        <v>21.11860469148217</v>
      </c>
      <c r="AF44" s="198">
        <v>2348</v>
      </c>
      <c r="AG44" s="198">
        <v>15718642.392544629</v>
      </c>
      <c r="AH44" s="198">
        <v>8794621.538944392</v>
      </c>
      <c r="AI44" s="198">
        <v>5100207.9635063205</v>
      </c>
      <c r="AJ44" s="198">
        <v>1823812.8900939177</v>
      </c>
      <c r="AK44" s="198">
        <v>503</v>
      </c>
      <c r="AL44" s="198">
        <v>5631</v>
      </c>
      <c r="AM44" s="198">
        <v>0.7165735097827187</v>
      </c>
      <c r="AN44" s="198">
        <v>109</v>
      </c>
      <c r="AO44" s="198">
        <v>0.008948362203431573</v>
      </c>
      <c r="AP44" s="198">
        <v>0.00722481859777835</v>
      </c>
      <c r="AQ44" s="198">
        <v>0</v>
      </c>
      <c r="AR44" s="198">
        <v>26</v>
      </c>
      <c r="AS44" s="198">
        <v>1</v>
      </c>
      <c r="AT44" s="198">
        <v>0</v>
      </c>
      <c r="AU44" s="198">
        <v>576.79</v>
      </c>
      <c r="AV44" s="198">
        <v>21.11860469148217</v>
      </c>
      <c r="AW44" s="198">
        <v>0.8524451096023984</v>
      </c>
      <c r="AX44" s="198">
        <v>377</v>
      </c>
      <c r="AY44" s="198">
        <v>3831</v>
      </c>
      <c r="AZ44" s="198">
        <v>0.0984077264421822</v>
      </c>
      <c r="BA44" s="198">
        <v>0.03471886774653002</v>
      </c>
      <c r="BB44" s="198">
        <v>0</v>
      </c>
      <c r="BC44" s="198">
        <v>3370</v>
      </c>
      <c r="BD44" s="198">
        <v>5169</v>
      </c>
      <c r="BE44" s="198">
        <v>0.6519636293286902</v>
      </c>
      <c r="BF44" s="198">
        <v>0.2223247750323017</v>
      </c>
      <c r="BG44" s="198">
        <v>0</v>
      </c>
      <c r="BH44" s="198">
        <v>1</v>
      </c>
      <c r="BI44" s="198">
        <v>-1218.1000000000001</v>
      </c>
      <c r="BJ44" s="198">
        <v>-2923.44</v>
      </c>
      <c r="BK44" s="198">
        <v>-49942.1</v>
      </c>
      <c r="BL44" s="198">
        <v>-4506.97</v>
      </c>
      <c r="BM44" s="198">
        <v>-64924.73</v>
      </c>
      <c r="BN44" s="198">
        <v>-1461.72</v>
      </c>
      <c r="BO44" s="198">
        <v>-123623</v>
      </c>
      <c r="BP44" s="198">
        <v>-102255.52143593878</v>
      </c>
      <c r="BQ44" s="198">
        <v>954161</v>
      </c>
      <c r="BR44" s="198">
        <v>316612</v>
      </c>
      <c r="BS44" s="198">
        <v>781526.9520805622</v>
      </c>
      <c r="BT44" s="198">
        <v>32131.733519318583</v>
      </c>
      <c r="BU44" s="198">
        <v>106781.91588868524</v>
      </c>
      <c r="BV44" s="198">
        <v>326338.1356481641</v>
      </c>
      <c r="BW44" s="198">
        <v>640553.2401012782</v>
      </c>
      <c r="BX44" s="198">
        <v>1096.29</v>
      </c>
      <c r="BY44" s="198">
        <v>41864.57177702403</v>
      </c>
      <c r="BZ44" s="198">
        <v>2975187.3175790934</v>
      </c>
      <c r="CA44" s="198">
        <v>2744600.9875790933</v>
      </c>
      <c r="CB44" s="198">
        <v>0</v>
      </c>
      <c r="CC44" s="232">
        <v>6927219.536000007</v>
      </c>
      <c r="CD44" s="198">
        <v>-1202833</v>
      </c>
      <c r="CE44" s="198">
        <v>-22277.37938</v>
      </c>
      <c r="CH44" s="198">
        <v>12099</v>
      </c>
    </row>
    <row r="45" spans="1:86" ht="11.25">
      <c r="A45" s="198">
        <v>146</v>
      </c>
      <c r="B45" s="198" t="s">
        <v>121</v>
      </c>
      <c r="C45" s="198">
        <v>5504</v>
      </c>
      <c r="D45" s="198">
        <v>20522998.78</v>
      </c>
      <c r="E45" s="198">
        <v>11774690.236543354</v>
      </c>
      <c r="F45" s="198">
        <v>3052434.3649699977</v>
      </c>
      <c r="G45" s="198">
        <v>35350123.38151335</v>
      </c>
      <c r="H45" s="198">
        <v>3642.26</v>
      </c>
      <c r="I45" s="198">
        <v>20046999.040000003</v>
      </c>
      <c r="J45" s="198">
        <v>15303124.341513347</v>
      </c>
      <c r="K45" s="198">
        <v>2406016.674183964</v>
      </c>
      <c r="L45" s="198">
        <v>1859604.6746212621</v>
      </c>
      <c r="M45" s="198">
        <v>0</v>
      </c>
      <c r="N45" s="198">
        <v>19568745.690318573</v>
      </c>
      <c r="O45" s="198">
        <v>3222675.8077037027</v>
      </c>
      <c r="P45" s="198">
        <v>22791421.498022277</v>
      </c>
      <c r="Q45" s="198">
        <v>204</v>
      </c>
      <c r="R45" s="198">
        <v>33</v>
      </c>
      <c r="S45" s="198">
        <v>230</v>
      </c>
      <c r="T45" s="198">
        <v>135</v>
      </c>
      <c r="U45" s="198">
        <v>146</v>
      </c>
      <c r="V45" s="198">
        <v>2894</v>
      </c>
      <c r="W45" s="198">
        <v>943</v>
      </c>
      <c r="X45" s="198">
        <v>639</v>
      </c>
      <c r="Y45" s="198">
        <v>280</v>
      </c>
      <c r="Z45" s="198">
        <v>5371</v>
      </c>
      <c r="AA45" s="198">
        <v>4</v>
      </c>
      <c r="AB45" s="198">
        <v>0</v>
      </c>
      <c r="AC45" s="198">
        <v>129</v>
      </c>
      <c r="AD45" s="198">
        <v>2763.57</v>
      </c>
      <c r="AE45" s="198">
        <v>1.991626772616579</v>
      </c>
      <c r="AF45" s="198">
        <v>1862</v>
      </c>
      <c r="AG45" s="198">
        <v>11774690.236543354</v>
      </c>
      <c r="AH45" s="198">
        <v>7276643.848245276</v>
      </c>
      <c r="AI45" s="198">
        <v>3230062.1885184958</v>
      </c>
      <c r="AJ45" s="198">
        <v>1267984.199779581</v>
      </c>
      <c r="AK45" s="198">
        <v>335</v>
      </c>
      <c r="AL45" s="198">
        <v>2240</v>
      </c>
      <c r="AM45" s="198">
        <v>1.199706688663975</v>
      </c>
      <c r="AN45" s="198">
        <v>129</v>
      </c>
      <c r="AO45" s="198">
        <v>0.0234375</v>
      </c>
      <c r="AP45" s="198">
        <v>0.021713956394346777</v>
      </c>
      <c r="AQ45" s="198">
        <v>0</v>
      </c>
      <c r="AR45" s="198">
        <v>4</v>
      </c>
      <c r="AS45" s="198">
        <v>0</v>
      </c>
      <c r="AT45" s="198">
        <v>0</v>
      </c>
      <c r="AU45" s="198">
        <v>2763.57</v>
      </c>
      <c r="AV45" s="198">
        <v>1.991626772616579</v>
      </c>
      <c r="AW45" s="198">
        <v>9.03906873436372</v>
      </c>
      <c r="AX45" s="198">
        <v>238</v>
      </c>
      <c r="AY45" s="198">
        <v>1345</v>
      </c>
      <c r="AZ45" s="198">
        <v>0.17695167286245353</v>
      </c>
      <c r="BA45" s="198">
        <v>0.11326281416680135</v>
      </c>
      <c r="BB45" s="198">
        <v>1.2847333333333333</v>
      </c>
      <c r="BC45" s="198">
        <v>1794</v>
      </c>
      <c r="BD45" s="198">
        <v>1795</v>
      </c>
      <c r="BE45" s="198">
        <v>0.9994428969359331</v>
      </c>
      <c r="BF45" s="198">
        <v>0.5698040426395445</v>
      </c>
      <c r="BG45" s="198">
        <v>0</v>
      </c>
      <c r="BH45" s="198">
        <v>0</v>
      </c>
      <c r="BI45" s="198">
        <v>-550.4</v>
      </c>
      <c r="BJ45" s="198">
        <v>-1320.96</v>
      </c>
      <c r="BK45" s="198">
        <v>-22566.399999999998</v>
      </c>
      <c r="BL45" s="198">
        <v>-2036.48</v>
      </c>
      <c r="BM45" s="198">
        <v>-29336.32</v>
      </c>
      <c r="BN45" s="198">
        <v>-660.48</v>
      </c>
      <c r="BO45" s="198">
        <v>258987</v>
      </c>
      <c r="BP45" s="198">
        <v>-5688.993367061019</v>
      </c>
      <c r="BQ45" s="198">
        <v>556296</v>
      </c>
      <c r="BR45" s="198">
        <v>167159</v>
      </c>
      <c r="BS45" s="198">
        <v>465718.1358928919</v>
      </c>
      <c r="BT45" s="198">
        <v>25047.13882048292</v>
      </c>
      <c r="BU45" s="198">
        <v>58430.7978963757</v>
      </c>
      <c r="BV45" s="198">
        <v>227888.47789942884</v>
      </c>
      <c r="BW45" s="198">
        <v>292602.1898152367</v>
      </c>
      <c r="BX45" s="198">
        <v>495.35999999999996</v>
      </c>
      <c r="BY45" s="198">
        <v>-83139.71233609298</v>
      </c>
      <c r="BZ45" s="198">
        <v>1963795.394621262</v>
      </c>
      <c r="CA45" s="198">
        <v>1859604.6746212621</v>
      </c>
      <c r="CB45" s="198">
        <v>0</v>
      </c>
      <c r="CC45" s="232">
        <v>3222675.8077037027</v>
      </c>
      <c r="CD45" s="198">
        <v>-360556</v>
      </c>
      <c r="CE45" s="198">
        <v>4047.036500000002</v>
      </c>
      <c r="CH45" s="198">
        <v>5614</v>
      </c>
    </row>
    <row r="46" spans="1:86" ht="11.25">
      <c r="A46" s="198">
        <v>153</v>
      </c>
      <c r="B46" s="198" t="s">
        <v>122</v>
      </c>
      <c r="C46" s="198">
        <v>28037</v>
      </c>
      <c r="D46" s="198">
        <v>97171457.11000001</v>
      </c>
      <c r="E46" s="198">
        <v>43978108.385715194</v>
      </c>
      <c r="F46" s="198">
        <v>6811978.54900275</v>
      </c>
      <c r="G46" s="198">
        <v>147961544.04471794</v>
      </c>
      <c r="H46" s="198">
        <v>3642.26</v>
      </c>
      <c r="I46" s="198">
        <v>102118043.62</v>
      </c>
      <c r="J46" s="198">
        <v>45843500.42471793</v>
      </c>
      <c r="K46" s="198">
        <v>1118420.3825083338</v>
      </c>
      <c r="L46" s="198">
        <v>5571724.216639662</v>
      </c>
      <c r="M46" s="198">
        <v>0</v>
      </c>
      <c r="N46" s="198">
        <v>52533645.02386593</v>
      </c>
      <c r="O46" s="198">
        <v>3637431.916820511</v>
      </c>
      <c r="P46" s="198">
        <v>56171076.94068644</v>
      </c>
      <c r="Q46" s="198">
        <v>1322</v>
      </c>
      <c r="R46" s="198">
        <v>224</v>
      </c>
      <c r="S46" s="198">
        <v>1546</v>
      </c>
      <c r="T46" s="198">
        <v>767</v>
      </c>
      <c r="U46" s="198">
        <v>894</v>
      </c>
      <c r="V46" s="198">
        <v>15786</v>
      </c>
      <c r="W46" s="198">
        <v>4040</v>
      </c>
      <c r="X46" s="198">
        <v>2540</v>
      </c>
      <c r="Y46" s="198">
        <v>918</v>
      </c>
      <c r="Z46" s="198">
        <v>26573</v>
      </c>
      <c r="AA46" s="198">
        <v>43</v>
      </c>
      <c r="AB46" s="198">
        <v>1</v>
      </c>
      <c r="AC46" s="198">
        <v>1420</v>
      </c>
      <c r="AD46" s="198">
        <v>155.01</v>
      </c>
      <c r="AE46" s="198">
        <v>180.87220179343268</v>
      </c>
      <c r="AF46" s="198">
        <v>7498</v>
      </c>
      <c r="AG46" s="198">
        <v>43978108.385715194</v>
      </c>
      <c r="AH46" s="198">
        <v>24004798.054938678</v>
      </c>
      <c r="AI46" s="198">
        <v>14527926.130353246</v>
      </c>
      <c r="AJ46" s="198">
        <v>5445384.200423268</v>
      </c>
      <c r="AK46" s="198">
        <v>1947</v>
      </c>
      <c r="AL46" s="198">
        <v>12528</v>
      </c>
      <c r="AM46" s="198">
        <v>1.2467015466576175</v>
      </c>
      <c r="AN46" s="198">
        <v>1420</v>
      </c>
      <c r="AO46" s="198">
        <v>0.05064735884723758</v>
      </c>
      <c r="AP46" s="198">
        <v>0.04892381524158436</v>
      </c>
      <c r="AQ46" s="198">
        <v>0</v>
      </c>
      <c r="AR46" s="198">
        <v>43</v>
      </c>
      <c r="AS46" s="198">
        <v>1</v>
      </c>
      <c r="AT46" s="198">
        <v>0</v>
      </c>
      <c r="AU46" s="198">
        <v>155.01</v>
      </c>
      <c r="AV46" s="198">
        <v>180.87220179343268</v>
      </c>
      <c r="AW46" s="198">
        <v>0.09953133268892343</v>
      </c>
      <c r="AX46" s="198">
        <v>1151</v>
      </c>
      <c r="AY46" s="198">
        <v>8449</v>
      </c>
      <c r="AZ46" s="198">
        <v>0.1362291395431412</v>
      </c>
      <c r="BA46" s="198">
        <v>0.07254028084748902</v>
      </c>
      <c r="BB46" s="198">
        <v>0</v>
      </c>
      <c r="BC46" s="198">
        <v>11128</v>
      </c>
      <c r="BD46" s="198">
        <v>10487</v>
      </c>
      <c r="BE46" s="198">
        <v>1.061123295508725</v>
      </c>
      <c r="BF46" s="198">
        <v>0.6314844412123366</v>
      </c>
      <c r="BG46" s="198">
        <v>0</v>
      </c>
      <c r="BH46" s="198">
        <v>1</v>
      </c>
      <c r="BI46" s="198">
        <v>-2803.7000000000003</v>
      </c>
      <c r="BJ46" s="198">
        <v>-6728.88</v>
      </c>
      <c r="BK46" s="198">
        <v>-114951.7</v>
      </c>
      <c r="BL46" s="198">
        <v>-10373.69</v>
      </c>
      <c r="BM46" s="198">
        <v>-149437.21</v>
      </c>
      <c r="BN46" s="198">
        <v>-3364.44</v>
      </c>
      <c r="BO46" s="198">
        <v>230653</v>
      </c>
      <c r="BP46" s="198">
        <v>-294628.57903369516</v>
      </c>
      <c r="BQ46" s="198">
        <v>1915973</v>
      </c>
      <c r="BR46" s="198">
        <v>590926</v>
      </c>
      <c r="BS46" s="198">
        <v>1235447.8154237953</v>
      </c>
      <c r="BT46" s="198">
        <v>58300.03887859348</v>
      </c>
      <c r="BU46" s="198">
        <v>191082.24648750428</v>
      </c>
      <c r="BV46" s="198">
        <v>765331.2197312817</v>
      </c>
      <c r="BW46" s="198">
        <v>1193114.230510768</v>
      </c>
      <c r="BX46" s="198">
        <v>2523.33</v>
      </c>
      <c r="BY46" s="198">
        <v>213742.32464141358</v>
      </c>
      <c r="BZ46" s="198">
        <v>6102464.626639662</v>
      </c>
      <c r="CA46" s="198">
        <v>5571724.216639662</v>
      </c>
      <c r="CB46" s="198">
        <v>0</v>
      </c>
      <c r="CC46" s="232">
        <v>3637431.916820511</v>
      </c>
      <c r="CD46" s="198">
        <v>-2708922</v>
      </c>
      <c r="CE46" s="198">
        <v>-1304306.3185439997</v>
      </c>
      <c r="CH46" s="198">
        <v>28219</v>
      </c>
    </row>
    <row r="47" spans="1:86" ht="11.25">
      <c r="A47" s="198">
        <v>148</v>
      </c>
      <c r="B47" s="198" t="s">
        <v>123</v>
      </c>
      <c r="C47" s="198">
        <v>6814</v>
      </c>
      <c r="D47" s="198">
        <v>21465322.73</v>
      </c>
      <c r="E47" s="198">
        <v>8068901.62262444</v>
      </c>
      <c r="F47" s="198">
        <v>6715889.468607305</v>
      </c>
      <c r="G47" s="198">
        <v>36250113.821231745</v>
      </c>
      <c r="H47" s="198">
        <v>3642.26</v>
      </c>
      <c r="I47" s="198">
        <v>24818359.64</v>
      </c>
      <c r="J47" s="198">
        <v>11431754.181231745</v>
      </c>
      <c r="K47" s="198">
        <v>8078164.392785467</v>
      </c>
      <c r="L47" s="198">
        <v>2322214.5972747467</v>
      </c>
      <c r="M47" s="198">
        <v>0</v>
      </c>
      <c r="N47" s="198">
        <v>21832133.17129196</v>
      </c>
      <c r="O47" s="198">
        <v>2381822.805684213</v>
      </c>
      <c r="P47" s="198">
        <v>24213955.97697617</v>
      </c>
      <c r="Q47" s="198">
        <v>334</v>
      </c>
      <c r="R47" s="198">
        <v>46</v>
      </c>
      <c r="S47" s="198">
        <v>343</v>
      </c>
      <c r="T47" s="198">
        <v>206</v>
      </c>
      <c r="U47" s="198">
        <v>184</v>
      </c>
      <c r="V47" s="198">
        <v>4168</v>
      </c>
      <c r="W47" s="198">
        <v>910</v>
      </c>
      <c r="X47" s="198">
        <v>470</v>
      </c>
      <c r="Y47" s="198">
        <v>153</v>
      </c>
      <c r="Z47" s="198">
        <v>6240</v>
      </c>
      <c r="AA47" s="198">
        <v>18</v>
      </c>
      <c r="AB47" s="198">
        <v>433</v>
      </c>
      <c r="AC47" s="198">
        <v>123</v>
      </c>
      <c r="AD47" s="198">
        <v>15053.04</v>
      </c>
      <c r="AE47" s="198">
        <v>0.45266603955081497</v>
      </c>
      <c r="AF47" s="198">
        <v>1533</v>
      </c>
      <c r="AG47" s="198">
        <v>8068901.62262444</v>
      </c>
      <c r="AH47" s="198">
        <v>5216243.996474158</v>
      </c>
      <c r="AI47" s="198">
        <v>1697576.1290908004</v>
      </c>
      <c r="AJ47" s="198">
        <v>1155081.4970594815</v>
      </c>
      <c r="AK47" s="198">
        <v>580</v>
      </c>
      <c r="AL47" s="198">
        <v>3248</v>
      </c>
      <c r="AM47" s="198">
        <v>1.4324855984047464</v>
      </c>
      <c r="AN47" s="198">
        <v>123</v>
      </c>
      <c r="AO47" s="198">
        <v>0.01805107132374523</v>
      </c>
      <c r="AP47" s="198">
        <v>0.016327527718092007</v>
      </c>
      <c r="AQ47" s="198">
        <v>0</v>
      </c>
      <c r="AR47" s="198">
        <v>18</v>
      </c>
      <c r="AS47" s="198">
        <v>433</v>
      </c>
      <c r="AT47" s="198">
        <v>0</v>
      </c>
      <c r="AU47" s="198">
        <v>15053.04</v>
      </c>
      <c r="AV47" s="198">
        <v>0.45266603955081497</v>
      </c>
      <c r="AW47" s="198">
        <v>39.7698296712169</v>
      </c>
      <c r="AX47" s="198">
        <v>328</v>
      </c>
      <c r="AY47" s="198">
        <v>2169</v>
      </c>
      <c r="AZ47" s="198">
        <v>0.1512217611802674</v>
      </c>
      <c r="BA47" s="198">
        <v>0.08753290248461522</v>
      </c>
      <c r="BB47" s="198">
        <v>1.5744500000000001</v>
      </c>
      <c r="BC47" s="198">
        <v>2676</v>
      </c>
      <c r="BD47" s="198">
        <v>2751</v>
      </c>
      <c r="BE47" s="198">
        <v>0.9727371864776445</v>
      </c>
      <c r="BF47" s="198">
        <v>0.5430983321812559</v>
      </c>
      <c r="BG47" s="198">
        <v>1</v>
      </c>
      <c r="BH47" s="198">
        <v>433</v>
      </c>
      <c r="BI47" s="198">
        <v>-681.4000000000001</v>
      </c>
      <c r="BJ47" s="198">
        <v>-1635.36</v>
      </c>
      <c r="BK47" s="198">
        <v>-27937.399999999998</v>
      </c>
      <c r="BL47" s="198">
        <v>-2521.18</v>
      </c>
      <c r="BM47" s="198">
        <v>-36318.62</v>
      </c>
      <c r="BN47" s="198">
        <v>-817.68</v>
      </c>
      <c r="BO47" s="198">
        <v>479107</v>
      </c>
      <c r="BP47" s="198">
        <v>241319.49110893905</v>
      </c>
      <c r="BQ47" s="198">
        <v>499986</v>
      </c>
      <c r="BR47" s="198">
        <v>180627</v>
      </c>
      <c r="BS47" s="198">
        <v>479629.9454780115</v>
      </c>
      <c r="BT47" s="198">
        <v>24832.544674204702</v>
      </c>
      <c r="BU47" s="198">
        <v>29639.119052726277</v>
      </c>
      <c r="BV47" s="198">
        <v>168703.85073378746</v>
      </c>
      <c r="BW47" s="198">
        <v>341848.2144174704</v>
      </c>
      <c r="BX47" s="198">
        <v>613.26</v>
      </c>
      <c r="BY47" s="198">
        <v>4897.191809608004</v>
      </c>
      <c r="BZ47" s="198">
        <v>2451203.6172747468</v>
      </c>
      <c r="CA47" s="198">
        <v>2322214.5972747467</v>
      </c>
      <c r="CB47" s="198">
        <v>0</v>
      </c>
      <c r="CC47" s="232">
        <v>2381822.805684213</v>
      </c>
      <c r="CD47" s="198">
        <v>-602536</v>
      </c>
      <c r="CE47" s="198">
        <v>-18803.154200000004</v>
      </c>
      <c r="CH47" s="198">
        <v>6794</v>
      </c>
    </row>
    <row r="48" spans="1:86" ht="11.25">
      <c r="A48" s="198">
        <v>149</v>
      </c>
      <c r="B48" s="198" t="s">
        <v>124</v>
      </c>
      <c r="C48" s="198">
        <v>5560</v>
      </c>
      <c r="D48" s="198">
        <v>19872955.060000002</v>
      </c>
      <c r="E48" s="198">
        <v>5134681.276893599</v>
      </c>
      <c r="F48" s="198">
        <v>1981462.0704822738</v>
      </c>
      <c r="G48" s="198">
        <v>26989098.407375876</v>
      </c>
      <c r="H48" s="198">
        <v>3642.26</v>
      </c>
      <c r="I48" s="198">
        <v>20250965.6</v>
      </c>
      <c r="J48" s="198">
        <v>6738132.807375874</v>
      </c>
      <c r="K48" s="198">
        <v>38113.88696323603</v>
      </c>
      <c r="L48" s="198">
        <v>916756.2700416031</v>
      </c>
      <c r="M48" s="198">
        <v>0</v>
      </c>
      <c r="N48" s="198">
        <v>7693002.964380713</v>
      </c>
      <c r="O48" s="198">
        <v>-656422.0518522637</v>
      </c>
      <c r="P48" s="198">
        <v>7036580.91252845</v>
      </c>
      <c r="Q48" s="198">
        <v>357</v>
      </c>
      <c r="R48" s="198">
        <v>76</v>
      </c>
      <c r="S48" s="198">
        <v>447</v>
      </c>
      <c r="T48" s="198">
        <v>207</v>
      </c>
      <c r="U48" s="198">
        <v>178</v>
      </c>
      <c r="V48" s="198">
        <v>3104</v>
      </c>
      <c r="W48" s="198">
        <v>720</v>
      </c>
      <c r="X48" s="198">
        <v>347</v>
      </c>
      <c r="Y48" s="198">
        <v>124</v>
      </c>
      <c r="Z48" s="198">
        <v>2351</v>
      </c>
      <c r="AA48" s="198">
        <v>3022</v>
      </c>
      <c r="AB48" s="198">
        <v>0</v>
      </c>
      <c r="AC48" s="198">
        <v>187</v>
      </c>
      <c r="AD48" s="198">
        <v>349.89</v>
      </c>
      <c r="AE48" s="198">
        <v>15.890708508388352</v>
      </c>
      <c r="AF48" s="198">
        <v>1191</v>
      </c>
      <c r="AG48" s="198">
        <v>5134681.276893599</v>
      </c>
      <c r="AH48" s="198">
        <v>3324531.851865588</v>
      </c>
      <c r="AI48" s="198">
        <v>1263005.5579998347</v>
      </c>
      <c r="AJ48" s="198">
        <v>547143.8670281754</v>
      </c>
      <c r="AK48" s="198">
        <v>195</v>
      </c>
      <c r="AL48" s="198">
        <v>2695</v>
      </c>
      <c r="AM48" s="198">
        <v>0.5804357229899751</v>
      </c>
      <c r="AN48" s="198">
        <v>187</v>
      </c>
      <c r="AO48" s="198">
        <v>0.033633093525179854</v>
      </c>
      <c r="AP48" s="198">
        <v>0.03190954991952663</v>
      </c>
      <c r="AQ48" s="198">
        <v>3</v>
      </c>
      <c r="AR48" s="198">
        <v>3022</v>
      </c>
      <c r="AS48" s="198">
        <v>0</v>
      </c>
      <c r="AT48" s="198">
        <v>1</v>
      </c>
      <c r="AU48" s="198">
        <v>349.89</v>
      </c>
      <c r="AV48" s="198">
        <v>15.890708508388352</v>
      </c>
      <c r="AW48" s="198">
        <v>1.1328916694543323</v>
      </c>
      <c r="AX48" s="198">
        <v>286</v>
      </c>
      <c r="AY48" s="198">
        <v>1904</v>
      </c>
      <c r="AZ48" s="198">
        <v>0.15021008403361344</v>
      </c>
      <c r="BA48" s="198">
        <v>0.08652122533796126</v>
      </c>
      <c r="BB48" s="198">
        <v>0</v>
      </c>
      <c r="BC48" s="198">
        <v>1354</v>
      </c>
      <c r="BD48" s="198">
        <v>2516</v>
      </c>
      <c r="BE48" s="198">
        <v>0.5381558028616852</v>
      </c>
      <c r="BF48" s="198">
        <v>0.10851694856529664</v>
      </c>
      <c r="BG48" s="198">
        <v>0</v>
      </c>
      <c r="BH48" s="198">
        <v>0</v>
      </c>
      <c r="BI48" s="198">
        <v>-556</v>
      </c>
      <c r="BJ48" s="198">
        <v>-1334.3999999999999</v>
      </c>
      <c r="BK48" s="198">
        <v>-22795.999999999996</v>
      </c>
      <c r="BL48" s="198">
        <v>-2057.2</v>
      </c>
      <c r="BM48" s="198">
        <v>-29634.8</v>
      </c>
      <c r="BN48" s="198">
        <v>-667.1999999999999</v>
      </c>
      <c r="BO48" s="198">
        <v>2429</v>
      </c>
      <c r="BP48" s="198">
        <v>-139329.01962335035</v>
      </c>
      <c r="BQ48" s="198">
        <v>462664</v>
      </c>
      <c r="BR48" s="198">
        <v>145911</v>
      </c>
      <c r="BS48" s="198">
        <v>289533.9898365389</v>
      </c>
      <c r="BT48" s="198">
        <v>4845.642708322306</v>
      </c>
      <c r="BU48" s="198">
        <v>-30972.378801288753</v>
      </c>
      <c r="BV48" s="198">
        <v>67000.9340491973</v>
      </c>
      <c r="BW48" s="198">
        <v>269783.2189719654</v>
      </c>
      <c r="BX48" s="198">
        <v>500.4</v>
      </c>
      <c r="BY48" s="198">
        <v>-50359.717099781425</v>
      </c>
      <c r="BZ48" s="198">
        <v>1022007.0700416032</v>
      </c>
      <c r="CA48" s="198">
        <v>916756.2700416031</v>
      </c>
      <c r="CB48" s="198">
        <v>0</v>
      </c>
      <c r="CC48" s="232">
        <v>-656422.0518522637</v>
      </c>
      <c r="CD48" s="198">
        <v>-1408528</v>
      </c>
      <c r="CE48" s="198">
        <v>-2009833.04042</v>
      </c>
      <c r="CH48" s="198">
        <v>5562</v>
      </c>
    </row>
    <row r="49" spans="1:86" ht="11.25">
      <c r="A49" s="198">
        <v>151</v>
      </c>
      <c r="B49" s="198" t="s">
        <v>125</v>
      </c>
      <c r="C49" s="198">
        <v>2198</v>
      </c>
      <c r="D49" s="198">
        <v>8805895.7</v>
      </c>
      <c r="E49" s="198">
        <v>4052198.56816751</v>
      </c>
      <c r="F49" s="198">
        <v>843153.8655526068</v>
      </c>
      <c r="G49" s="198">
        <v>13701248.133720115</v>
      </c>
      <c r="H49" s="198">
        <v>3642.26</v>
      </c>
      <c r="I49" s="198">
        <v>8005687.48</v>
      </c>
      <c r="J49" s="198">
        <v>5695560.653720114</v>
      </c>
      <c r="K49" s="198">
        <v>247092.33878474357</v>
      </c>
      <c r="L49" s="198">
        <v>792605.187051618</v>
      </c>
      <c r="M49" s="198">
        <v>0</v>
      </c>
      <c r="N49" s="198">
        <v>6735258.179556476</v>
      </c>
      <c r="O49" s="198">
        <v>2228766.426636363</v>
      </c>
      <c r="P49" s="198">
        <v>8964024.606192838</v>
      </c>
      <c r="Q49" s="198">
        <v>95</v>
      </c>
      <c r="R49" s="198">
        <v>11</v>
      </c>
      <c r="S49" s="198">
        <v>124</v>
      </c>
      <c r="T49" s="198">
        <v>62</v>
      </c>
      <c r="U49" s="198">
        <v>83</v>
      </c>
      <c r="V49" s="198">
        <v>1159</v>
      </c>
      <c r="W49" s="198">
        <v>320</v>
      </c>
      <c r="X49" s="198">
        <v>209</v>
      </c>
      <c r="Y49" s="198">
        <v>135</v>
      </c>
      <c r="Z49" s="198">
        <v>2123</v>
      </c>
      <c r="AA49" s="198">
        <v>16</v>
      </c>
      <c r="AB49" s="198">
        <v>0</v>
      </c>
      <c r="AC49" s="198">
        <v>59</v>
      </c>
      <c r="AD49" s="198">
        <v>642.38</v>
      </c>
      <c r="AE49" s="198">
        <v>3.421650736324294</v>
      </c>
      <c r="AF49" s="198">
        <v>664</v>
      </c>
      <c r="AG49" s="198">
        <v>4052198.56816751</v>
      </c>
      <c r="AH49" s="198">
        <v>2297523.315034456</v>
      </c>
      <c r="AI49" s="198">
        <v>1303064.4422526553</v>
      </c>
      <c r="AJ49" s="198">
        <v>451610.8108803987</v>
      </c>
      <c r="AK49" s="198">
        <v>84</v>
      </c>
      <c r="AL49" s="198">
        <v>948</v>
      </c>
      <c r="AM49" s="198">
        <v>0.7108029804742538</v>
      </c>
      <c r="AN49" s="198">
        <v>59</v>
      </c>
      <c r="AO49" s="198">
        <v>0.02684258416742493</v>
      </c>
      <c r="AP49" s="198">
        <v>0.025119040561771708</v>
      </c>
      <c r="AQ49" s="198">
        <v>0</v>
      </c>
      <c r="AR49" s="198">
        <v>16</v>
      </c>
      <c r="AS49" s="198">
        <v>0</v>
      </c>
      <c r="AT49" s="198">
        <v>0</v>
      </c>
      <c r="AU49" s="198">
        <v>642.38</v>
      </c>
      <c r="AV49" s="198">
        <v>3.421650736324294</v>
      </c>
      <c r="AW49" s="198">
        <v>5.261335150243698</v>
      </c>
      <c r="AX49" s="198">
        <v>129</v>
      </c>
      <c r="AY49" s="198">
        <v>606</v>
      </c>
      <c r="AZ49" s="198">
        <v>0.21287128712871287</v>
      </c>
      <c r="BA49" s="198">
        <v>0.14918242843306068</v>
      </c>
      <c r="BB49" s="198">
        <v>0.4008</v>
      </c>
      <c r="BC49" s="198">
        <v>765</v>
      </c>
      <c r="BD49" s="198">
        <v>861</v>
      </c>
      <c r="BE49" s="198">
        <v>0.8885017421602788</v>
      </c>
      <c r="BF49" s="198">
        <v>0.45886288786389023</v>
      </c>
      <c r="BG49" s="198">
        <v>0</v>
      </c>
      <c r="BH49" s="198">
        <v>0</v>
      </c>
      <c r="BI49" s="198">
        <v>-219.8</v>
      </c>
      <c r="BJ49" s="198">
        <v>-527.52</v>
      </c>
      <c r="BK49" s="198">
        <v>-9011.8</v>
      </c>
      <c r="BL49" s="198">
        <v>-813.26</v>
      </c>
      <c r="BM49" s="198">
        <v>-11715.34</v>
      </c>
      <c r="BN49" s="198">
        <v>-263.76</v>
      </c>
      <c r="BO49" s="198">
        <v>14391</v>
      </c>
      <c r="BP49" s="198">
        <v>-10711.074828449637</v>
      </c>
      <c r="BQ49" s="198">
        <v>269740</v>
      </c>
      <c r="BR49" s="198">
        <v>77472</v>
      </c>
      <c r="BS49" s="198">
        <v>213295.79956305336</v>
      </c>
      <c r="BT49" s="198">
        <v>12038.590237768842</v>
      </c>
      <c r="BU49" s="198">
        <v>34652.234374850144</v>
      </c>
      <c r="BV49" s="198">
        <v>98865.7058690814</v>
      </c>
      <c r="BW49" s="198">
        <v>135978.08358006243</v>
      </c>
      <c r="BX49" s="198">
        <v>197.82</v>
      </c>
      <c r="BY49" s="198">
        <v>-11706.83174474837</v>
      </c>
      <c r="BZ49" s="198">
        <v>834213.327051618</v>
      </c>
      <c r="CA49" s="198">
        <v>792605.187051618</v>
      </c>
      <c r="CB49" s="198">
        <v>0</v>
      </c>
      <c r="CC49" s="232">
        <v>2228766.426636363</v>
      </c>
      <c r="CD49" s="198">
        <v>-556436</v>
      </c>
      <c r="CE49" s="198">
        <v>-2552.7460999999967</v>
      </c>
      <c r="CH49" s="198">
        <v>2257</v>
      </c>
    </row>
    <row r="50" spans="1:86" ht="11.25">
      <c r="A50" s="198">
        <v>152</v>
      </c>
      <c r="B50" s="198" t="s">
        <v>126</v>
      </c>
      <c r="C50" s="198">
        <v>4842</v>
      </c>
      <c r="D50" s="198">
        <v>18559767.950000003</v>
      </c>
      <c r="E50" s="198">
        <v>6913376.206050035</v>
      </c>
      <c r="F50" s="198">
        <v>784889.526156253</v>
      </c>
      <c r="G50" s="198">
        <v>26258033.68220629</v>
      </c>
      <c r="H50" s="198">
        <v>3642.26</v>
      </c>
      <c r="I50" s="198">
        <v>17635822.92</v>
      </c>
      <c r="J50" s="198">
        <v>8622210.76220629</v>
      </c>
      <c r="K50" s="198">
        <v>75828.68104414569</v>
      </c>
      <c r="L50" s="198">
        <v>1306458.4212537874</v>
      </c>
      <c r="M50" s="198">
        <v>0</v>
      </c>
      <c r="N50" s="198">
        <v>10004497.864504224</v>
      </c>
      <c r="O50" s="198">
        <v>3270193.0173333306</v>
      </c>
      <c r="P50" s="198">
        <v>13274690.881837554</v>
      </c>
      <c r="Q50" s="198">
        <v>313</v>
      </c>
      <c r="R50" s="198">
        <v>70</v>
      </c>
      <c r="S50" s="198">
        <v>341</v>
      </c>
      <c r="T50" s="198">
        <v>168</v>
      </c>
      <c r="U50" s="198">
        <v>164</v>
      </c>
      <c r="V50" s="198">
        <v>2613</v>
      </c>
      <c r="W50" s="198">
        <v>605</v>
      </c>
      <c r="X50" s="198">
        <v>395</v>
      </c>
      <c r="Y50" s="198">
        <v>173</v>
      </c>
      <c r="Z50" s="198">
        <v>4764</v>
      </c>
      <c r="AA50" s="198">
        <v>34</v>
      </c>
      <c r="AB50" s="198">
        <v>0</v>
      </c>
      <c r="AC50" s="198">
        <v>44</v>
      </c>
      <c r="AD50" s="198">
        <v>354.19</v>
      </c>
      <c r="AE50" s="198">
        <v>13.670628758575905</v>
      </c>
      <c r="AF50" s="198">
        <v>1173</v>
      </c>
      <c r="AG50" s="198">
        <v>6913376.206050035</v>
      </c>
      <c r="AH50" s="198">
        <v>3877407.4403505605</v>
      </c>
      <c r="AI50" s="198">
        <v>2289073.9630895844</v>
      </c>
      <c r="AJ50" s="198">
        <v>746894.8026098902</v>
      </c>
      <c r="AK50" s="198">
        <v>214</v>
      </c>
      <c r="AL50" s="198">
        <v>2173</v>
      </c>
      <c r="AM50" s="198">
        <v>0.7900095449278638</v>
      </c>
      <c r="AN50" s="198">
        <v>44</v>
      </c>
      <c r="AO50" s="198">
        <v>0.009087154068566708</v>
      </c>
      <c r="AP50" s="198">
        <v>0.007363610462913485</v>
      </c>
      <c r="AQ50" s="198">
        <v>0</v>
      </c>
      <c r="AR50" s="198">
        <v>34</v>
      </c>
      <c r="AS50" s="198">
        <v>0</v>
      </c>
      <c r="AT50" s="198">
        <v>0</v>
      </c>
      <c r="AU50" s="198">
        <v>354.19</v>
      </c>
      <c r="AV50" s="198">
        <v>13.670628758575905</v>
      </c>
      <c r="AW50" s="198">
        <v>1.3168707605776275</v>
      </c>
      <c r="AX50" s="198">
        <v>172</v>
      </c>
      <c r="AY50" s="198">
        <v>1415</v>
      </c>
      <c r="AZ50" s="198">
        <v>0.1215547703180212</v>
      </c>
      <c r="BA50" s="198">
        <v>0.05786591162236902</v>
      </c>
      <c r="BB50" s="198">
        <v>0</v>
      </c>
      <c r="BC50" s="198">
        <v>1328</v>
      </c>
      <c r="BD50" s="198">
        <v>1960</v>
      </c>
      <c r="BE50" s="198">
        <v>0.6775510204081633</v>
      </c>
      <c r="BF50" s="198">
        <v>0.24791216611177475</v>
      </c>
      <c r="BG50" s="198">
        <v>0</v>
      </c>
      <c r="BH50" s="198">
        <v>0</v>
      </c>
      <c r="BI50" s="198">
        <v>-484.20000000000005</v>
      </c>
      <c r="BJ50" s="198">
        <v>-1162.08</v>
      </c>
      <c r="BK50" s="198">
        <v>-19852.199999999997</v>
      </c>
      <c r="BL50" s="198">
        <v>-1791.54</v>
      </c>
      <c r="BM50" s="198">
        <v>-25807.86</v>
      </c>
      <c r="BN50" s="198">
        <v>-581.04</v>
      </c>
      <c r="BO50" s="198">
        <v>-42666</v>
      </c>
      <c r="BP50" s="198">
        <v>-4805.183234481141</v>
      </c>
      <c r="BQ50" s="198">
        <v>453574</v>
      </c>
      <c r="BR50" s="198">
        <v>149113</v>
      </c>
      <c r="BS50" s="198">
        <v>365093.086581899</v>
      </c>
      <c r="BT50" s="198">
        <v>18504.183119397294</v>
      </c>
      <c r="BU50" s="198">
        <v>39985.40308242453</v>
      </c>
      <c r="BV50" s="198">
        <v>140431.9440813769</v>
      </c>
      <c r="BW50" s="198">
        <v>273887.1260748866</v>
      </c>
      <c r="BX50" s="198">
        <v>435.78</v>
      </c>
      <c r="BY50" s="198">
        <v>4564.141548284166</v>
      </c>
      <c r="BZ50" s="198">
        <v>1398117.4812537874</v>
      </c>
      <c r="CA50" s="198">
        <v>1306458.4212537874</v>
      </c>
      <c r="CB50" s="198">
        <v>0</v>
      </c>
      <c r="CC50" s="232">
        <v>3270193.0173333306</v>
      </c>
      <c r="CD50" s="198">
        <v>-531750</v>
      </c>
      <c r="CE50" s="198">
        <v>-44890.97410000002</v>
      </c>
      <c r="CH50" s="198">
        <v>4854</v>
      </c>
    </row>
    <row r="51" spans="1:86" ht="11.25">
      <c r="A51" s="198">
        <v>164</v>
      </c>
      <c r="B51" s="198" t="s">
        <v>127</v>
      </c>
      <c r="C51" s="198">
        <v>7885</v>
      </c>
      <c r="D51" s="198">
        <v>29422257.629999995</v>
      </c>
      <c r="E51" s="198">
        <v>12802545.528495973</v>
      </c>
      <c r="F51" s="198">
        <v>1491369.907573437</v>
      </c>
      <c r="G51" s="198">
        <v>43716173.06606941</v>
      </c>
      <c r="H51" s="198">
        <v>3642.26</v>
      </c>
      <c r="I51" s="198">
        <v>28719220.1</v>
      </c>
      <c r="J51" s="198">
        <v>14996952.966069408</v>
      </c>
      <c r="K51" s="198">
        <v>240326.59200931084</v>
      </c>
      <c r="L51" s="198">
        <v>2655522.671570387</v>
      </c>
      <c r="M51" s="198">
        <v>-520240.23773468274</v>
      </c>
      <c r="N51" s="198">
        <v>17372561.991914425</v>
      </c>
      <c r="O51" s="198">
        <v>5808527.107818184</v>
      </c>
      <c r="P51" s="198">
        <v>23181089.099732608</v>
      </c>
      <c r="Q51" s="198">
        <v>499</v>
      </c>
      <c r="R51" s="198">
        <v>87</v>
      </c>
      <c r="S51" s="198">
        <v>479</v>
      </c>
      <c r="T51" s="198">
        <v>264</v>
      </c>
      <c r="U51" s="198">
        <v>247</v>
      </c>
      <c r="V51" s="198">
        <v>4289</v>
      </c>
      <c r="W51" s="198">
        <v>1051</v>
      </c>
      <c r="X51" s="198">
        <v>696</v>
      </c>
      <c r="Y51" s="198">
        <v>273</v>
      </c>
      <c r="Z51" s="198">
        <v>7769</v>
      </c>
      <c r="AA51" s="198">
        <v>16</v>
      </c>
      <c r="AB51" s="198">
        <v>0</v>
      </c>
      <c r="AC51" s="198">
        <v>100</v>
      </c>
      <c r="AD51" s="198">
        <v>818.7</v>
      </c>
      <c r="AE51" s="198">
        <v>9.631122511298399</v>
      </c>
      <c r="AF51" s="198">
        <v>2020</v>
      </c>
      <c r="AG51" s="198">
        <v>12802545.528495973</v>
      </c>
      <c r="AH51" s="198">
        <v>7188229.345359886</v>
      </c>
      <c r="AI51" s="198">
        <v>4389756.0997873135</v>
      </c>
      <c r="AJ51" s="198">
        <v>1224560.0833487737</v>
      </c>
      <c r="AK51" s="198">
        <v>308</v>
      </c>
      <c r="AL51" s="198">
        <v>3546</v>
      </c>
      <c r="AM51" s="198">
        <v>0.696771336753668</v>
      </c>
      <c r="AN51" s="198">
        <v>100</v>
      </c>
      <c r="AO51" s="198">
        <v>0.012682308180088777</v>
      </c>
      <c r="AP51" s="198">
        <v>0.010958764574435554</v>
      </c>
      <c r="AQ51" s="198">
        <v>0</v>
      </c>
      <c r="AR51" s="198">
        <v>16</v>
      </c>
      <c r="AS51" s="198">
        <v>0</v>
      </c>
      <c r="AT51" s="198">
        <v>0</v>
      </c>
      <c r="AU51" s="198">
        <v>818.7</v>
      </c>
      <c r="AV51" s="198">
        <v>9.631122511298399</v>
      </c>
      <c r="AW51" s="198">
        <v>1.8691955449389543</v>
      </c>
      <c r="AX51" s="198">
        <v>303</v>
      </c>
      <c r="AY51" s="198">
        <v>2206</v>
      </c>
      <c r="AZ51" s="198">
        <v>0.1373526745240254</v>
      </c>
      <c r="BA51" s="198">
        <v>0.07366381582837321</v>
      </c>
      <c r="BB51" s="198">
        <v>0</v>
      </c>
      <c r="BC51" s="198">
        <v>2865</v>
      </c>
      <c r="BD51" s="198">
        <v>3141</v>
      </c>
      <c r="BE51" s="198">
        <v>0.9121298949379179</v>
      </c>
      <c r="BF51" s="198">
        <v>0.4824910406415293</v>
      </c>
      <c r="BG51" s="198">
        <v>0</v>
      </c>
      <c r="BH51" s="198">
        <v>0</v>
      </c>
      <c r="BI51" s="198">
        <v>-788.5</v>
      </c>
      <c r="BJ51" s="198">
        <v>-1892.3999999999999</v>
      </c>
      <c r="BK51" s="198">
        <v>-32328.499999999996</v>
      </c>
      <c r="BL51" s="198">
        <v>-2917.45</v>
      </c>
      <c r="BM51" s="198">
        <v>-42027.05</v>
      </c>
      <c r="BN51" s="198">
        <v>-946.1999999999999</v>
      </c>
      <c r="BO51" s="198">
        <v>43267</v>
      </c>
      <c r="BP51" s="198">
        <v>189868.21824070066</v>
      </c>
      <c r="BQ51" s="198">
        <v>803207</v>
      </c>
      <c r="BR51" s="198">
        <v>250930</v>
      </c>
      <c r="BS51" s="198">
        <v>682273.5042669581</v>
      </c>
      <c r="BT51" s="198">
        <v>34008.60014658375</v>
      </c>
      <c r="BU51" s="198">
        <v>63114.61856745258</v>
      </c>
      <c r="BV51" s="198">
        <v>296227.31289036083</v>
      </c>
      <c r="BW51" s="198">
        <v>481970.74244914827</v>
      </c>
      <c r="BX51" s="198">
        <v>709.65</v>
      </c>
      <c r="BY51" s="198">
        <v>-40790.924990817</v>
      </c>
      <c r="BZ51" s="198">
        <v>2804785.721570387</v>
      </c>
      <c r="CA51" s="198">
        <v>2655522.671570387</v>
      </c>
      <c r="CB51" s="198">
        <v>-520240.23773468274</v>
      </c>
      <c r="CC51" s="232">
        <v>5808527.107818184</v>
      </c>
      <c r="CD51" s="198">
        <v>1280020</v>
      </c>
      <c r="CE51" s="198">
        <v>44828.712000000014</v>
      </c>
      <c r="CH51" s="198">
        <v>7987</v>
      </c>
    </row>
    <row r="52" spans="1:86" ht="11.25">
      <c r="A52" s="198">
        <v>165</v>
      </c>
      <c r="B52" s="198" t="s">
        <v>128</v>
      </c>
      <c r="C52" s="198">
        <v>16840</v>
      </c>
      <c r="D52" s="198">
        <v>61005182.32</v>
      </c>
      <c r="E52" s="198">
        <v>17801563.274356138</v>
      </c>
      <c r="F52" s="198">
        <v>2814003.45751338</v>
      </c>
      <c r="G52" s="198">
        <v>81620749.05186951</v>
      </c>
      <c r="H52" s="198">
        <v>3642.26</v>
      </c>
      <c r="I52" s="198">
        <v>61335658.400000006</v>
      </c>
      <c r="J52" s="198">
        <v>20285090.651869506</v>
      </c>
      <c r="K52" s="198">
        <v>319499.76257860486</v>
      </c>
      <c r="L52" s="198">
        <v>3081210.1352708605</v>
      </c>
      <c r="M52" s="198">
        <v>0</v>
      </c>
      <c r="N52" s="198">
        <v>23685800.549718972</v>
      </c>
      <c r="O52" s="198">
        <v>3777857.4305365807</v>
      </c>
      <c r="P52" s="198">
        <v>27463657.98025555</v>
      </c>
      <c r="Q52" s="198">
        <v>1085</v>
      </c>
      <c r="R52" s="198">
        <v>195</v>
      </c>
      <c r="S52" s="198">
        <v>1273</v>
      </c>
      <c r="T52" s="198">
        <v>659</v>
      </c>
      <c r="U52" s="198">
        <v>642</v>
      </c>
      <c r="V52" s="198">
        <v>9394</v>
      </c>
      <c r="W52" s="198">
        <v>2069</v>
      </c>
      <c r="X52" s="198">
        <v>1107</v>
      </c>
      <c r="Y52" s="198">
        <v>416</v>
      </c>
      <c r="Z52" s="198">
        <v>16355</v>
      </c>
      <c r="AA52" s="198">
        <v>67</v>
      </c>
      <c r="AB52" s="198">
        <v>0</v>
      </c>
      <c r="AC52" s="198">
        <v>418</v>
      </c>
      <c r="AD52" s="198">
        <v>547.44</v>
      </c>
      <c r="AE52" s="198">
        <v>30.761361975741632</v>
      </c>
      <c r="AF52" s="198">
        <v>3592</v>
      </c>
      <c r="AG52" s="198">
        <v>17801563.274356138</v>
      </c>
      <c r="AH52" s="198">
        <v>10846212.505621403</v>
      </c>
      <c r="AI52" s="198">
        <v>4740720.83076355</v>
      </c>
      <c r="AJ52" s="198">
        <v>2214629.937971186</v>
      </c>
      <c r="AK52" s="198">
        <v>758</v>
      </c>
      <c r="AL52" s="198">
        <v>7991</v>
      </c>
      <c r="AM52" s="198">
        <v>0.7609329080350978</v>
      </c>
      <c r="AN52" s="198">
        <v>418</v>
      </c>
      <c r="AO52" s="198">
        <v>0.02482185273159145</v>
      </c>
      <c r="AP52" s="198">
        <v>0.023098309125938226</v>
      </c>
      <c r="AQ52" s="198">
        <v>0</v>
      </c>
      <c r="AR52" s="198">
        <v>67</v>
      </c>
      <c r="AS52" s="198">
        <v>0</v>
      </c>
      <c r="AT52" s="198">
        <v>0</v>
      </c>
      <c r="AU52" s="198">
        <v>547.44</v>
      </c>
      <c r="AV52" s="198">
        <v>30.761361975741632</v>
      </c>
      <c r="AW52" s="198">
        <v>0.5852293310379738</v>
      </c>
      <c r="AX52" s="198">
        <v>739</v>
      </c>
      <c r="AY52" s="198">
        <v>5479</v>
      </c>
      <c r="AZ52" s="198">
        <v>0.13487862748676765</v>
      </c>
      <c r="BA52" s="198">
        <v>0.07118976879111548</v>
      </c>
      <c r="BB52" s="198">
        <v>0</v>
      </c>
      <c r="BC52" s="198">
        <v>5242</v>
      </c>
      <c r="BD52" s="198">
        <v>7181</v>
      </c>
      <c r="BE52" s="198">
        <v>0.7299818966717727</v>
      </c>
      <c r="BF52" s="198">
        <v>0.3003430423753842</v>
      </c>
      <c r="BG52" s="198">
        <v>0</v>
      </c>
      <c r="BH52" s="198">
        <v>0</v>
      </c>
      <c r="BI52" s="198">
        <v>-1684</v>
      </c>
      <c r="BJ52" s="198">
        <v>-4041.6</v>
      </c>
      <c r="BK52" s="198">
        <v>-69044</v>
      </c>
      <c r="BL52" s="198">
        <v>-6230.8</v>
      </c>
      <c r="BM52" s="198">
        <v>-89757.2</v>
      </c>
      <c r="BN52" s="198">
        <v>-2020.8</v>
      </c>
      <c r="BO52" s="198">
        <v>-107529</v>
      </c>
      <c r="BP52" s="198">
        <v>-98206.12784617394</v>
      </c>
      <c r="BQ52" s="198">
        <v>1200523</v>
      </c>
      <c r="BR52" s="198">
        <v>390977</v>
      </c>
      <c r="BS52" s="198">
        <v>770002.6127360079</v>
      </c>
      <c r="BT52" s="198">
        <v>16847.511053475086</v>
      </c>
      <c r="BU52" s="198">
        <v>79300.42876373355</v>
      </c>
      <c r="BV52" s="198">
        <v>347639.4998992068</v>
      </c>
      <c r="BW52" s="198">
        <v>756977.0501065605</v>
      </c>
      <c r="BX52" s="198">
        <v>1515.6</v>
      </c>
      <c r="BY52" s="198">
        <v>41943.760558050475</v>
      </c>
      <c r="BZ52" s="198">
        <v>3399991.3352708607</v>
      </c>
      <c r="CA52" s="198">
        <v>3081210.1352708605</v>
      </c>
      <c r="CB52" s="198">
        <v>0</v>
      </c>
      <c r="CC52" s="232">
        <v>3777857.4305365807</v>
      </c>
      <c r="CD52" s="198">
        <v>-3083606</v>
      </c>
      <c r="CE52" s="198">
        <v>-119742.47071999992</v>
      </c>
      <c r="CH52" s="198">
        <v>16842</v>
      </c>
    </row>
    <row r="53" spans="1:86" ht="11.25">
      <c r="A53" s="198">
        <v>167</v>
      </c>
      <c r="B53" s="198" t="s">
        <v>129</v>
      </c>
      <c r="C53" s="198">
        <v>75041</v>
      </c>
      <c r="D53" s="198">
        <v>245005919.65999997</v>
      </c>
      <c r="E53" s="198">
        <v>100757167.80070296</v>
      </c>
      <c r="F53" s="198">
        <v>17094171.51058247</v>
      </c>
      <c r="G53" s="198">
        <v>362857258.97128534</v>
      </c>
      <c r="H53" s="198">
        <v>3642.26</v>
      </c>
      <c r="I53" s="198">
        <v>273318832.66</v>
      </c>
      <c r="J53" s="198">
        <v>89538426.31128532</v>
      </c>
      <c r="K53" s="198">
        <v>3385692.8370890305</v>
      </c>
      <c r="L53" s="198">
        <v>19124223.033163555</v>
      </c>
      <c r="M53" s="198">
        <v>-1009054.0453573617</v>
      </c>
      <c r="N53" s="198">
        <v>111039288.13618053</v>
      </c>
      <c r="O53" s="198">
        <v>33607488.58692682</v>
      </c>
      <c r="P53" s="198">
        <v>144646776.72310734</v>
      </c>
      <c r="Q53" s="198">
        <v>4439</v>
      </c>
      <c r="R53" s="198">
        <v>683</v>
      </c>
      <c r="S53" s="198">
        <v>4267</v>
      </c>
      <c r="T53" s="198">
        <v>2197</v>
      </c>
      <c r="U53" s="198">
        <v>2583</v>
      </c>
      <c r="V53" s="198">
        <v>46439</v>
      </c>
      <c r="W53" s="198">
        <v>7993</v>
      </c>
      <c r="X53" s="198">
        <v>4632</v>
      </c>
      <c r="Y53" s="198">
        <v>1808</v>
      </c>
      <c r="Z53" s="198">
        <v>72033</v>
      </c>
      <c r="AA53" s="198">
        <v>56</v>
      </c>
      <c r="AB53" s="198">
        <v>3</v>
      </c>
      <c r="AC53" s="198">
        <v>2949</v>
      </c>
      <c r="AD53" s="198">
        <v>2381.65</v>
      </c>
      <c r="AE53" s="198">
        <v>31.507988159469274</v>
      </c>
      <c r="AF53" s="198">
        <v>14433</v>
      </c>
      <c r="AG53" s="198">
        <v>100757167.80070296</v>
      </c>
      <c r="AH53" s="198">
        <v>60661467.233818315</v>
      </c>
      <c r="AI53" s="198">
        <v>28805430.294874676</v>
      </c>
      <c r="AJ53" s="198">
        <v>11290270.272009969</v>
      </c>
      <c r="AK53" s="198">
        <v>5651</v>
      </c>
      <c r="AL53" s="198">
        <v>34909</v>
      </c>
      <c r="AM53" s="198">
        <v>1.2985724670680123</v>
      </c>
      <c r="AN53" s="198">
        <v>2949</v>
      </c>
      <c r="AO53" s="198">
        <v>0.03929851681081009</v>
      </c>
      <c r="AP53" s="198">
        <v>0.03757497320515687</v>
      </c>
      <c r="AQ53" s="198">
        <v>0</v>
      </c>
      <c r="AR53" s="198">
        <v>56</v>
      </c>
      <c r="AS53" s="198">
        <v>3</v>
      </c>
      <c r="AT53" s="198">
        <v>0</v>
      </c>
      <c r="AU53" s="198">
        <v>2381.65</v>
      </c>
      <c r="AV53" s="198">
        <v>31.507988159469274</v>
      </c>
      <c r="AW53" s="198">
        <v>0.5713614972738227</v>
      </c>
      <c r="AX53" s="198">
        <v>2092</v>
      </c>
      <c r="AY53" s="198">
        <v>21364</v>
      </c>
      <c r="AZ53" s="198">
        <v>0.09792173750234039</v>
      </c>
      <c r="BA53" s="198">
        <v>0.03423287880668821</v>
      </c>
      <c r="BB53" s="198">
        <v>0</v>
      </c>
      <c r="BC53" s="198">
        <v>33274</v>
      </c>
      <c r="BD53" s="198">
        <v>29089</v>
      </c>
      <c r="BE53" s="198">
        <v>1.1438688163910757</v>
      </c>
      <c r="BF53" s="198">
        <v>0.7142299620946873</v>
      </c>
      <c r="BG53" s="198">
        <v>0</v>
      </c>
      <c r="BH53" s="198">
        <v>3</v>
      </c>
      <c r="BI53" s="198">
        <v>-7504.1</v>
      </c>
      <c r="BJ53" s="198">
        <v>-18009.84</v>
      </c>
      <c r="BK53" s="198">
        <v>-307668.1</v>
      </c>
      <c r="BL53" s="198">
        <v>-27765.17</v>
      </c>
      <c r="BM53" s="198">
        <v>-399968.53</v>
      </c>
      <c r="BN53" s="198">
        <v>-9004.92</v>
      </c>
      <c r="BO53" s="198">
        <v>1312533</v>
      </c>
      <c r="BP53" s="198">
        <v>12210.197223514318</v>
      </c>
      <c r="BQ53" s="198">
        <v>5466814</v>
      </c>
      <c r="BR53" s="198">
        <v>1850095</v>
      </c>
      <c r="BS53" s="198">
        <v>4594015.07155131</v>
      </c>
      <c r="BT53" s="198">
        <v>215631.76150351088</v>
      </c>
      <c r="BU53" s="198">
        <v>465003.0000221078</v>
      </c>
      <c r="BV53" s="198">
        <v>2009551.502761441</v>
      </c>
      <c r="BW53" s="198">
        <v>3910131.3200787753</v>
      </c>
      <c r="BX53" s="198">
        <v>6753.69</v>
      </c>
      <c r="BY53" s="198">
        <v>702010.620022894</v>
      </c>
      <c r="BZ53" s="198">
        <v>20544749.163163554</v>
      </c>
      <c r="CA53" s="198">
        <v>19124223.033163555</v>
      </c>
      <c r="CB53" s="198">
        <v>-1009054.0453573617</v>
      </c>
      <c r="CC53" s="232">
        <v>33607488.58692682</v>
      </c>
      <c r="CD53" s="198">
        <v>-5185357</v>
      </c>
      <c r="CE53" s="198">
        <v>-6033199.9804839995</v>
      </c>
      <c r="CH53" s="198">
        <v>74471</v>
      </c>
    </row>
    <row r="54" spans="1:86" ht="11.25">
      <c r="A54" s="198">
        <v>169</v>
      </c>
      <c r="B54" s="198" t="s">
        <v>130</v>
      </c>
      <c r="C54" s="198">
        <v>5516</v>
      </c>
      <c r="D54" s="198">
        <v>20901434.119999997</v>
      </c>
      <c r="E54" s="198">
        <v>5593567.854815694</v>
      </c>
      <c r="F54" s="198">
        <v>891327.6260495749</v>
      </c>
      <c r="G54" s="198">
        <v>27386329.600865263</v>
      </c>
      <c r="H54" s="198">
        <v>3642.26</v>
      </c>
      <c r="I54" s="198">
        <v>20090706.16</v>
      </c>
      <c r="J54" s="198">
        <v>7295623.440865263</v>
      </c>
      <c r="K54" s="198">
        <v>121389.68294398976</v>
      </c>
      <c r="L54" s="198">
        <v>1492035.0518164411</v>
      </c>
      <c r="M54" s="198">
        <v>0</v>
      </c>
      <c r="N54" s="198">
        <v>8909048.175625693</v>
      </c>
      <c r="O54" s="198">
        <v>2106432.547609758</v>
      </c>
      <c r="P54" s="198">
        <v>11015480.72323545</v>
      </c>
      <c r="Q54" s="198">
        <v>351</v>
      </c>
      <c r="R54" s="198">
        <v>59</v>
      </c>
      <c r="S54" s="198">
        <v>414</v>
      </c>
      <c r="T54" s="198">
        <v>236</v>
      </c>
      <c r="U54" s="198">
        <v>231</v>
      </c>
      <c r="V54" s="198">
        <v>3033</v>
      </c>
      <c r="W54" s="198">
        <v>636</v>
      </c>
      <c r="X54" s="198">
        <v>385</v>
      </c>
      <c r="Y54" s="198">
        <v>171</v>
      </c>
      <c r="Z54" s="198">
        <v>5402</v>
      </c>
      <c r="AA54" s="198">
        <v>25</v>
      </c>
      <c r="AB54" s="198">
        <v>0</v>
      </c>
      <c r="AC54" s="198">
        <v>89</v>
      </c>
      <c r="AD54" s="198">
        <v>180.43</v>
      </c>
      <c r="AE54" s="198">
        <v>30.5714127362412</v>
      </c>
      <c r="AF54" s="198">
        <v>1192</v>
      </c>
      <c r="AG54" s="198">
        <v>5593567.854815694</v>
      </c>
      <c r="AH54" s="198">
        <v>3472459.2475771466</v>
      </c>
      <c r="AI54" s="198">
        <v>1582649.5634965328</v>
      </c>
      <c r="AJ54" s="198">
        <v>538459.0437420139</v>
      </c>
      <c r="AK54" s="198">
        <v>280</v>
      </c>
      <c r="AL54" s="198">
        <v>2704</v>
      </c>
      <c r="AM54" s="198">
        <v>0.8306721221518647</v>
      </c>
      <c r="AN54" s="198">
        <v>89</v>
      </c>
      <c r="AO54" s="198">
        <v>0.016134880348078317</v>
      </c>
      <c r="AP54" s="198">
        <v>0.014411336742425094</v>
      </c>
      <c r="AQ54" s="198">
        <v>0</v>
      </c>
      <c r="AR54" s="198">
        <v>25</v>
      </c>
      <c r="AS54" s="198">
        <v>0</v>
      </c>
      <c r="AT54" s="198">
        <v>0</v>
      </c>
      <c r="AU54" s="198">
        <v>180.43</v>
      </c>
      <c r="AV54" s="198">
        <v>30.5714127362412</v>
      </c>
      <c r="AW54" s="198">
        <v>0.5888655341576363</v>
      </c>
      <c r="AX54" s="198">
        <v>251</v>
      </c>
      <c r="AY54" s="198">
        <v>1710</v>
      </c>
      <c r="AZ54" s="198">
        <v>0.14678362573099416</v>
      </c>
      <c r="BA54" s="198">
        <v>0.08309476703534198</v>
      </c>
      <c r="BB54" s="198">
        <v>0</v>
      </c>
      <c r="BC54" s="198">
        <v>1833</v>
      </c>
      <c r="BD54" s="198">
        <v>2356</v>
      </c>
      <c r="BE54" s="198">
        <v>0.7780135823429541</v>
      </c>
      <c r="BF54" s="198">
        <v>0.3483747280465656</v>
      </c>
      <c r="BG54" s="198">
        <v>0</v>
      </c>
      <c r="BH54" s="198">
        <v>0</v>
      </c>
      <c r="BI54" s="198">
        <v>-551.6</v>
      </c>
      <c r="BJ54" s="198">
        <v>-1323.84</v>
      </c>
      <c r="BK54" s="198">
        <v>-22615.6</v>
      </c>
      <c r="BL54" s="198">
        <v>-2040.92</v>
      </c>
      <c r="BM54" s="198">
        <v>-29400.28</v>
      </c>
      <c r="BN54" s="198">
        <v>-661.92</v>
      </c>
      <c r="BO54" s="198">
        <v>-15340</v>
      </c>
      <c r="BP54" s="198">
        <v>222840.09286955744</v>
      </c>
      <c r="BQ54" s="198">
        <v>431133</v>
      </c>
      <c r="BR54" s="198">
        <v>139452</v>
      </c>
      <c r="BS54" s="198">
        <v>326940.78055129474</v>
      </c>
      <c r="BT54" s="198">
        <v>12066.66858147358</v>
      </c>
      <c r="BU54" s="198">
        <v>33921.12678390197</v>
      </c>
      <c r="BV54" s="198">
        <v>152770.26811155965</v>
      </c>
      <c r="BW54" s="198">
        <v>279533.40909862466</v>
      </c>
      <c r="BX54" s="198">
        <v>496.44</v>
      </c>
      <c r="BY54" s="198">
        <v>12639.145820028927</v>
      </c>
      <c r="BZ54" s="198">
        <v>1596452.931816441</v>
      </c>
      <c r="CA54" s="198">
        <v>1492035.0518164411</v>
      </c>
      <c r="CB54" s="198">
        <v>0</v>
      </c>
      <c r="CC54" s="232">
        <v>2106432.547609758</v>
      </c>
      <c r="CD54" s="198">
        <v>-1284734</v>
      </c>
      <c r="CE54" s="198">
        <v>-79060.41458</v>
      </c>
      <c r="CH54" s="198">
        <v>5595</v>
      </c>
    </row>
    <row r="55" spans="1:86" ht="11.25">
      <c r="A55" s="198">
        <v>171</v>
      </c>
      <c r="B55" s="198" t="s">
        <v>131</v>
      </c>
      <c r="C55" s="198">
        <v>5178</v>
      </c>
      <c r="D55" s="198">
        <v>18465825.09</v>
      </c>
      <c r="E55" s="198">
        <v>8131435.95951492</v>
      </c>
      <c r="F55" s="198">
        <v>1266120.212530311</v>
      </c>
      <c r="G55" s="198">
        <v>27863381.26204523</v>
      </c>
      <c r="H55" s="198">
        <v>3642.26</v>
      </c>
      <c r="I55" s="198">
        <v>18859622.28</v>
      </c>
      <c r="J55" s="198">
        <v>9003758.98204523</v>
      </c>
      <c r="K55" s="198">
        <v>116105.54906149287</v>
      </c>
      <c r="L55" s="198">
        <v>1331542.0093556226</v>
      </c>
      <c r="M55" s="198">
        <v>-163610.74322284205</v>
      </c>
      <c r="N55" s="198">
        <v>10287795.797239503</v>
      </c>
      <c r="O55" s="198">
        <v>2908952.196839509</v>
      </c>
      <c r="P55" s="198">
        <v>13196747.994079012</v>
      </c>
      <c r="Q55" s="198">
        <v>278</v>
      </c>
      <c r="R55" s="198">
        <v>53</v>
      </c>
      <c r="S55" s="198">
        <v>330</v>
      </c>
      <c r="T55" s="198">
        <v>165</v>
      </c>
      <c r="U55" s="198">
        <v>181</v>
      </c>
      <c r="V55" s="198">
        <v>2855</v>
      </c>
      <c r="W55" s="198">
        <v>733</v>
      </c>
      <c r="X55" s="198">
        <v>425</v>
      </c>
      <c r="Y55" s="198">
        <v>158</v>
      </c>
      <c r="Z55" s="198">
        <v>5053</v>
      </c>
      <c r="AA55" s="198">
        <v>18</v>
      </c>
      <c r="AB55" s="198">
        <v>0</v>
      </c>
      <c r="AC55" s="198">
        <v>107</v>
      </c>
      <c r="AD55" s="198">
        <v>575.19</v>
      </c>
      <c r="AE55" s="198">
        <v>9.002242737182495</v>
      </c>
      <c r="AF55" s="198">
        <v>1316</v>
      </c>
      <c r="AG55" s="198">
        <v>8131435.95951492</v>
      </c>
      <c r="AH55" s="198">
        <v>4495690.221854061</v>
      </c>
      <c r="AI55" s="198">
        <v>2767263.4090447077</v>
      </c>
      <c r="AJ55" s="198">
        <v>868482.3286161514</v>
      </c>
      <c r="AK55" s="198">
        <v>284</v>
      </c>
      <c r="AL55" s="198">
        <v>2292</v>
      </c>
      <c r="AM55" s="198">
        <v>0.9939900068511817</v>
      </c>
      <c r="AN55" s="198">
        <v>107</v>
      </c>
      <c r="AO55" s="198">
        <v>0.02066434916956354</v>
      </c>
      <c r="AP55" s="198">
        <v>0.018940805563910316</v>
      </c>
      <c r="AQ55" s="198">
        <v>0</v>
      </c>
      <c r="AR55" s="198">
        <v>18</v>
      </c>
      <c r="AS55" s="198">
        <v>0</v>
      </c>
      <c r="AT55" s="198">
        <v>0</v>
      </c>
      <c r="AU55" s="198">
        <v>575.19</v>
      </c>
      <c r="AV55" s="198">
        <v>9.002242737182495</v>
      </c>
      <c r="AW55" s="198">
        <v>1.9997740359214768</v>
      </c>
      <c r="AX55" s="198">
        <v>237</v>
      </c>
      <c r="AY55" s="198">
        <v>1522</v>
      </c>
      <c r="AZ55" s="198">
        <v>0.1557161629434954</v>
      </c>
      <c r="BA55" s="198">
        <v>0.09202730424784324</v>
      </c>
      <c r="BB55" s="198">
        <v>0</v>
      </c>
      <c r="BC55" s="198">
        <v>1508</v>
      </c>
      <c r="BD55" s="198">
        <v>1922</v>
      </c>
      <c r="BE55" s="198">
        <v>0.7845993756503642</v>
      </c>
      <c r="BF55" s="198">
        <v>0.35496052135397566</v>
      </c>
      <c r="BG55" s="198">
        <v>0</v>
      </c>
      <c r="BH55" s="198">
        <v>0</v>
      </c>
      <c r="BI55" s="198">
        <v>-517.8000000000001</v>
      </c>
      <c r="BJ55" s="198">
        <v>-1242.72</v>
      </c>
      <c r="BK55" s="198">
        <v>-21229.8</v>
      </c>
      <c r="BL55" s="198">
        <v>-1915.86</v>
      </c>
      <c r="BM55" s="198">
        <v>-27598.74</v>
      </c>
      <c r="BN55" s="198">
        <v>-621.36</v>
      </c>
      <c r="BO55" s="198">
        <v>-25108</v>
      </c>
      <c r="BP55" s="198">
        <v>-48409.14895039052</v>
      </c>
      <c r="BQ55" s="198">
        <v>458018</v>
      </c>
      <c r="BR55" s="198">
        <v>146662</v>
      </c>
      <c r="BS55" s="198">
        <v>360067.20291200245</v>
      </c>
      <c r="BT55" s="198">
        <v>19282.32906391698</v>
      </c>
      <c r="BU55" s="198">
        <v>64627.10886705624</v>
      </c>
      <c r="BV55" s="198">
        <v>183244.2423845158</v>
      </c>
      <c r="BW55" s="198">
        <v>272225.0688752511</v>
      </c>
      <c r="BX55" s="198">
        <v>466.02</v>
      </c>
      <c r="BY55" s="198">
        <v>-1513.2737967293433</v>
      </c>
      <c r="BZ55" s="198">
        <v>1429561.5493556226</v>
      </c>
      <c r="CA55" s="198">
        <v>1331542.0093556226</v>
      </c>
      <c r="CB55" s="198">
        <v>-163610.74322284205</v>
      </c>
      <c r="CC55" s="232">
        <v>2908952.196839509</v>
      </c>
      <c r="CD55" s="198">
        <v>-589235</v>
      </c>
      <c r="CE55" s="198">
        <v>55388.36416000001</v>
      </c>
      <c r="CH55" s="198">
        <v>5213</v>
      </c>
    </row>
    <row r="56" spans="1:86" ht="11.25">
      <c r="A56" s="198">
        <v>172</v>
      </c>
      <c r="B56" s="198" t="s">
        <v>132</v>
      </c>
      <c r="C56" s="198">
        <v>4782</v>
      </c>
      <c r="D56" s="198">
        <v>17905325.43</v>
      </c>
      <c r="E56" s="198">
        <v>7869622.64948658</v>
      </c>
      <c r="F56" s="198">
        <v>1526888.877238512</v>
      </c>
      <c r="G56" s="198">
        <v>27301836.95672509</v>
      </c>
      <c r="H56" s="198">
        <v>3642.26</v>
      </c>
      <c r="I56" s="198">
        <v>17417287.32</v>
      </c>
      <c r="J56" s="198">
        <v>9884549.63672509</v>
      </c>
      <c r="K56" s="198">
        <v>562674.0174022468</v>
      </c>
      <c r="L56" s="198">
        <v>1525799.3027736773</v>
      </c>
      <c r="M56" s="198">
        <v>0</v>
      </c>
      <c r="N56" s="198">
        <v>11973022.956901014</v>
      </c>
      <c r="O56" s="198">
        <v>4021063.930666668</v>
      </c>
      <c r="P56" s="198">
        <v>15994086.887567682</v>
      </c>
      <c r="Q56" s="198">
        <v>198</v>
      </c>
      <c r="R56" s="198">
        <v>38</v>
      </c>
      <c r="S56" s="198">
        <v>249</v>
      </c>
      <c r="T56" s="198">
        <v>120</v>
      </c>
      <c r="U56" s="198">
        <v>133</v>
      </c>
      <c r="V56" s="198">
        <v>2432</v>
      </c>
      <c r="W56" s="198">
        <v>867</v>
      </c>
      <c r="X56" s="198">
        <v>525</v>
      </c>
      <c r="Y56" s="198">
        <v>220</v>
      </c>
      <c r="Z56" s="198">
        <v>4698</v>
      </c>
      <c r="AA56" s="198">
        <v>12</v>
      </c>
      <c r="AB56" s="198">
        <v>0</v>
      </c>
      <c r="AC56" s="198">
        <v>72</v>
      </c>
      <c r="AD56" s="198">
        <v>867.16</v>
      </c>
      <c r="AE56" s="198">
        <v>5.514553254301398</v>
      </c>
      <c r="AF56" s="198">
        <v>1612</v>
      </c>
      <c r="AG56" s="198">
        <v>7869622.64948658</v>
      </c>
      <c r="AH56" s="198">
        <v>4701779.05482282</v>
      </c>
      <c r="AI56" s="198">
        <v>2516481.848201646</v>
      </c>
      <c r="AJ56" s="198">
        <v>651361.7464621136</v>
      </c>
      <c r="AK56" s="198">
        <v>303</v>
      </c>
      <c r="AL56" s="198">
        <v>2014</v>
      </c>
      <c r="AM56" s="198">
        <v>1.2068726729757564</v>
      </c>
      <c r="AN56" s="198">
        <v>72</v>
      </c>
      <c r="AO56" s="198">
        <v>0.015056461731493099</v>
      </c>
      <c r="AP56" s="198">
        <v>0.013332918125839876</v>
      </c>
      <c r="AQ56" s="198">
        <v>0</v>
      </c>
      <c r="AR56" s="198">
        <v>12</v>
      </c>
      <c r="AS56" s="198">
        <v>0</v>
      </c>
      <c r="AT56" s="198">
        <v>1</v>
      </c>
      <c r="AU56" s="198">
        <v>867.16</v>
      </c>
      <c r="AV56" s="198">
        <v>5.514553254301398</v>
      </c>
      <c r="AW56" s="198">
        <v>3.2645348518192616</v>
      </c>
      <c r="AX56" s="198">
        <v>247</v>
      </c>
      <c r="AY56" s="198">
        <v>1265</v>
      </c>
      <c r="AZ56" s="198">
        <v>0.19525691699604744</v>
      </c>
      <c r="BA56" s="198">
        <v>0.13156805830039525</v>
      </c>
      <c r="BB56" s="198">
        <v>0.42745</v>
      </c>
      <c r="BC56" s="198">
        <v>1475</v>
      </c>
      <c r="BD56" s="198">
        <v>1669</v>
      </c>
      <c r="BE56" s="198">
        <v>0.883762732174955</v>
      </c>
      <c r="BF56" s="198">
        <v>0.4541238778785665</v>
      </c>
      <c r="BG56" s="198">
        <v>0</v>
      </c>
      <c r="BH56" s="198">
        <v>0</v>
      </c>
      <c r="BI56" s="198">
        <v>-478.20000000000005</v>
      </c>
      <c r="BJ56" s="198">
        <v>-1147.68</v>
      </c>
      <c r="BK56" s="198">
        <v>-19606.199999999997</v>
      </c>
      <c r="BL56" s="198">
        <v>-1769.34</v>
      </c>
      <c r="BM56" s="198">
        <v>-25488.06</v>
      </c>
      <c r="BN56" s="198">
        <v>-573.84</v>
      </c>
      <c r="BO56" s="198">
        <v>46067</v>
      </c>
      <c r="BP56" s="198">
        <v>-40989.04836730845</v>
      </c>
      <c r="BQ56" s="198">
        <v>509443</v>
      </c>
      <c r="BR56" s="198">
        <v>157472</v>
      </c>
      <c r="BS56" s="198">
        <v>386498.84245449177</v>
      </c>
      <c r="BT56" s="198">
        <v>20618.110462585326</v>
      </c>
      <c r="BU56" s="198">
        <v>40447.19861348784</v>
      </c>
      <c r="BV56" s="198">
        <v>194577.63640664515</v>
      </c>
      <c r="BW56" s="198">
        <v>283135.6285999148</v>
      </c>
      <c r="BX56" s="198">
        <v>430.38</v>
      </c>
      <c r="BY56" s="198">
        <v>18621.81460386124</v>
      </c>
      <c r="BZ56" s="198">
        <v>1616322.5627736773</v>
      </c>
      <c r="CA56" s="198">
        <v>1525799.3027736773</v>
      </c>
      <c r="CB56" s="198">
        <v>0</v>
      </c>
      <c r="CC56" s="232">
        <v>4021063.930666668</v>
      </c>
      <c r="CD56" s="198">
        <v>-220032</v>
      </c>
      <c r="CE56" s="198">
        <v>120290.37720000005</v>
      </c>
      <c r="CH56" s="198">
        <v>4857</v>
      </c>
    </row>
    <row r="57" spans="1:86" ht="11.25">
      <c r="A57" s="198">
        <v>174</v>
      </c>
      <c r="B57" s="198" t="s">
        <v>133</v>
      </c>
      <c r="C57" s="198">
        <v>4882</v>
      </c>
      <c r="D57" s="198">
        <v>17432685.85</v>
      </c>
      <c r="E57" s="198">
        <v>10048423.10494842</v>
      </c>
      <c r="F57" s="198">
        <v>1143206.5964487144</v>
      </c>
      <c r="G57" s="198">
        <v>28624315.551397137</v>
      </c>
      <c r="H57" s="198">
        <v>3642.26</v>
      </c>
      <c r="I57" s="198">
        <v>17781513.32</v>
      </c>
      <c r="J57" s="198">
        <v>10842802.231397137</v>
      </c>
      <c r="K57" s="198">
        <v>147209.06725013754</v>
      </c>
      <c r="L57" s="198">
        <v>1705680.6516539932</v>
      </c>
      <c r="M57" s="198">
        <v>-651991.7541647815</v>
      </c>
      <c r="N57" s="198">
        <v>12043700.196136488</v>
      </c>
      <c r="O57" s="198">
        <v>3948136.351813953</v>
      </c>
      <c r="P57" s="198">
        <v>15991836.547950441</v>
      </c>
      <c r="Q57" s="198">
        <v>207</v>
      </c>
      <c r="R57" s="198">
        <v>46</v>
      </c>
      <c r="S57" s="198">
        <v>230</v>
      </c>
      <c r="T57" s="198">
        <v>154</v>
      </c>
      <c r="U57" s="198">
        <v>150</v>
      </c>
      <c r="V57" s="198">
        <v>2695</v>
      </c>
      <c r="W57" s="198">
        <v>757</v>
      </c>
      <c r="X57" s="198">
        <v>454</v>
      </c>
      <c r="Y57" s="198">
        <v>189</v>
      </c>
      <c r="Z57" s="198">
        <v>4798</v>
      </c>
      <c r="AA57" s="198">
        <v>1</v>
      </c>
      <c r="AB57" s="198">
        <v>0</v>
      </c>
      <c r="AC57" s="198">
        <v>83</v>
      </c>
      <c r="AD57" s="198">
        <v>465.32</v>
      </c>
      <c r="AE57" s="198">
        <v>10.491704633370583</v>
      </c>
      <c r="AF57" s="198">
        <v>1400</v>
      </c>
      <c r="AG57" s="198">
        <v>10048423.10494842</v>
      </c>
      <c r="AH57" s="198">
        <v>6106250.7603259785</v>
      </c>
      <c r="AI57" s="198">
        <v>2847884.6105660927</v>
      </c>
      <c r="AJ57" s="198">
        <v>1094287.7340563508</v>
      </c>
      <c r="AK57" s="198">
        <v>346</v>
      </c>
      <c r="AL57" s="198">
        <v>2234</v>
      </c>
      <c r="AM57" s="198">
        <v>1.2424279746951818</v>
      </c>
      <c r="AN57" s="198">
        <v>83</v>
      </c>
      <c r="AO57" s="198">
        <v>0.01700122900450635</v>
      </c>
      <c r="AP57" s="198">
        <v>0.015277685398853127</v>
      </c>
      <c r="AQ57" s="198">
        <v>0</v>
      </c>
      <c r="AR57" s="198">
        <v>1</v>
      </c>
      <c r="AS57" s="198">
        <v>0</v>
      </c>
      <c r="AT57" s="198">
        <v>0</v>
      </c>
      <c r="AU57" s="198">
        <v>465.32</v>
      </c>
      <c r="AV57" s="198">
        <v>10.491704633370583</v>
      </c>
      <c r="AW57" s="198">
        <v>1.715874771542891</v>
      </c>
      <c r="AX57" s="198">
        <v>169</v>
      </c>
      <c r="AY57" s="198">
        <v>1390</v>
      </c>
      <c r="AZ57" s="198">
        <v>0.12158273381294964</v>
      </c>
      <c r="BA57" s="198">
        <v>0.05789387511729746</v>
      </c>
      <c r="BB57" s="198">
        <v>0</v>
      </c>
      <c r="BC57" s="198">
        <v>1599</v>
      </c>
      <c r="BD57" s="198">
        <v>1763</v>
      </c>
      <c r="BE57" s="198">
        <v>0.9069767441860465</v>
      </c>
      <c r="BF57" s="198">
        <v>0.4773378898896579</v>
      </c>
      <c r="BG57" s="198">
        <v>0</v>
      </c>
      <c r="BH57" s="198">
        <v>0</v>
      </c>
      <c r="BI57" s="198">
        <v>-488.20000000000005</v>
      </c>
      <c r="BJ57" s="198">
        <v>-1171.68</v>
      </c>
      <c r="BK57" s="198">
        <v>-20016.199999999997</v>
      </c>
      <c r="BL57" s="198">
        <v>-1806.34</v>
      </c>
      <c r="BM57" s="198">
        <v>-26021.06</v>
      </c>
      <c r="BN57" s="198">
        <v>-585.84</v>
      </c>
      <c r="BO57" s="198">
        <v>135876</v>
      </c>
      <c r="BP57" s="198">
        <v>113452.5180101823</v>
      </c>
      <c r="BQ57" s="198">
        <v>471130</v>
      </c>
      <c r="BR57" s="198">
        <v>148379</v>
      </c>
      <c r="BS57" s="198">
        <v>374661.41922623804</v>
      </c>
      <c r="BT57" s="198">
        <v>20210.97692820122</v>
      </c>
      <c r="BU57" s="198">
        <v>62720.094174118116</v>
      </c>
      <c r="BV57" s="198">
        <v>182573.55877437862</v>
      </c>
      <c r="BW57" s="198">
        <v>261134.69743520115</v>
      </c>
      <c r="BX57" s="198">
        <v>439.38</v>
      </c>
      <c r="BY57" s="198">
        <v>27519.267105673865</v>
      </c>
      <c r="BZ57" s="198">
        <v>1798096.9116539932</v>
      </c>
      <c r="CA57" s="198">
        <v>1705680.6516539932</v>
      </c>
      <c r="CB57" s="198">
        <v>-651991.7541647815</v>
      </c>
      <c r="CC57" s="232">
        <v>3948136.351813953</v>
      </c>
      <c r="CD57" s="198">
        <v>-571962</v>
      </c>
      <c r="CE57" s="198">
        <v>899438.2966000001</v>
      </c>
      <c r="CH57" s="198">
        <v>4995</v>
      </c>
    </row>
    <row r="58" spans="1:86" ht="11.25">
      <c r="A58" s="198">
        <v>176</v>
      </c>
      <c r="B58" s="198" t="s">
        <v>134</v>
      </c>
      <c r="C58" s="198">
        <v>5140</v>
      </c>
      <c r="D58" s="198">
        <v>18551680.7</v>
      </c>
      <c r="E58" s="198">
        <v>11091351.868464548</v>
      </c>
      <c r="F58" s="198">
        <v>2176398.251517061</v>
      </c>
      <c r="G58" s="198">
        <v>31819430.81998161</v>
      </c>
      <c r="H58" s="198">
        <v>3642.26</v>
      </c>
      <c r="I58" s="198">
        <v>18721216.400000002</v>
      </c>
      <c r="J58" s="198">
        <v>13098214.419981606</v>
      </c>
      <c r="K58" s="198">
        <v>1236630.424929499</v>
      </c>
      <c r="L58" s="198">
        <v>2133639.3486568434</v>
      </c>
      <c r="M58" s="198">
        <v>0</v>
      </c>
      <c r="N58" s="198">
        <v>16468484.19356795</v>
      </c>
      <c r="O58" s="198">
        <v>4625934.007710843</v>
      </c>
      <c r="P58" s="198">
        <v>21094418.201278795</v>
      </c>
      <c r="Q58" s="198">
        <v>172</v>
      </c>
      <c r="R58" s="198">
        <v>40</v>
      </c>
      <c r="S58" s="198">
        <v>283</v>
      </c>
      <c r="T58" s="198">
        <v>127</v>
      </c>
      <c r="U58" s="198">
        <v>160</v>
      </c>
      <c r="V58" s="198">
        <v>2739</v>
      </c>
      <c r="W58" s="198">
        <v>859</v>
      </c>
      <c r="X58" s="198">
        <v>540</v>
      </c>
      <c r="Y58" s="198">
        <v>220</v>
      </c>
      <c r="Z58" s="198">
        <v>5037</v>
      </c>
      <c r="AA58" s="198">
        <v>3</v>
      </c>
      <c r="AB58" s="198">
        <v>0</v>
      </c>
      <c r="AC58" s="198">
        <v>100</v>
      </c>
      <c r="AD58" s="198">
        <v>1501.76</v>
      </c>
      <c r="AE58" s="198">
        <v>3.4226507564457704</v>
      </c>
      <c r="AF58" s="198">
        <v>1619</v>
      </c>
      <c r="AG58" s="198">
        <v>11091351.868464548</v>
      </c>
      <c r="AH58" s="198">
        <v>6483160.320692644</v>
      </c>
      <c r="AI58" s="198">
        <v>3322837.701420001</v>
      </c>
      <c r="AJ58" s="198">
        <v>1285353.8463519039</v>
      </c>
      <c r="AK58" s="198">
        <v>367</v>
      </c>
      <c r="AL58" s="198">
        <v>2068</v>
      </c>
      <c r="AM58" s="198">
        <v>1.4236191498266124</v>
      </c>
      <c r="AN58" s="198">
        <v>100</v>
      </c>
      <c r="AO58" s="198">
        <v>0.019455252918287938</v>
      </c>
      <c r="AP58" s="198">
        <v>0.017731709312634715</v>
      </c>
      <c r="AQ58" s="198">
        <v>0</v>
      </c>
      <c r="AR58" s="198">
        <v>3</v>
      </c>
      <c r="AS58" s="198">
        <v>0</v>
      </c>
      <c r="AT58" s="198">
        <v>1</v>
      </c>
      <c r="AU58" s="198">
        <v>1501.76</v>
      </c>
      <c r="AV58" s="198">
        <v>3.4226507564457704</v>
      </c>
      <c r="AW58" s="198">
        <v>5.259797908675547</v>
      </c>
      <c r="AX58" s="198">
        <v>261</v>
      </c>
      <c r="AY58" s="198">
        <v>1380</v>
      </c>
      <c r="AZ58" s="198">
        <v>0.1891304347826087</v>
      </c>
      <c r="BA58" s="198">
        <v>0.1254415760869565</v>
      </c>
      <c r="BB58" s="198">
        <v>0.9867833333333333</v>
      </c>
      <c r="BC58" s="198">
        <v>1615</v>
      </c>
      <c r="BD58" s="198">
        <v>1637</v>
      </c>
      <c r="BE58" s="198">
        <v>0.9865607819181429</v>
      </c>
      <c r="BF58" s="198">
        <v>0.5569219276217543</v>
      </c>
      <c r="BG58" s="198">
        <v>0</v>
      </c>
      <c r="BH58" s="198">
        <v>0</v>
      </c>
      <c r="BI58" s="198">
        <v>-514</v>
      </c>
      <c r="BJ58" s="198">
        <v>-1233.6</v>
      </c>
      <c r="BK58" s="198">
        <v>-21073.999999999996</v>
      </c>
      <c r="BL58" s="198">
        <v>-1901.8</v>
      </c>
      <c r="BM58" s="198">
        <v>-27396.2</v>
      </c>
      <c r="BN58" s="198">
        <v>-616.8</v>
      </c>
      <c r="BO58" s="198">
        <v>323163</v>
      </c>
      <c r="BP58" s="198">
        <v>155506.09383029118</v>
      </c>
      <c r="BQ58" s="198">
        <v>547362</v>
      </c>
      <c r="BR58" s="198">
        <v>154414</v>
      </c>
      <c r="BS58" s="198">
        <v>415752.7127668068</v>
      </c>
      <c r="BT58" s="198">
        <v>24771.699430695844</v>
      </c>
      <c r="BU58" s="198">
        <v>66604.4829469826</v>
      </c>
      <c r="BV58" s="198">
        <v>225061.96261168466</v>
      </c>
      <c r="BW58" s="198">
        <v>279018.8551719693</v>
      </c>
      <c r="BX58" s="198">
        <v>462.59999999999997</v>
      </c>
      <c r="BY58" s="198">
        <v>38822.141898413305</v>
      </c>
      <c r="BZ58" s="198">
        <v>2230939.5486568436</v>
      </c>
      <c r="CA58" s="198">
        <v>2133639.3486568434</v>
      </c>
      <c r="CB58" s="198">
        <v>0</v>
      </c>
      <c r="CC58" s="232">
        <v>4625934.007710843</v>
      </c>
      <c r="CD58" s="198">
        <v>-413536</v>
      </c>
      <c r="CE58" s="198">
        <v>-21106.851899999994</v>
      </c>
      <c r="CH58" s="198">
        <v>5203</v>
      </c>
    </row>
    <row r="59" spans="1:86" ht="11.25">
      <c r="A59" s="198">
        <v>177</v>
      </c>
      <c r="B59" s="198" t="s">
        <v>135</v>
      </c>
      <c r="C59" s="198">
        <v>2033</v>
      </c>
      <c r="D59" s="198">
        <v>7682838.779999999</v>
      </c>
      <c r="E59" s="198">
        <v>2260080.7712586517</v>
      </c>
      <c r="F59" s="198">
        <v>489659.339070169</v>
      </c>
      <c r="G59" s="198">
        <v>10432578.89032882</v>
      </c>
      <c r="H59" s="198">
        <v>3642.26</v>
      </c>
      <c r="I59" s="198">
        <v>7404714.58</v>
      </c>
      <c r="J59" s="198">
        <v>3027864.3103288207</v>
      </c>
      <c r="K59" s="198">
        <v>74888.56874339364</v>
      </c>
      <c r="L59" s="198">
        <v>669110.1658322718</v>
      </c>
      <c r="M59" s="198">
        <v>243987.29714890846</v>
      </c>
      <c r="N59" s="198">
        <v>4015850.3420533948</v>
      </c>
      <c r="O59" s="198">
        <v>1012217.2059999999</v>
      </c>
      <c r="P59" s="198">
        <v>5028067.548053395</v>
      </c>
      <c r="Q59" s="198">
        <v>133</v>
      </c>
      <c r="R59" s="198">
        <v>26</v>
      </c>
      <c r="S59" s="198">
        <v>142</v>
      </c>
      <c r="T59" s="198">
        <v>59</v>
      </c>
      <c r="U59" s="198">
        <v>71</v>
      </c>
      <c r="V59" s="198">
        <v>1063</v>
      </c>
      <c r="W59" s="198">
        <v>293</v>
      </c>
      <c r="X59" s="198">
        <v>176</v>
      </c>
      <c r="Y59" s="198">
        <v>70</v>
      </c>
      <c r="Z59" s="198">
        <v>2016</v>
      </c>
      <c r="AA59" s="198">
        <v>1</v>
      </c>
      <c r="AB59" s="198">
        <v>0</v>
      </c>
      <c r="AC59" s="198">
        <v>16</v>
      </c>
      <c r="AD59" s="198">
        <v>258.5</v>
      </c>
      <c r="AE59" s="198">
        <v>7.8646034816247585</v>
      </c>
      <c r="AF59" s="198">
        <v>539</v>
      </c>
      <c r="AG59" s="198">
        <v>2260080.7712586517</v>
      </c>
      <c r="AH59" s="198">
        <v>1492544.273847001</v>
      </c>
      <c r="AI59" s="198">
        <v>524361.4453991284</v>
      </c>
      <c r="AJ59" s="198">
        <v>243175.05201252236</v>
      </c>
      <c r="AK59" s="198">
        <v>105</v>
      </c>
      <c r="AL59" s="198">
        <v>882</v>
      </c>
      <c r="AM59" s="198">
        <v>0.9549903989364975</v>
      </c>
      <c r="AN59" s="198">
        <v>16</v>
      </c>
      <c r="AO59" s="198">
        <v>0.007870142646335464</v>
      </c>
      <c r="AP59" s="198">
        <v>0.006146599040682241</v>
      </c>
      <c r="AQ59" s="198">
        <v>0</v>
      </c>
      <c r="AR59" s="198">
        <v>1</v>
      </c>
      <c r="AS59" s="198">
        <v>0</v>
      </c>
      <c r="AT59" s="198">
        <v>0</v>
      </c>
      <c r="AU59" s="198">
        <v>258.5</v>
      </c>
      <c r="AV59" s="198">
        <v>7.8646034816247585</v>
      </c>
      <c r="AW59" s="198">
        <v>2.2890475448561447</v>
      </c>
      <c r="AX59" s="198">
        <v>103</v>
      </c>
      <c r="AY59" s="198">
        <v>549</v>
      </c>
      <c r="AZ59" s="198">
        <v>0.18761384335154827</v>
      </c>
      <c r="BA59" s="198">
        <v>0.12392498465589609</v>
      </c>
      <c r="BB59" s="198">
        <v>0</v>
      </c>
      <c r="BC59" s="198">
        <v>793</v>
      </c>
      <c r="BD59" s="198">
        <v>783</v>
      </c>
      <c r="BE59" s="198">
        <v>1.012771392081737</v>
      </c>
      <c r="BF59" s="198">
        <v>0.5831325377853485</v>
      </c>
      <c r="BG59" s="198">
        <v>0</v>
      </c>
      <c r="BH59" s="198">
        <v>0</v>
      </c>
      <c r="BI59" s="198">
        <v>-203.3</v>
      </c>
      <c r="BJ59" s="198">
        <v>-487.91999999999996</v>
      </c>
      <c r="BK59" s="198">
        <v>-8335.3</v>
      </c>
      <c r="BL59" s="198">
        <v>-752.21</v>
      </c>
      <c r="BM59" s="198">
        <v>-10835.89</v>
      </c>
      <c r="BN59" s="198">
        <v>-243.95999999999998</v>
      </c>
      <c r="BO59" s="198">
        <v>74543</v>
      </c>
      <c r="BP59" s="198">
        <v>63092.34340299107</v>
      </c>
      <c r="BQ59" s="198">
        <v>184962</v>
      </c>
      <c r="BR59" s="198">
        <v>59201</v>
      </c>
      <c r="BS59" s="198">
        <v>142388.02164284655</v>
      </c>
      <c r="BT59" s="198">
        <v>7441.130700675454</v>
      </c>
      <c r="BU59" s="198">
        <v>16358.817618945292</v>
      </c>
      <c r="BV59" s="198">
        <v>62158.934686852546</v>
      </c>
      <c r="BW59" s="198">
        <v>102544.51390132974</v>
      </c>
      <c r="BX59" s="198">
        <v>182.97</v>
      </c>
      <c r="BY59" s="198">
        <v>-5277.876121368623</v>
      </c>
      <c r="BZ59" s="198">
        <v>707594.8558322719</v>
      </c>
      <c r="CA59" s="198">
        <v>669110.1658322718</v>
      </c>
      <c r="CB59" s="198">
        <v>243987.29714890846</v>
      </c>
      <c r="CC59" s="232">
        <v>1012217.2059999999</v>
      </c>
      <c r="CD59" s="198">
        <v>-573458</v>
      </c>
      <c r="CE59" s="198">
        <v>-20571.397840000012</v>
      </c>
      <c r="CH59" s="198">
        <v>2039</v>
      </c>
    </row>
    <row r="60" spans="1:86" ht="11.25">
      <c r="A60" s="198">
        <v>178</v>
      </c>
      <c r="B60" s="198" t="s">
        <v>136</v>
      </c>
      <c r="C60" s="198">
        <v>6616</v>
      </c>
      <c r="D60" s="198">
        <v>25164241.53</v>
      </c>
      <c r="E60" s="198">
        <v>12338652.163067926</v>
      </c>
      <c r="F60" s="198">
        <v>1724377.4781636614</v>
      </c>
      <c r="G60" s="198">
        <v>39227271.17123158</v>
      </c>
      <c r="H60" s="198">
        <v>3642.26</v>
      </c>
      <c r="I60" s="198">
        <v>24097192.16</v>
      </c>
      <c r="J60" s="198">
        <v>15130079.011231583</v>
      </c>
      <c r="K60" s="198">
        <v>760591.7486151635</v>
      </c>
      <c r="L60" s="198">
        <v>2068267.5225713225</v>
      </c>
      <c r="M60" s="198">
        <v>-997889.8017954231</v>
      </c>
      <c r="N60" s="198">
        <v>16961048.480622645</v>
      </c>
      <c r="O60" s="198">
        <v>5081896.6400000015</v>
      </c>
      <c r="P60" s="198">
        <v>22042945.120622646</v>
      </c>
      <c r="Q60" s="198">
        <v>286</v>
      </c>
      <c r="R60" s="198">
        <v>47</v>
      </c>
      <c r="S60" s="198">
        <v>351</v>
      </c>
      <c r="T60" s="198">
        <v>210</v>
      </c>
      <c r="U60" s="198">
        <v>228</v>
      </c>
      <c r="V60" s="198">
        <v>3474</v>
      </c>
      <c r="W60" s="198">
        <v>1038</v>
      </c>
      <c r="X60" s="198">
        <v>673</v>
      </c>
      <c r="Y60" s="198">
        <v>309</v>
      </c>
      <c r="Z60" s="198">
        <v>6460</v>
      </c>
      <c r="AA60" s="198">
        <v>16</v>
      </c>
      <c r="AB60" s="198">
        <v>0</v>
      </c>
      <c r="AC60" s="198">
        <v>140</v>
      </c>
      <c r="AD60" s="198">
        <v>1163.03</v>
      </c>
      <c r="AE60" s="198">
        <v>5.688589288324463</v>
      </c>
      <c r="AF60" s="198">
        <v>2020</v>
      </c>
      <c r="AG60" s="198">
        <v>12338652.163067926</v>
      </c>
      <c r="AH60" s="198">
        <v>6552100.837307145</v>
      </c>
      <c r="AI60" s="198">
        <v>4718318.061562915</v>
      </c>
      <c r="AJ60" s="198">
        <v>1068233.264197866</v>
      </c>
      <c r="AK60" s="198">
        <v>282</v>
      </c>
      <c r="AL60" s="198">
        <v>2897</v>
      </c>
      <c r="AM60" s="198">
        <v>0.7808702992753798</v>
      </c>
      <c r="AN60" s="198">
        <v>140</v>
      </c>
      <c r="AO60" s="198">
        <v>0.021160822249093107</v>
      </c>
      <c r="AP60" s="198">
        <v>0.019437278643439884</v>
      </c>
      <c r="AQ60" s="198">
        <v>0</v>
      </c>
      <c r="AR60" s="198">
        <v>16</v>
      </c>
      <c r="AS60" s="198">
        <v>0</v>
      </c>
      <c r="AT60" s="198">
        <v>0</v>
      </c>
      <c r="AU60" s="198">
        <v>1163.03</v>
      </c>
      <c r="AV60" s="198">
        <v>5.688589288324463</v>
      </c>
      <c r="AW60" s="198">
        <v>3.164660055143961</v>
      </c>
      <c r="AX60" s="198">
        <v>228</v>
      </c>
      <c r="AY60" s="198">
        <v>1772</v>
      </c>
      <c r="AZ60" s="198">
        <v>0.12866817155756208</v>
      </c>
      <c r="BA60" s="198">
        <v>0.0649793128619099</v>
      </c>
      <c r="BB60" s="198">
        <v>0.40626666666666666</v>
      </c>
      <c r="BC60" s="198">
        <v>2297</v>
      </c>
      <c r="BD60" s="198">
        <v>2522</v>
      </c>
      <c r="BE60" s="198">
        <v>0.9107850911974623</v>
      </c>
      <c r="BF60" s="198">
        <v>0.4811462369010738</v>
      </c>
      <c r="BG60" s="198">
        <v>0</v>
      </c>
      <c r="BH60" s="198">
        <v>0</v>
      </c>
      <c r="BI60" s="198">
        <v>-661.6</v>
      </c>
      <c r="BJ60" s="198">
        <v>-1587.84</v>
      </c>
      <c r="BK60" s="198">
        <v>-27125.6</v>
      </c>
      <c r="BL60" s="198">
        <v>-2447.92</v>
      </c>
      <c r="BM60" s="198">
        <v>-35263.28</v>
      </c>
      <c r="BN60" s="198">
        <v>-793.92</v>
      </c>
      <c r="BO60" s="198">
        <v>-95379</v>
      </c>
      <c r="BP60" s="198">
        <v>90682.62796044722</v>
      </c>
      <c r="BQ60" s="198">
        <v>705473</v>
      </c>
      <c r="BR60" s="198">
        <v>224298</v>
      </c>
      <c r="BS60" s="198">
        <v>573341.1841903866</v>
      </c>
      <c r="BT60" s="198">
        <v>29992.922592651285</v>
      </c>
      <c r="BU60" s="198">
        <v>63985.8973245744</v>
      </c>
      <c r="BV60" s="198">
        <v>254616.91607701505</v>
      </c>
      <c r="BW60" s="198">
        <v>391958.3043645757</v>
      </c>
      <c r="BX60" s="198">
        <v>595.4399999999999</v>
      </c>
      <c r="BY60" s="198">
        <v>-46056.889938327506</v>
      </c>
      <c r="BZ60" s="198">
        <v>2193508.4025713224</v>
      </c>
      <c r="CA60" s="198">
        <v>2068267.5225713225</v>
      </c>
      <c r="CB60" s="198">
        <v>-997889.8017954231</v>
      </c>
      <c r="CC60" s="232">
        <v>5081896.6400000015</v>
      </c>
      <c r="CD60" s="198">
        <v>-848575</v>
      </c>
      <c r="CE60" s="198">
        <v>-2540.293680000017</v>
      </c>
      <c r="CH60" s="198">
        <v>6684</v>
      </c>
    </row>
    <row r="61" spans="1:86" ht="11.25">
      <c r="A61" s="198">
        <v>179</v>
      </c>
      <c r="B61" s="198" t="s">
        <v>137</v>
      </c>
      <c r="C61" s="198">
        <v>135780</v>
      </c>
      <c r="D61" s="198">
        <v>437571803.72999996</v>
      </c>
      <c r="E61" s="198">
        <v>151017584.89458418</v>
      </c>
      <c r="F61" s="198">
        <v>29678278.91278901</v>
      </c>
      <c r="G61" s="198">
        <v>618267667.5373732</v>
      </c>
      <c r="H61" s="198">
        <v>3642.26</v>
      </c>
      <c r="I61" s="198">
        <v>494546062.8</v>
      </c>
      <c r="J61" s="198">
        <v>123721604.73737317</v>
      </c>
      <c r="K61" s="198">
        <v>5541528.613668912</v>
      </c>
      <c r="L61" s="198">
        <v>31135436.05151783</v>
      </c>
      <c r="M61" s="198">
        <v>0</v>
      </c>
      <c r="N61" s="198">
        <v>160398569.40255994</v>
      </c>
      <c r="O61" s="198">
        <v>40601212.510800004</v>
      </c>
      <c r="P61" s="198">
        <v>200999781.91335994</v>
      </c>
      <c r="Q61" s="198">
        <v>9447</v>
      </c>
      <c r="R61" s="198">
        <v>1527</v>
      </c>
      <c r="S61" s="198">
        <v>8459</v>
      </c>
      <c r="T61" s="198">
        <v>3838</v>
      </c>
      <c r="U61" s="198">
        <v>4422</v>
      </c>
      <c r="V61" s="198">
        <v>85653</v>
      </c>
      <c r="W61" s="198">
        <v>12995</v>
      </c>
      <c r="X61" s="198">
        <v>6810</v>
      </c>
      <c r="Y61" s="198">
        <v>2629</v>
      </c>
      <c r="Z61" s="198">
        <v>129707</v>
      </c>
      <c r="AA61" s="198">
        <v>312</v>
      </c>
      <c r="AB61" s="198">
        <v>10</v>
      </c>
      <c r="AC61" s="198">
        <v>5751</v>
      </c>
      <c r="AD61" s="198">
        <v>1171</v>
      </c>
      <c r="AE61" s="198">
        <v>115.95217762596072</v>
      </c>
      <c r="AF61" s="198">
        <v>22434</v>
      </c>
      <c r="AG61" s="198">
        <v>151017584.89458418</v>
      </c>
      <c r="AH61" s="198">
        <v>90956623.3758095</v>
      </c>
      <c r="AI61" s="198">
        <v>38331533.65679855</v>
      </c>
      <c r="AJ61" s="198">
        <v>21729427.861976102</v>
      </c>
      <c r="AK61" s="198">
        <v>11098</v>
      </c>
      <c r="AL61" s="198">
        <v>66524</v>
      </c>
      <c r="AM61" s="198">
        <v>1.338272818203008</v>
      </c>
      <c r="AN61" s="198">
        <v>5751</v>
      </c>
      <c r="AO61" s="198">
        <v>0.04235528060097216</v>
      </c>
      <c r="AP61" s="198">
        <v>0.04063173699531894</v>
      </c>
      <c r="AQ61" s="198">
        <v>0</v>
      </c>
      <c r="AR61" s="198">
        <v>312</v>
      </c>
      <c r="AS61" s="198">
        <v>10</v>
      </c>
      <c r="AT61" s="198">
        <v>1</v>
      </c>
      <c r="AU61" s="198">
        <v>1171</v>
      </c>
      <c r="AV61" s="198">
        <v>115.95217762596072</v>
      </c>
      <c r="AW61" s="198">
        <v>0.15525755237605512</v>
      </c>
      <c r="AX61" s="198">
        <v>3901</v>
      </c>
      <c r="AY61" s="198">
        <v>42297</v>
      </c>
      <c r="AZ61" s="198">
        <v>0.09222876326926259</v>
      </c>
      <c r="BA61" s="198">
        <v>0.028539904573610414</v>
      </c>
      <c r="BB61" s="198">
        <v>0</v>
      </c>
      <c r="BC61" s="198">
        <v>59942</v>
      </c>
      <c r="BD61" s="198">
        <v>55723</v>
      </c>
      <c r="BE61" s="198">
        <v>1.0757137986109866</v>
      </c>
      <c r="BF61" s="198">
        <v>0.6460749443145981</v>
      </c>
      <c r="BG61" s="198">
        <v>0</v>
      </c>
      <c r="BH61" s="198">
        <v>10</v>
      </c>
      <c r="BI61" s="198">
        <v>-13578</v>
      </c>
      <c r="BJ61" s="198">
        <v>-32587.199999999997</v>
      </c>
      <c r="BK61" s="198">
        <v>-556698</v>
      </c>
      <c r="BL61" s="198">
        <v>-50238.6</v>
      </c>
      <c r="BM61" s="198">
        <v>-723707.4</v>
      </c>
      <c r="BN61" s="198">
        <v>-16293.599999999999</v>
      </c>
      <c r="BO61" s="198">
        <v>802550</v>
      </c>
      <c r="BP61" s="198">
        <v>1194022.427228272</v>
      </c>
      <c r="BQ61" s="198">
        <v>8785583</v>
      </c>
      <c r="BR61" s="198">
        <v>3161859</v>
      </c>
      <c r="BS61" s="198">
        <v>7430869.090428259</v>
      </c>
      <c r="BT61" s="198">
        <v>300591.73226042686</v>
      </c>
      <c r="BU61" s="198">
        <v>289311.7897391442</v>
      </c>
      <c r="BV61" s="198">
        <v>3241992.4344182685</v>
      </c>
      <c r="BW61" s="198">
        <v>6744098.973915535</v>
      </c>
      <c r="BX61" s="198">
        <v>12220.199999999999</v>
      </c>
      <c r="BY61" s="198">
        <v>1742652.803527923</v>
      </c>
      <c r="BZ61" s="198">
        <v>33705751.45151783</v>
      </c>
      <c r="CA61" s="198">
        <v>31135436.05151783</v>
      </c>
      <c r="CB61" s="198">
        <v>0</v>
      </c>
      <c r="CC61" s="232">
        <v>40601212.510800004</v>
      </c>
      <c r="CD61" s="198">
        <v>-27492438</v>
      </c>
      <c r="CE61" s="198">
        <v>-8879424.715044</v>
      </c>
      <c r="CH61" s="198">
        <v>134658</v>
      </c>
    </row>
    <row r="62" spans="1:86" ht="11.25">
      <c r="A62" s="198">
        <v>181</v>
      </c>
      <c r="B62" s="198" t="s">
        <v>138</v>
      </c>
      <c r="C62" s="198">
        <v>1997</v>
      </c>
      <c r="D62" s="198">
        <v>7891783.79</v>
      </c>
      <c r="E62" s="198">
        <v>2383892.154600809</v>
      </c>
      <c r="F62" s="198">
        <v>449793.9022581549</v>
      </c>
      <c r="G62" s="198">
        <v>10725469.846858963</v>
      </c>
      <c r="H62" s="198">
        <v>3642.26</v>
      </c>
      <c r="I62" s="198">
        <v>7273593.220000001</v>
      </c>
      <c r="J62" s="198">
        <v>3451876.6268589627</v>
      </c>
      <c r="K62" s="198">
        <v>41727.783111638644</v>
      </c>
      <c r="L62" s="198">
        <v>753408.8168130921</v>
      </c>
      <c r="M62" s="198">
        <v>207087.72133422547</v>
      </c>
      <c r="N62" s="198">
        <v>4454100.948117919</v>
      </c>
      <c r="O62" s="198">
        <v>1794852.8027906977</v>
      </c>
      <c r="P62" s="198">
        <v>6248953.750908617</v>
      </c>
      <c r="Q62" s="198">
        <v>123</v>
      </c>
      <c r="R62" s="198">
        <v>23</v>
      </c>
      <c r="S62" s="198">
        <v>114</v>
      </c>
      <c r="T62" s="198">
        <v>74</v>
      </c>
      <c r="U62" s="198">
        <v>79</v>
      </c>
      <c r="V62" s="198">
        <v>1068</v>
      </c>
      <c r="W62" s="198">
        <v>261</v>
      </c>
      <c r="X62" s="198">
        <v>162</v>
      </c>
      <c r="Y62" s="198">
        <v>93</v>
      </c>
      <c r="Z62" s="198">
        <v>1962</v>
      </c>
      <c r="AA62" s="198">
        <v>0</v>
      </c>
      <c r="AB62" s="198">
        <v>0</v>
      </c>
      <c r="AC62" s="198">
        <v>35</v>
      </c>
      <c r="AD62" s="198">
        <v>214.35</v>
      </c>
      <c r="AE62" s="198">
        <v>9.316538371821787</v>
      </c>
      <c r="AF62" s="198">
        <v>516</v>
      </c>
      <c r="AG62" s="198">
        <v>2383892.154600809</v>
      </c>
      <c r="AH62" s="198">
        <v>1471995.6361598258</v>
      </c>
      <c r="AI62" s="198">
        <v>660036.6431422988</v>
      </c>
      <c r="AJ62" s="198">
        <v>251859.87529868388</v>
      </c>
      <c r="AK62" s="198">
        <v>90</v>
      </c>
      <c r="AL62" s="198">
        <v>869</v>
      </c>
      <c r="AM62" s="198">
        <v>0.8308086784764006</v>
      </c>
      <c r="AN62" s="198">
        <v>35</v>
      </c>
      <c r="AO62" s="198">
        <v>0.017526289434151226</v>
      </c>
      <c r="AP62" s="198">
        <v>0.015802745828498003</v>
      </c>
      <c r="AQ62" s="198">
        <v>0</v>
      </c>
      <c r="AR62" s="198">
        <v>0</v>
      </c>
      <c r="AS62" s="198">
        <v>0</v>
      </c>
      <c r="AT62" s="198">
        <v>0</v>
      </c>
      <c r="AU62" s="198">
        <v>214.35</v>
      </c>
      <c r="AV62" s="198">
        <v>9.316538371821787</v>
      </c>
      <c r="AW62" s="198">
        <v>1.9323111838759037</v>
      </c>
      <c r="AX62" s="198">
        <v>91</v>
      </c>
      <c r="AY62" s="198">
        <v>549</v>
      </c>
      <c r="AZ62" s="198">
        <v>0.1657559198542805</v>
      </c>
      <c r="BA62" s="198">
        <v>0.10206706115862833</v>
      </c>
      <c r="BB62" s="198">
        <v>0</v>
      </c>
      <c r="BC62" s="198">
        <v>584</v>
      </c>
      <c r="BD62" s="198">
        <v>768</v>
      </c>
      <c r="BE62" s="198">
        <v>0.7604166666666666</v>
      </c>
      <c r="BF62" s="198">
        <v>0.3307778123702781</v>
      </c>
      <c r="BG62" s="198">
        <v>0</v>
      </c>
      <c r="BH62" s="198">
        <v>0</v>
      </c>
      <c r="BI62" s="198">
        <v>-199.70000000000002</v>
      </c>
      <c r="BJ62" s="198">
        <v>-479.28</v>
      </c>
      <c r="BK62" s="198">
        <v>-8187.699999999999</v>
      </c>
      <c r="BL62" s="198">
        <v>-738.89</v>
      </c>
      <c r="BM62" s="198">
        <v>-10644.01</v>
      </c>
      <c r="BN62" s="198">
        <v>-239.64</v>
      </c>
      <c r="BO62" s="198">
        <v>110216</v>
      </c>
      <c r="BP62" s="198">
        <v>3841.2930621225387</v>
      </c>
      <c r="BQ62" s="198">
        <v>217242</v>
      </c>
      <c r="BR62" s="198">
        <v>62326</v>
      </c>
      <c r="BS62" s="198">
        <v>163679.80649145006</v>
      </c>
      <c r="BT62" s="198">
        <v>9322.772986339844</v>
      </c>
      <c r="BU62" s="198">
        <v>20546.144547529064</v>
      </c>
      <c r="BV62" s="198">
        <v>83560.39822784677</v>
      </c>
      <c r="BW62" s="198">
        <v>124023.30116081379</v>
      </c>
      <c r="BX62" s="198">
        <v>179.73</v>
      </c>
      <c r="BY62" s="198">
        <v>-3725.4196630100014</v>
      </c>
      <c r="BZ62" s="198">
        <v>791212.0268130921</v>
      </c>
      <c r="CA62" s="198">
        <v>753408.8168130921</v>
      </c>
      <c r="CB62" s="198">
        <v>207087.72133422547</v>
      </c>
      <c r="CC62" s="232">
        <v>1794852.8027906977</v>
      </c>
      <c r="CD62" s="198">
        <v>-517042</v>
      </c>
      <c r="CE62" s="198">
        <v>-16125.88390000003</v>
      </c>
      <c r="CH62" s="198">
        <v>1971</v>
      </c>
    </row>
    <row r="63" spans="1:86" ht="11.25">
      <c r="A63" s="198">
        <v>182</v>
      </c>
      <c r="B63" s="198" t="s">
        <v>139</v>
      </c>
      <c r="C63" s="198">
        <v>21808</v>
      </c>
      <c r="D63" s="198">
        <v>79980686.17</v>
      </c>
      <c r="E63" s="198">
        <v>33590449.332163714</v>
      </c>
      <c r="F63" s="198">
        <v>4662476.756474243</v>
      </c>
      <c r="G63" s="198">
        <v>118233612.25863795</v>
      </c>
      <c r="H63" s="198">
        <v>3642.26</v>
      </c>
      <c r="I63" s="198">
        <v>79430406.08</v>
      </c>
      <c r="J63" s="198">
        <v>38803206.17863795</v>
      </c>
      <c r="K63" s="198">
        <v>810235.9362989755</v>
      </c>
      <c r="L63" s="198">
        <v>5311089.539939042</v>
      </c>
      <c r="M63" s="198">
        <v>-1106596.809233725</v>
      </c>
      <c r="N63" s="198">
        <v>43817934.84564224</v>
      </c>
      <c r="O63" s="198">
        <v>4089475.008761907</v>
      </c>
      <c r="P63" s="198">
        <v>47907409.854404144</v>
      </c>
      <c r="Q63" s="198">
        <v>1136</v>
      </c>
      <c r="R63" s="198">
        <v>202</v>
      </c>
      <c r="S63" s="198">
        <v>1279</v>
      </c>
      <c r="T63" s="198">
        <v>769</v>
      </c>
      <c r="U63" s="198">
        <v>784</v>
      </c>
      <c r="V63" s="198">
        <v>11783</v>
      </c>
      <c r="W63" s="198">
        <v>3198</v>
      </c>
      <c r="X63" s="198">
        <v>1896</v>
      </c>
      <c r="Y63" s="198">
        <v>761</v>
      </c>
      <c r="Z63" s="198">
        <v>21435</v>
      </c>
      <c r="AA63" s="198">
        <v>30</v>
      </c>
      <c r="AB63" s="198">
        <v>1</v>
      </c>
      <c r="AC63" s="198">
        <v>342</v>
      </c>
      <c r="AD63" s="198">
        <v>1571.32</v>
      </c>
      <c r="AE63" s="198">
        <v>13.878777079143651</v>
      </c>
      <c r="AF63" s="198">
        <v>5855</v>
      </c>
      <c r="AG63" s="198">
        <v>33590449.332163714</v>
      </c>
      <c r="AH63" s="198">
        <v>18338714.745165315</v>
      </c>
      <c r="AI63" s="198">
        <v>11664902.569813695</v>
      </c>
      <c r="AJ63" s="198">
        <v>3586832.017184705</v>
      </c>
      <c r="AK63" s="198">
        <v>1618</v>
      </c>
      <c r="AL63" s="198">
        <v>9944</v>
      </c>
      <c r="AM63" s="198">
        <v>1.3052559845158613</v>
      </c>
      <c r="AN63" s="198">
        <v>342</v>
      </c>
      <c r="AO63" s="198">
        <v>0.015682318415260455</v>
      </c>
      <c r="AP63" s="198">
        <v>0.013958774809607232</v>
      </c>
      <c r="AQ63" s="198">
        <v>0</v>
      </c>
      <c r="AR63" s="198">
        <v>30</v>
      </c>
      <c r="AS63" s="198">
        <v>1</v>
      </c>
      <c r="AT63" s="198">
        <v>0</v>
      </c>
      <c r="AU63" s="198">
        <v>1571.32</v>
      </c>
      <c r="AV63" s="198">
        <v>13.878777079143651</v>
      </c>
      <c r="AW63" s="198">
        <v>1.297120862178372</v>
      </c>
      <c r="AX63" s="198">
        <v>663</v>
      </c>
      <c r="AY63" s="198">
        <v>6309</v>
      </c>
      <c r="AZ63" s="198">
        <v>0.10508796956728483</v>
      </c>
      <c r="BA63" s="198">
        <v>0.04139911087163266</v>
      </c>
      <c r="BB63" s="198">
        <v>0</v>
      </c>
      <c r="BC63" s="198">
        <v>8241</v>
      </c>
      <c r="BD63" s="198">
        <v>8097</v>
      </c>
      <c r="BE63" s="198">
        <v>1.017784364579474</v>
      </c>
      <c r="BF63" s="198">
        <v>0.5881455102830855</v>
      </c>
      <c r="BG63" s="198">
        <v>0</v>
      </c>
      <c r="BH63" s="198">
        <v>1</v>
      </c>
      <c r="BI63" s="198">
        <v>-2180.8</v>
      </c>
      <c r="BJ63" s="198">
        <v>-5233.92</v>
      </c>
      <c r="BK63" s="198">
        <v>-89412.79999999999</v>
      </c>
      <c r="BL63" s="198">
        <v>-8068.96</v>
      </c>
      <c r="BM63" s="198">
        <v>-116236.64</v>
      </c>
      <c r="BN63" s="198">
        <v>-2616.96</v>
      </c>
      <c r="BO63" s="198">
        <v>679529</v>
      </c>
      <c r="BP63" s="198">
        <v>-265582.5474530235</v>
      </c>
      <c r="BQ63" s="198">
        <v>1709403</v>
      </c>
      <c r="BR63" s="198">
        <v>519708</v>
      </c>
      <c r="BS63" s="198">
        <v>1219725.933246363</v>
      </c>
      <c r="BT63" s="198">
        <v>52030.81360531352</v>
      </c>
      <c r="BU63" s="198">
        <v>106519.75003969</v>
      </c>
      <c r="BV63" s="198">
        <v>662484.2833680044</v>
      </c>
      <c r="BW63" s="198">
        <v>973289.300190204</v>
      </c>
      <c r="BX63" s="198">
        <v>1962.72</v>
      </c>
      <c r="BY63" s="198">
        <v>64844.726942492125</v>
      </c>
      <c r="BZ63" s="198">
        <v>5723914.979939043</v>
      </c>
      <c r="CA63" s="198">
        <v>5311089.539939042</v>
      </c>
      <c r="CB63" s="198">
        <v>-1106596.809233725</v>
      </c>
      <c r="CC63" s="232">
        <v>4089475.008761907</v>
      </c>
      <c r="CD63" s="198">
        <v>-2994801</v>
      </c>
      <c r="CE63" s="198">
        <v>-156003.91775999998</v>
      </c>
      <c r="CH63" s="198">
        <v>22138</v>
      </c>
    </row>
    <row r="64" spans="1:86" ht="11.25">
      <c r="A64" s="198">
        <v>186</v>
      </c>
      <c r="B64" s="198" t="s">
        <v>140</v>
      </c>
      <c r="C64" s="198">
        <v>40390</v>
      </c>
      <c r="D64" s="198">
        <v>129622836.25000001</v>
      </c>
      <c r="E64" s="198">
        <v>38219779.87839999</v>
      </c>
      <c r="F64" s="198">
        <v>7473037.066665201</v>
      </c>
      <c r="G64" s="198">
        <v>175315653.1950652</v>
      </c>
      <c r="H64" s="198">
        <v>3642.26</v>
      </c>
      <c r="I64" s="198">
        <v>147110881.4</v>
      </c>
      <c r="J64" s="198">
        <v>28204771.795065194</v>
      </c>
      <c r="K64" s="198">
        <v>507825.9329307038</v>
      </c>
      <c r="L64" s="198">
        <v>5937211.977979914</v>
      </c>
      <c r="M64" s="198">
        <v>0</v>
      </c>
      <c r="N64" s="198">
        <v>34649809.705975816</v>
      </c>
      <c r="O64" s="198">
        <v>-6063367.743154158</v>
      </c>
      <c r="P64" s="198">
        <v>28586441.96282166</v>
      </c>
      <c r="Q64" s="198">
        <v>2938</v>
      </c>
      <c r="R64" s="198">
        <v>522</v>
      </c>
      <c r="S64" s="198">
        <v>2778</v>
      </c>
      <c r="T64" s="198">
        <v>1351</v>
      </c>
      <c r="U64" s="198">
        <v>1458</v>
      </c>
      <c r="V64" s="198">
        <v>25128</v>
      </c>
      <c r="W64" s="198">
        <v>3972</v>
      </c>
      <c r="X64" s="198">
        <v>1754</v>
      </c>
      <c r="Y64" s="198">
        <v>489</v>
      </c>
      <c r="Z64" s="198">
        <v>38208</v>
      </c>
      <c r="AA64" s="198">
        <v>370</v>
      </c>
      <c r="AB64" s="198">
        <v>3</v>
      </c>
      <c r="AC64" s="198">
        <v>1809</v>
      </c>
      <c r="AD64" s="198">
        <v>37.55</v>
      </c>
      <c r="AE64" s="198">
        <v>1075.6324900133156</v>
      </c>
      <c r="AF64" s="198">
        <v>6215</v>
      </c>
      <c r="AG64" s="198">
        <v>38219779.87839999</v>
      </c>
      <c r="AH64" s="198">
        <v>24097022.68557271</v>
      </c>
      <c r="AI64" s="198">
        <v>8364719.354102198</v>
      </c>
      <c r="AJ64" s="198">
        <v>5758037.838725083</v>
      </c>
      <c r="AK64" s="198">
        <v>1957</v>
      </c>
      <c r="AL64" s="198">
        <v>21151</v>
      </c>
      <c r="AM64" s="198">
        <v>0.7422295007345892</v>
      </c>
      <c r="AN64" s="198">
        <v>1809</v>
      </c>
      <c r="AO64" s="198">
        <v>0.044788313939093834</v>
      </c>
      <c r="AP64" s="198">
        <v>0.04306477033344061</v>
      </c>
      <c r="AQ64" s="198">
        <v>0</v>
      </c>
      <c r="AR64" s="198">
        <v>370</v>
      </c>
      <c r="AS64" s="198">
        <v>3</v>
      </c>
      <c r="AT64" s="198">
        <v>0</v>
      </c>
      <c r="AU64" s="198">
        <v>37.55</v>
      </c>
      <c r="AV64" s="198">
        <v>1075.6324900133156</v>
      </c>
      <c r="AW64" s="198">
        <v>0.016736619112962443</v>
      </c>
      <c r="AX64" s="198">
        <v>1988</v>
      </c>
      <c r="AY64" s="198">
        <v>14022</v>
      </c>
      <c r="AZ64" s="198">
        <v>0.14177720724575668</v>
      </c>
      <c r="BA64" s="198">
        <v>0.0780883485501045</v>
      </c>
      <c r="BB64" s="198">
        <v>0</v>
      </c>
      <c r="BC64" s="198">
        <v>12063</v>
      </c>
      <c r="BD64" s="198">
        <v>19188</v>
      </c>
      <c r="BE64" s="198">
        <v>0.6286741713570981</v>
      </c>
      <c r="BF64" s="198">
        <v>0.1990353170607096</v>
      </c>
      <c r="BG64" s="198">
        <v>0</v>
      </c>
      <c r="BH64" s="198">
        <v>3</v>
      </c>
      <c r="BI64" s="198">
        <v>-4039</v>
      </c>
      <c r="BJ64" s="198">
        <v>-9693.6</v>
      </c>
      <c r="BK64" s="198">
        <v>-165599</v>
      </c>
      <c r="BL64" s="198">
        <v>-14944.3</v>
      </c>
      <c r="BM64" s="198">
        <v>-215278.7</v>
      </c>
      <c r="BN64" s="198">
        <v>-4846.8</v>
      </c>
      <c r="BO64" s="198">
        <v>-411492</v>
      </c>
      <c r="BP64" s="198">
        <v>6565.417614400387</v>
      </c>
      <c r="BQ64" s="198">
        <v>2359895</v>
      </c>
      <c r="BR64" s="198">
        <v>788024</v>
      </c>
      <c r="BS64" s="198">
        <v>1560793.0796292792</v>
      </c>
      <c r="BT64" s="198">
        <v>16432.02133447396</v>
      </c>
      <c r="BU64" s="198">
        <v>-52180.45663947103</v>
      </c>
      <c r="BV64" s="198">
        <v>532891.3765182814</v>
      </c>
      <c r="BW64" s="198">
        <v>1711326.2169207952</v>
      </c>
      <c r="BX64" s="198">
        <v>3635.1</v>
      </c>
      <c r="BY64" s="198">
        <v>185904.92260215647</v>
      </c>
      <c r="BZ64" s="198">
        <v>6701794.6779799145</v>
      </c>
      <c r="CA64" s="198">
        <v>5937211.977979914</v>
      </c>
      <c r="CB64" s="198">
        <v>0</v>
      </c>
      <c r="CC64" s="232">
        <v>-6063367.743154158</v>
      </c>
      <c r="CD64" s="198">
        <v>-2170608</v>
      </c>
      <c r="CE64" s="198">
        <v>-1010178.912902</v>
      </c>
      <c r="CH64" s="198">
        <v>39953</v>
      </c>
    </row>
    <row r="65" spans="1:86" ht="11.25">
      <c r="A65" s="198">
        <v>202</v>
      </c>
      <c r="B65" s="198" t="s">
        <v>141</v>
      </c>
      <c r="C65" s="198">
        <v>32148</v>
      </c>
      <c r="D65" s="198">
        <v>113994642.74000001</v>
      </c>
      <c r="E65" s="198">
        <v>30323682.206140827</v>
      </c>
      <c r="F65" s="198">
        <v>5092743.8581539085</v>
      </c>
      <c r="G65" s="198">
        <v>149411068.80429474</v>
      </c>
      <c r="H65" s="198">
        <v>3642.26</v>
      </c>
      <c r="I65" s="198">
        <v>117091374.48</v>
      </c>
      <c r="J65" s="198">
        <v>32319694.32429473</v>
      </c>
      <c r="K65" s="198">
        <v>479613.3327512831</v>
      </c>
      <c r="L65" s="198">
        <v>3368316.200970497</v>
      </c>
      <c r="M65" s="198">
        <v>1001502.8848299382</v>
      </c>
      <c r="N65" s="198">
        <v>37169126.742846444</v>
      </c>
      <c r="O65" s="198">
        <v>-3481812.8660792923</v>
      </c>
      <c r="P65" s="198">
        <v>33687313.87676715</v>
      </c>
      <c r="Q65" s="198">
        <v>2476</v>
      </c>
      <c r="R65" s="198">
        <v>435</v>
      </c>
      <c r="S65" s="198">
        <v>2447</v>
      </c>
      <c r="T65" s="198">
        <v>1269</v>
      </c>
      <c r="U65" s="198">
        <v>1220</v>
      </c>
      <c r="V65" s="198">
        <v>18310</v>
      </c>
      <c r="W65" s="198">
        <v>3631</v>
      </c>
      <c r="X65" s="198">
        <v>1802</v>
      </c>
      <c r="Y65" s="198">
        <v>558</v>
      </c>
      <c r="Z65" s="198">
        <v>29585</v>
      </c>
      <c r="AA65" s="198">
        <v>1366</v>
      </c>
      <c r="AB65" s="198">
        <v>0</v>
      </c>
      <c r="AC65" s="198">
        <v>1197</v>
      </c>
      <c r="AD65" s="198">
        <v>150.35</v>
      </c>
      <c r="AE65" s="198">
        <v>213.82108413701366</v>
      </c>
      <c r="AF65" s="198">
        <v>5991</v>
      </c>
      <c r="AG65" s="198">
        <v>30323682.206140827</v>
      </c>
      <c r="AH65" s="198">
        <v>18625272.173577834</v>
      </c>
      <c r="AI65" s="198">
        <v>7399422.505913047</v>
      </c>
      <c r="AJ65" s="198">
        <v>4298987.526649949</v>
      </c>
      <c r="AK65" s="198">
        <v>1370</v>
      </c>
      <c r="AL65" s="198">
        <v>15390</v>
      </c>
      <c r="AM65" s="198">
        <v>0.7141019825185974</v>
      </c>
      <c r="AN65" s="198">
        <v>1197</v>
      </c>
      <c r="AO65" s="198">
        <v>0.03723404255319149</v>
      </c>
      <c r="AP65" s="198">
        <v>0.035510498947538265</v>
      </c>
      <c r="AQ65" s="198">
        <v>0</v>
      </c>
      <c r="AR65" s="198">
        <v>1366</v>
      </c>
      <c r="AS65" s="198">
        <v>0</v>
      </c>
      <c r="AT65" s="198">
        <v>1</v>
      </c>
      <c r="AU65" s="198">
        <v>150.35</v>
      </c>
      <c r="AV65" s="198">
        <v>213.82108413701366</v>
      </c>
      <c r="AW65" s="198">
        <v>0.08419399501007353</v>
      </c>
      <c r="AX65" s="198">
        <v>1286</v>
      </c>
      <c r="AY65" s="198">
        <v>11323</v>
      </c>
      <c r="AZ65" s="198">
        <v>0.11357414112867614</v>
      </c>
      <c r="BA65" s="198">
        <v>0.04988528243302397</v>
      </c>
      <c r="BB65" s="198">
        <v>0</v>
      </c>
      <c r="BC65" s="198">
        <v>9324</v>
      </c>
      <c r="BD65" s="198">
        <v>14004</v>
      </c>
      <c r="BE65" s="198">
        <v>0.6658097686375322</v>
      </c>
      <c r="BF65" s="198">
        <v>0.23617091434114362</v>
      </c>
      <c r="BG65" s="198">
        <v>0</v>
      </c>
      <c r="BH65" s="198">
        <v>0</v>
      </c>
      <c r="BI65" s="198">
        <v>-3214.8</v>
      </c>
      <c r="BJ65" s="198">
        <v>-7715.5199999999995</v>
      </c>
      <c r="BK65" s="198">
        <v>-131806.8</v>
      </c>
      <c r="BL65" s="198">
        <v>-11894.76</v>
      </c>
      <c r="BM65" s="198">
        <v>-171348.84</v>
      </c>
      <c r="BN65" s="198">
        <v>-3857.7599999999998</v>
      </c>
      <c r="BO65" s="198">
        <v>-258828</v>
      </c>
      <c r="BP65" s="198">
        <v>-589213.1656560749</v>
      </c>
      <c r="BQ65" s="198">
        <v>1895488</v>
      </c>
      <c r="BR65" s="198">
        <v>618556</v>
      </c>
      <c r="BS65" s="198">
        <v>1109986.7560428085</v>
      </c>
      <c r="BT65" s="198">
        <v>-1846.6552465841792</v>
      </c>
      <c r="BU65" s="198">
        <v>-517236.3332715238</v>
      </c>
      <c r="BV65" s="198">
        <v>530666.280176738</v>
      </c>
      <c r="BW65" s="198">
        <v>1228753.8130463131</v>
      </c>
      <c r="BX65" s="198">
        <v>2893.3199999999997</v>
      </c>
      <c r="BY65" s="198">
        <v>-42342.1741211786</v>
      </c>
      <c r="BZ65" s="198">
        <v>3976877.840970497</v>
      </c>
      <c r="CA65" s="198">
        <v>3368316.200970497</v>
      </c>
      <c r="CB65" s="198">
        <v>1001502.8848299382</v>
      </c>
      <c r="CC65" s="232">
        <v>-3481812.8660792923</v>
      </c>
      <c r="CD65" s="198">
        <v>-3868116</v>
      </c>
      <c r="CE65" s="198">
        <v>-2172868.839754</v>
      </c>
      <c r="CH65" s="198">
        <v>31798</v>
      </c>
    </row>
    <row r="66" spans="1:86" ht="11.25">
      <c r="A66" s="198">
        <v>204</v>
      </c>
      <c r="B66" s="198" t="s">
        <v>142</v>
      </c>
      <c r="C66" s="198">
        <v>3214</v>
      </c>
      <c r="D66" s="198">
        <v>12181618.1</v>
      </c>
      <c r="E66" s="198">
        <v>7605335.250609265</v>
      </c>
      <c r="F66" s="198">
        <v>1124049.2435455571</v>
      </c>
      <c r="G66" s="198">
        <v>20911002.594154824</v>
      </c>
      <c r="H66" s="198">
        <v>3642.26</v>
      </c>
      <c r="I66" s="198">
        <v>11706223.64</v>
      </c>
      <c r="J66" s="198">
        <v>9204778.954154823</v>
      </c>
      <c r="K66" s="198">
        <v>240323.96674448153</v>
      </c>
      <c r="L66" s="198">
        <v>818055.7657377368</v>
      </c>
      <c r="M66" s="198">
        <v>0</v>
      </c>
      <c r="N66" s="198">
        <v>10263158.68663704</v>
      </c>
      <c r="O66" s="198">
        <v>3280511.2992195133</v>
      </c>
      <c r="P66" s="198">
        <v>13543669.985856554</v>
      </c>
      <c r="Q66" s="198">
        <v>135</v>
      </c>
      <c r="R66" s="198">
        <v>25</v>
      </c>
      <c r="S66" s="198">
        <v>198</v>
      </c>
      <c r="T66" s="198">
        <v>108</v>
      </c>
      <c r="U66" s="198">
        <v>101</v>
      </c>
      <c r="V66" s="198">
        <v>1650</v>
      </c>
      <c r="W66" s="198">
        <v>528</v>
      </c>
      <c r="X66" s="198">
        <v>336</v>
      </c>
      <c r="Y66" s="198">
        <v>133</v>
      </c>
      <c r="Z66" s="198">
        <v>3156</v>
      </c>
      <c r="AA66" s="198">
        <v>1</v>
      </c>
      <c r="AB66" s="198">
        <v>0</v>
      </c>
      <c r="AC66" s="198">
        <v>57</v>
      </c>
      <c r="AD66" s="198">
        <v>674</v>
      </c>
      <c r="AE66" s="198">
        <v>4.768545994065282</v>
      </c>
      <c r="AF66" s="198">
        <v>997</v>
      </c>
      <c r="AG66" s="198">
        <v>7605335.250609265</v>
      </c>
      <c r="AH66" s="198">
        <v>4347860.521725799</v>
      </c>
      <c r="AI66" s="198">
        <v>2058969.1153931764</v>
      </c>
      <c r="AJ66" s="198">
        <v>1198505.6134902888</v>
      </c>
      <c r="AK66" s="198">
        <v>193</v>
      </c>
      <c r="AL66" s="198">
        <v>1241</v>
      </c>
      <c r="AM66" s="198">
        <v>1.2475668289732875</v>
      </c>
      <c r="AN66" s="198">
        <v>57</v>
      </c>
      <c r="AO66" s="198">
        <v>0.01773490976975731</v>
      </c>
      <c r="AP66" s="198">
        <v>0.016011366164104087</v>
      </c>
      <c r="AQ66" s="198">
        <v>0</v>
      </c>
      <c r="AR66" s="198">
        <v>1</v>
      </c>
      <c r="AS66" s="198">
        <v>0</v>
      </c>
      <c r="AT66" s="198">
        <v>0</v>
      </c>
      <c r="AU66" s="198">
        <v>674</v>
      </c>
      <c r="AV66" s="198">
        <v>4.768545994065282</v>
      </c>
      <c r="AW66" s="198">
        <v>3.775249586202017</v>
      </c>
      <c r="AX66" s="198">
        <v>171</v>
      </c>
      <c r="AY66" s="198">
        <v>861</v>
      </c>
      <c r="AZ66" s="198">
        <v>0.1986062717770035</v>
      </c>
      <c r="BA66" s="198">
        <v>0.1349174130813513</v>
      </c>
      <c r="BB66" s="198">
        <v>0.19826666666666667</v>
      </c>
      <c r="BC66" s="198">
        <v>984</v>
      </c>
      <c r="BD66" s="198">
        <v>1025</v>
      </c>
      <c r="BE66" s="198">
        <v>0.96</v>
      </c>
      <c r="BF66" s="198">
        <v>0.5303611457036115</v>
      </c>
      <c r="BG66" s="198">
        <v>0</v>
      </c>
      <c r="BH66" s="198">
        <v>0</v>
      </c>
      <c r="BI66" s="198">
        <v>-321.40000000000003</v>
      </c>
      <c r="BJ66" s="198">
        <v>-771.36</v>
      </c>
      <c r="BK66" s="198">
        <v>-13177.4</v>
      </c>
      <c r="BL66" s="198">
        <v>-1189.18</v>
      </c>
      <c r="BM66" s="198">
        <v>-17130.62</v>
      </c>
      <c r="BN66" s="198">
        <v>-385.68</v>
      </c>
      <c r="BO66" s="198">
        <v>-75363</v>
      </c>
      <c r="BP66" s="198">
        <v>-95514.19307007454</v>
      </c>
      <c r="BQ66" s="198">
        <v>355721</v>
      </c>
      <c r="BR66" s="198">
        <v>98791</v>
      </c>
      <c r="BS66" s="198">
        <v>249680.168300314</v>
      </c>
      <c r="BT66" s="198">
        <v>13431.18733569948</v>
      </c>
      <c r="BU66" s="198">
        <v>37694.39862510979</v>
      </c>
      <c r="BV66" s="198">
        <v>138561.89410991914</v>
      </c>
      <c r="BW66" s="198">
        <v>165868.59847035448</v>
      </c>
      <c r="BX66" s="198">
        <v>289.26</v>
      </c>
      <c r="BY66" s="198">
        <v>-10263.528033585499</v>
      </c>
      <c r="BZ66" s="198">
        <v>878896.7857377368</v>
      </c>
      <c r="CA66" s="198">
        <v>818055.7657377368</v>
      </c>
      <c r="CB66" s="198">
        <v>0</v>
      </c>
      <c r="CC66" s="232">
        <v>3280511.2992195133</v>
      </c>
      <c r="CD66" s="198">
        <v>-660675</v>
      </c>
      <c r="CE66" s="198">
        <v>-1061008.4461</v>
      </c>
      <c r="CH66" s="198">
        <v>3261</v>
      </c>
    </row>
    <row r="67" spans="1:86" ht="11.25">
      <c r="A67" s="198">
        <v>205</v>
      </c>
      <c r="B67" s="198" t="s">
        <v>143</v>
      </c>
      <c r="C67" s="198">
        <v>37791</v>
      </c>
      <c r="D67" s="198">
        <v>130305669.38</v>
      </c>
      <c r="E67" s="198">
        <v>53741920.35880199</v>
      </c>
      <c r="F67" s="198">
        <v>8416377.028290711</v>
      </c>
      <c r="G67" s="198">
        <v>192463966.7670927</v>
      </c>
      <c r="H67" s="198">
        <v>3642.26</v>
      </c>
      <c r="I67" s="198">
        <v>137644647.66</v>
      </c>
      <c r="J67" s="198">
        <v>54819319.10709271</v>
      </c>
      <c r="K67" s="198">
        <v>2119959.2719729813</v>
      </c>
      <c r="L67" s="198">
        <v>8856676.669154063</v>
      </c>
      <c r="M67" s="198">
        <v>-1267309.3674010332</v>
      </c>
      <c r="N67" s="198">
        <v>64528645.68081872</v>
      </c>
      <c r="O67" s="198">
        <v>14073687.711523814</v>
      </c>
      <c r="P67" s="198">
        <v>78602333.39234254</v>
      </c>
      <c r="Q67" s="198">
        <v>2522</v>
      </c>
      <c r="R67" s="198">
        <v>440</v>
      </c>
      <c r="S67" s="198">
        <v>2421</v>
      </c>
      <c r="T67" s="198">
        <v>1179</v>
      </c>
      <c r="U67" s="198">
        <v>1356</v>
      </c>
      <c r="V67" s="198">
        <v>22317</v>
      </c>
      <c r="W67" s="198">
        <v>4110</v>
      </c>
      <c r="X67" s="198">
        <v>2527</v>
      </c>
      <c r="Y67" s="198">
        <v>919</v>
      </c>
      <c r="Z67" s="198">
        <v>36581</v>
      </c>
      <c r="AA67" s="198">
        <v>41</v>
      </c>
      <c r="AB67" s="198">
        <v>2</v>
      </c>
      <c r="AC67" s="198">
        <v>1167</v>
      </c>
      <c r="AD67" s="198">
        <v>1835.09</v>
      </c>
      <c r="AE67" s="198">
        <v>20.59354037131694</v>
      </c>
      <c r="AF67" s="198">
        <v>7556</v>
      </c>
      <c r="AG67" s="198">
        <v>53741920.35880199</v>
      </c>
      <c r="AH67" s="198">
        <v>31557757.577947307</v>
      </c>
      <c r="AI67" s="198">
        <v>15583697.08337193</v>
      </c>
      <c r="AJ67" s="198">
        <v>6600465.69748275</v>
      </c>
      <c r="AK67" s="198">
        <v>2867</v>
      </c>
      <c r="AL67" s="198">
        <v>17570</v>
      </c>
      <c r="AM67" s="198">
        <v>1.3089836527892933</v>
      </c>
      <c r="AN67" s="198">
        <v>1167</v>
      </c>
      <c r="AO67" s="198">
        <v>0.03088036834166865</v>
      </c>
      <c r="AP67" s="198">
        <v>0.029156824736015427</v>
      </c>
      <c r="AQ67" s="198">
        <v>0</v>
      </c>
      <c r="AR67" s="198">
        <v>41</v>
      </c>
      <c r="AS67" s="198">
        <v>2</v>
      </c>
      <c r="AT67" s="198">
        <v>0</v>
      </c>
      <c r="AU67" s="198">
        <v>1835.09</v>
      </c>
      <c r="AV67" s="198">
        <v>20.59354037131694</v>
      </c>
      <c r="AW67" s="198">
        <v>0.8741795226212965</v>
      </c>
      <c r="AX67" s="198">
        <v>1051</v>
      </c>
      <c r="AY67" s="198">
        <v>11130</v>
      </c>
      <c r="AZ67" s="198">
        <v>0.09442946990116802</v>
      </c>
      <c r="BA67" s="198">
        <v>0.03074061120551584</v>
      </c>
      <c r="BB67" s="198">
        <v>0.08561666666666666</v>
      </c>
      <c r="BC67" s="198">
        <v>15121</v>
      </c>
      <c r="BD67" s="198">
        <v>14602</v>
      </c>
      <c r="BE67" s="198">
        <v>1.035543076290919</v>
      </c>
      <c r="BF67" s="198">
        <v>0.6059042219945305</v>
      </c>
      <c r="BG67" s="198">
        <v>0</v>
      </c>
      <c r="BH67" s="198">
        <v>2</v>
      </c>
      <c r="BI67" s="198">
        <v>-3779.1000000000004</v>
      </c>
      <c r="BJ67" s="198">
        <v>-9069.84</v>
      </c>
      <c r="BK67" s="198">
        <v>-154943.09999999998</v>
      </c>
      <c r="BL67" s="198">
        <v>-13982.67</v>
      </c>
      <c r="BM67" s="198">
        <v>-201426.03</v>
      </c>
      <c r="BN67" s="198">
        <v>-4534.92</v>
      </c>
      <c r="BO67" s="198">
        <v>1371592</v>
      </c>
      <c r="BP67" s="198">
        <v>-536331.1401641965</v>
      </c>
      <c r="BQ67" s="198">
        <v>2592766</v>
      </c>
      <c r="BR67" s="198">
        <v>851137</v>
      </c>
      <c r="BS67" s="198">
        <v>1854193.7933830146</v>
      </c>
      <c r="BT67" s="198">
        <v>75734.94462794969</v>
      </c>
      <c r="BU67" s="198">
        <v>347880.491883763</v>
      </c>
      <c r="BV67" s="198">
        <v>1027227.4196650238</v>
      </c>
      <c r="BW67" s="198">
        <v>1767004.8491829885</v>
      </c>
      <c r="BX67" s="198">
        <v>3401.19</v>
      </c>
      <c r="BY67" s="198">
        <v>217453.75057552074</v>
      </c>
      <c r="BZ67" s="198">
        <v>9572060.299154064</v>
      </c>
      <c r="CA67" s="198">
        <v>8856676.669154063</v>
      </c>
      <c r="CB67" s="198">
        <v>-1267309.3674010332</v>
      </c>
      <c r="CC67" s="232">
        <v>14073687.711523814</v>
      </c>
      <c r="CD67" s="198">
        <v>27550792</v>
      </c>
      <c r="CE67" s="198">
        <v>-179115.60928000003</v>
      </c>
      <c r="CH67" s="198">
        <v>37868</v>
      </c>
    </row>
    <row r="68" spans="1:86" ht="11.25">
      <c r="A68" s="198">
        <v>208</v>
      </c>
      <c r="B68" s="198" t="s">
        <v>144</v>
      </c>
      <c r="C68" s="198">
        <v>12632</v>
      </c>
      <c r="D68" s="198">
        <v>47703955.44</v>
      </c>
      <c r="E68" s="198">
        <v>14979123.54259484</v>
      </c>
      <c r="F68" s="198">
        <v>2368705.0941066714</v>
      </c>
      <c r="G68" s="198">
        <v>65051784.076701514</v>
      </c>
      <c r="H68" s="198">
        <v>3642.26</v>
      </c>
      <c r="I68" s="198">
        <v>46009028.32</v>
      </c>
      <c r="J68" s="198">
        <v>19042755.756701514</v>
      </c>
      <c r="K68" s="198">
        <v>406899.64827921364</v>
      </c>
      <c r="L68" s="198">
        <v>3402176.7411577534</v>
      </c>
      <c r="M68" s="198">
        <v>0</v>
      </c>
      <c r="N68" s="198">
        <v>22851832.14613848</v>
      </c>
      <c r="O68" s="198">
        <v>8985360.198256409</v>
      </c>
      <c r="P68" s="198">
        <v>31837192.344394892</v>
      </c>
      <c r="Q68" s="198">
        <v>937</v>
      </c>
      <c r="R68" s="198">
        <v>164</v>
      </c>
      <c r="S68" s="198">
        <v>1011</v>
      </c>
      <c r="T68" s="198">
        <v>468</v>
      </c>
      <c r="U68" s="198">
        <v>468</v>
      </c>
      <c r="V68" s="198">
        <v>6849</v>
      </c>
      <c r="W68" s="198">
        <v>1515</v>
      </c>
      <c r="X68" s="198">
        <v>870</v>
      </c>
      <c r="Y68" s="198">
        <v>350</v>
      </c>
      <c r="Z68" s="198">
        <v>12379</v>
      </c>
      <c r="AA68" s="198">
        <v>43</v>
      </c>
      <c r="AB68" s="198">
        <v>1</v>
      </c>
      <c r="AC68" s="198">
        <v>209</v>
      </c>
      <c r="AD68" s="198">
        <v>922.18</v>
      </c>
      <c r="AE68" s="198">
        <v>13.697976533865406</v>
      </c>
      <c r="AF68" s="198">
        <v>2735</v>
      </c>
      <c r="AG68" s="198">
        <v>14979123.54259484</v>
      </c>
      <c r="AH68" s="198">
        <v>9206994.596048512</v>
      </c>
      <c r="AI68" s="198">
        <v>3965685.703024734</v>
      </c>
      <c r="AJ68" s="198">
        <v>1806443.243521595</v>
      </c>
      <c r="AK68" s="198">
        <v>610</v>
      </c>
      <c r="AL68" s="198">
        <v>5693</v>
      </c>
      <c r="AM68" s="198">
        <v>0.859541683497385</v>
      </c>
      <c r="AN68" s="198">
        <v>209</v>
      </c>
      <c r="AO68" s="198">
        <v>0.016545281823939204</v>
      </c>
      <c r="AP68" s="198">
        <v>0.01482173821828598</v>
      </c>
      <c r="AQ68" s="198">
        <v>0</v>
      </c>
      <c r="AR68" s="198">
        <v>43</v>
      </c>
      <c r="AS68" s="198">
        <v>1</v>
      </c>
      <c r="AT68" s="198">
        <v>0</v>
      </c>
      <c r="AU68" s="198">
        <v>922.18</v>
      </c>
      <c r="AV68" s="198">
        <v>13.697976533865406</v>
      </c>
      <c r="AW68" s="198">
        <v>1.314241650682706</v>
      </c>
      <c r="AX68" s="198">
        <v>484</v>
      </c>
      <c r="AY68" s="198">
        <v>3652</v>
      </c>
      <c r="AZ68" s="198">
        <v>0.13253012048192772</v>
      </c>
      <c r="BA68" s="198">
        <v>0.06884126178627555</v>
      </c>
      <c r="BB68" s="198">
        <v>0</v>
      </c>
      <c r="BC68" s="198">
        <v>4757</v>
      </c>
      <c r="BD68" s="198">
        <v>5063</v>
      </c>
      <c r="BE68" s="198">
        <v>0.9395615247876753</v>
      </c>
      <c r="BF68" s="198">
        <v>0.5099226704912867</v>
      </c>
      <c r="BG68" s="198">
        <v>0</v>
      </c>
      <c r="BH68" s="198">
        <v>1</v>
      </c>
      <c r="BI68" s="198">
        <v>-1263.2</v>
      </c>
      <c r="BJ68" s="198">
        <v>-3031.68</v>
      </c>
      <c r="BK68" s="198">
        <v>-51791.2</v>
      </c>
      <c r="BL68" s="198">
        <v>-4673.84</v>
      </c>
      <c r="BM68" s="198">
        <v>-67328.56</v>
      </c>
      <c r="BN68" s="198">
        <v>-1515.84</v>
      </c>
      <c r="BO68" s="198">
        <v>27931</v>
      </c>
      <c r="BP68" s="198">
        <v>174079.73907664046</v>
      </c>
      <c r="BQ68" s="198">
        <v>1129537</v>
      </c>
      <c r="BR68" s="198">
        <v>361572</v>
      </c>
      <c r="BS68" s="198">
        <v>874686.7781186404</v>
      </c>
      <c r="BT68" s="198">
        <v>40153.21745856467</v>
      </c>
      <c r="BU68" s="198">
        <v>-24432.856551359495</v>
      </c>
      <c r="BV68" s="198">
        <v>371268.24533248646</v>
      </c>
      <c r="BW68" s="198">
        <v>703991.9373510048</v>
      </c>
      <c r="BX68" s="198">
        <v>1136.8799999999999</v>
      </c>
      <c r="BY68" s="198">
        <v>-18623.43962822322</v>
      </c>
      <c r="BZ68" s="198">
        <v>3641300.5011577536</v>
      </c>
      <c r="CA68" s="198">
        <v>3402176.7411577534</v>
      </c>
      <c r="CB68" s="198">
        <v>0</v>
      </c>
      <c r="CC68" s="232">
        <v>8985360.198256409</v>
      </c>
      <c r="CD68" s="198">
        <v>-1354043</v>
      </c>
      <c r="CE68" s="198">
        <v>-12390.157899999998</v>
      </c>
      <c r="CH68" s="198">
        <v>12644</v>
      </c>
    </row>
    <row r="69" spans="1:86" ht="11.25">
      <c r="A69" s="198">
        <v>211</v>
      </c>
      <c r="B69" s="198" t="s">
        <v>145</v>
      </c>
      <c r="C69" s="198">
        <v>30471</v>
      </c>
      <c r="D69" s="198">
        <v>110232282.52000001</v>
      </c>
      <c r="E69" s="198">
        <v>30841410.35637435</v>
      </c>
      <c r="F69" s="198">
        <v>4296048.645988207</v>
      </c>
      <c r="G69" s="198">
        <v>145369741.52236256</v>
      </c>
      <c r="H69" s="198">
        <v>3642.26</v>
      </c>
      <c r="I69" s="198">
        <v>110983304.46000001</v>
      </c>
      <c r="J69" s="198">
        <v>34386437.06236255</v>
      </c>
      <c r="K69" s="198">
        <v>429685.550855717</v>
      </c>
      <c r="L69" s="198">
        <v>5638309.475113332</v>
      </c>
      <c r="M69" s="198">
        <v>0</v>
      </c>
      <c r="N69" s="198">
        <v>40454432.0883316</v>
      </c>
      <c r="O69" s="198">
        <v>2853110.4431219497</v>
      </c>
      <c r="P69" s="198">
        <v>43307542.53145355</v>
      </c>
      <c r="Q69" s="198">
        <v>2385</v>
      </c>
      <c r="R69" s="198">
        <v>442</v>
      </c>
      <c r="S69" s="198">
        <v>2604</v>
      </c>
      <c r="T69" s="198">
        <v>1132</v>
      </c>
      <c r="U69" s="198">
        <v>1055</v>
      </c>
      <c r="V69" s="198">
        <v>17262</v>
      </c>
      <c r="W69" s="198">
        <v>3258</v>
      </c>
      <c r="X69" s="198">
        <v>1753</v>
      </c>
      <c r="Y69" s="198">
        <v>580</v>
      </c>
      <c r="Z69" s="198">
        <v>29851</v>
      </c>
      <c r="AA69" s="198">
        <v>74</v>
      </c>
      <c r="AB69" s="198">
        <v>1</v>
      </c>
      <c r="AC69" s="198">
        <v>545</v>
      </c>
      <c r="AD69" s="198">
        <v>658.01</v>
      </c>
      <c r="AE69" s="198">
        <v>46.307806872235986</v>
      </c>
      <c r="AF69" s="198">
        <v>5591</v>
      </c>
      <c r="AG69" s="198">
        <v>30841410.35637435</v>
      </c>
      <c r="AH69" s="198">
        <v>18241344.81381087</v>
      </c>
      <c r="AI69" s="198">
        <v>8717949.533649284</v>
      </c>
      <c r="AJ69" s="198">
        <v>3882116.0089141964</v>
      </c>
      <c r="AK69" s="198">
        <v>1705</v>
      </c>
      <c r="AL69" s="198">
        <v>14700</v>
      </c>
      <c r="AM69" s="198">
        <v>0.9304335029638447</v>
      </c>
      <c r="AN69" s="198">
        <v>545</v>
      </c>
      <c r="AO69" s="198">
        <v>0.017885858685307343</v>
      </c>
      <c r="AP69" s="198">
        <v>0.01616231507965412</v>
      </c>
      <c r="AQ69" s="198">
        <v>0</v>
      </c>
      <c r="AR69" s="198">
        <v>74</v>
      </c>
      <c r="AS69" s="198">
        <v>1</v>
      </c>
      <c r="AT69" s="198">
        <v>0</v>
      </c>
      <c r="AU69" s="198">
        <v>658.01</v>
      </c>
      <c r="AV69" s="198">
        <v>46.307806872235986</v>
      </c>
      <c r="AW69" s="198">
        <v>0.3887562920124744</v>
      </c>
      <c r="AX69" s="198">
        <v>929</v>
      </c>
      <c r="AY69" s="198">
        <v>10635</v>
      </c>
      <c r="AZ69" s="198">
        <v>0.08735307945463093</v>
      </c>
      <c r="BA69" s="198">
        <v>0.023664220758978755</v>
      </c>
      <c r="BB69" s="198">
        <v>0</v>
      </c>
      <c r="BC69" s="198">
        <v>8533</v>
      </c>
      <c r="BD69" s="198">
        <v>13070</v>
      </c>
      <c r="BE69" s="198">
        <v>0.6528691660290742</v>
      </c>
      <c r="BF69" s="198">
        <v>0.22323031173268565</v>
      </c>
      <c r="BG69" s="198">
        <v>0</v>
      </c>
      <c r="BH69" s="198">
        <v>1</v>
      </c>
      <c r="BI69" s="198">
        <v>-3047.1000000000004</v>
      </c>
      <c r="BJ69" s="198">
        <v>-7313.04</v>
      </c>
      <c r="BK69" s="198">
        <v>-124931.09999999999</v>
      </c>
      <c r="BL69" s="198">
        <v>-11274.27</v>
      </c>
      <c r="BM69" s="198">
        <v>-162410.43</v>
      </c>
      <c r="BN69" s="198">
        <v>-3656.52</v>
      </c>
      <c r="BO69" s="198">
        <v>273558</v>
      </c>
      <c r="BP69" s="198">
        <v>-235774.60303405012</v>
      </c>
      <c r="BQ69" s="198">
        <v>2052330</v>
      </c>
      <c r="BR69" s="198">
        <v>652472</v>
      </c>
      <c r="BS69" s="198">
        <v>1279438.3668590477</v>
      </c>
      <c r="BT69" s="198">
        <v>18609.676418183368</v>
      </c>
      <c r="BU69" s="198">
        <v>58558.191724880795</v>
      </c>
      <c r="BV69" s="198">
        <v>669339.416188655</v>
      </c>
      <c r="BW69" s="198">
        <v>1287369.8031736761</v>
      </c>
      <c r="BX69" s="198">
        <v>2742.39</v>
      </c>
      <c r="BY69" s="198">
        <v>156482.2637829409</v>
      </c>
      <c r="BZ69" s="198">
        <v>6215125.5051133325</v>
      </c>
      <c r="CA69" s="198">
        <v>5638309.475113332</v>
      </c>
      <c r="CB69" s="198">
        <v>0</v>
      </c>
      <c r="CC69" s="232">
        <v>2853110.4431219497</v>
      </c>
      <c r="CD69" s="198">
        <v>-5187913</v>
      </c>
      <c r="CE69" s="198">
        <v>-675400.58217</v>
      </c>
      <c r="CH69" s="198">
        <v>30345</v>
      </c>
    </row>
    <row r="70" spans="1:86" ht="11.25">
      <c r="A70" s="198">
        <v>213</v>
      </c>
      <c r="B70" s="198" t="s">
        <v>146</v>
      </c>
      <c r="C70" s="198">
        <v>5693</v>
      </c>
      <c r="D70" s="198">
        <v>21222914.34</v>
      </c>
      <c r="E70" s="198">
        <v>10761976.121907298</v>
      </c>
      <c r="F70" s="198">
        <v>1637555.018408239</v>
      </c>
      <c r="G70" s="198">
        <v>33622445.480315536</v>
      </c>
      <c r="H70" s="198">
        <v>3642.26</v>
      </c>
      <c r="I70" s="198">
        <v>20735386.18</v>
      </c>
      <c r="J70" s="198">
        <v>12887059.300315537</v>
      </c>
      <c r="K70" s="198">
        <v>794281.5251681509</v>
      </c>
      <c r="L70" s="198">
        <v>1953104.6804055048</v>
      </c>
      <c r="M70" s="198">
        <v>437743.1961541883</v>
      </c>
      <c r="N70" s="198">
        <v>16072188.70204338</v>
      </c>
      <c r="O70" s="198">
        <v>4232334.238399999</v>
      </c>
      <c r="P70" s="198">
        <v>20304522.94044338</v>
      </c>
      <c r="Q70" s="198">
        <v>256</v>
      </c>
      <c r="R70" s="198">
        <v>41</v>
      </c>
      <c r="S70" s="198">
        <v>296</v>
      </c>
      <c r="T70" s="198">
        <v>144</v>
      </c>
      <c r="U70" s="198">
        <v>154</v>
      </c>
      <c r="V70" s="198">
        <v>2933</v>
      </c>
      <c r="W70" s="198">
        <v>983</v>
      </c>
      <c r="X70" s="198">
        <v>635</v>
      </c>
      <c r="Y70" s="198">
        <v>251</v>
      </c>
      <c r="Z70" s="198">
        <v>5616</v>
      </c>
      <c r="AA70" s="198">
        <v>5</v>
      </c>
      <c r="AB70" s="198">
        <v>0</v>
      </c>
      <c r="AC70" s="198">
        <v>72</v>
      </c>
      <c r="AD70" s="198">
        <v>1068.84</v>
      </c>
      <c r="AE70" s="198">
        <v>5.326335092249542</v>
      </c>
      <c r="AF70" s="198">
        <v>1869</v>
      </c>
      <c r="AG70" s="198">
        <v>10761976.121907298</v>
      </c>
      <c r="AH70" s="198">
        <v>6280604.811319852</v>
      </c>
      <c r="AI70" s="198">
        <v>3326289.8135279645</v>
      </c>
      <c r="AJ70" s="198">
        <v>1155081.4970594812</v>
      </c>
      <c r="AK70" s="198">
        <v>315</v>
      </c>
      <c r="AL70" s="198">
        <v>2374</v>
      </c>
      <c r="AM70" s="198">
        <v>1.064408001510519</v>
      </c>
      <c r="AN70" s="198">
        <v>72</v>
      </c>
      <c r="AO70" s="198">
        <v>0.012647110486562444</v>
      </c>
      <c r="AP70" s="198">
        <v>0.010923566880909221</v>
      </c>
      <c r="AQ70" s="198">
        <v>0</v>
      </c>
      <c r="AR70" s="198">
        <v>5</v>
      </c>
      <c r="AS70" s="198">
        <v>0</v>
      </c>
      <c r="AT70" s="198">
        <v>0</v>
      </c>
      <c r="AU70" s="198">
        <v>1068.84</v>
      </c>
      <c r="AV70" s="198">
        <v>5.326335092249542</v>
      </c>
      <c r="AW70" s="198">
        <v>3.379894614042585</v>
      </c>
      <c r="AX70" s="198">
        <v>228</v>
      </c>
      <c r="AY70" s="198">
        <v>1507</v>
      </c>
      <c r="AZ70" s="198">
        <v>0.1512939615129396</v>
      </c>
      <c r="BA70" s="198">
        <v>0.08760510281728744</v>
      </c>
      <c r="BB70" s="198">
        <v>0.5264666666666666</v>
      </c>
      <c r="BC70" s="198">
        <v>1815</v>
      </c>
      <c r="BD70" s="198">
        <v>2009</v>
      </c>
      <c r="BE70" s="198">
        <v>0.9034345445495271</v>
      </c>
      <c r="BF70" s="198">
        <v>0.47379569025313856</v>
      </c>
      <c r="BG70" s="198">
        <v>0</v>
      </c>
      <c r="BH70" s="198">
        <v>0</v>
      </c>
      <c r="BI70" s="198">
        <v>-569.3000000000001</v>
      </c>
      <c r="BJ70" s="198">
        <v>-1366.32</v>
      </c>
      <c r="BK70" s="198">
        <v>-23341.3</v>
      </c>
      <c r="BL70" s="198">
        <v>-2106.41</v>
      </c>
      <c r="BM70" s="198">
        <v>-30343.69</v>
      </c>
      <c r="BN70" s="198">
        <v>-683.16</v>
      </c>
      <c r="BO70" s="198">
        <v>138646</v>
      </c>
      <c r="BP70" s="198">
        <v>104150.07537831739</v>
      </c>
      <c r="BQ70" s="198">
        <v>651314</v>
      </c>
      <c r="BR70" s="198">
        <v>187331</v>
      </c>
      <c r="BS70" s="198">
        <v>420197.3912115596</v>
      </c>
      <c r="BT70" s="198">
        <v>23328.6713788262</v>
      </c>
      <c r="BU70" s="198">
        <v>53778.54215605336</v>
      </c>
      <c r="BV70" s="198">
        <v>224519.7381976081</v>
      </c>
      <c r="BW70" s="198">
        <v>322726.51304067875</v>
      </c>
      <c r="BX70" s="198">
        <v>512.37</v>
      </c>
      <c r="BY70" s="198">
        <v>-65631.13095753879</v>
      </c>
      <c r="BZ70" s="198">
        <v>2060873.1704055048</v>
      </c>
      <c r="CA70" s="198">
        <v>1953104.6804055048</v>
      </c>
      <c r="CB70" s="198">
        <v>437743.1961541883</v>
      </c>
      <c r="CC70" s="232">
        <v>4232334.238399999</v>
      </c>
      <c r="CD70" s="198">
        <v>-735186</v>
      </c>
      <c r="CE70" s="198">
        <v>-98436.38010000002</v>
      </c>
      <c r="CH70" s="198">
        <v>5801</v>
      </c>
    </row>
    <row r="71" spans="1:86" ht="11.25">
      <c r="A71" s="198">
        <v>214</v>
      </c>
      <c r="B71" s="198" t="s">
        <v>147</v>
      </c>
      <c r="C71" s="198">
        <v>11883</v>
      </c>
      <c r="D71" s="198">
        <v>41462313.06999999</v>
      </c>
      <c r="E71" s="198">
        <v>14891452.876207339</v>
      </c>
      <c r="F71" s="198">
        <v>2426268.5824590675</v>
      </c>
      <c r="G71" s="198">
        <v>58780034.5286664</v>
      </c>
      <c r="H71" s="198">
        <v>3642.26</v>
      </c>
      <c r="I71" s="198">
        <v>43280975.580000006</v>
      </c>
      <c r="J71" s="198">
        <v>15499058.948666394</v>
      </c>
      <c r="K71" s="198">
        <v>512488.9776062694</v>
      </c>
      <c r="L71" s="198">
        <v>3949575.0882217237</v>
      </c>
      <c r="M71" s="198">
        <v>0</v>
      </c>
      <c r="N71" s="198">
        <v>19961123.014494386</v>
      </c>
      <c r="O71" s="198">
        <v>6809628.628651165</v>
      </c>
      <c r="P71" s="198">
        <v>26770751.64314555</v>
      </c>
      <c r="Q71" s="198">
        <v>695</v>
      </c>
      <c r="R71" s="198">
        <v>104</v>
      </c>
      <c r="S71" s="198">
        <v>726</v>
      </c>
      <c r="T71" s="198">
        <v>409</v>
      </c>
      <c r="U71" s="198">
        <v>400</v>
      </c>
      <c r="V71" s="198">
        <v>6840</v>
      </c>
      <c r="W71" s="198">
        <v>1503</v>
      </c>
      <c r="X71" s="198">
        <v>878</v>
      </c>
      <c r="Y71" s="198">
        <v>328</v>
      </c>
      <c r="Z71" s="198">
        <v>11600</v>
      </c>
      <c r="AA71" s="198">
        <v>15</v>
      </c>
      <c r="AB71" s="198">
        <v>0</v>
      </c>
      <c r="AC71" s="198">
        <v>268</v>
      </c>
      <c r="AD71" s="198">
        <v>689.42</v>
      </c>
      <c r="AE71" s="198">
        <v>17.23622755359578</v>
      </c>
      <c r="AF71" s="198">
        <v>2709</v>
      </c>
      <c r="AG71" s="198">
        <v>14891452.876207339</v>
      </c>
      <c r="AH71" s="198">
        <v>9226110.365180638</v>
      </c>
      <c r="AI71" s="198">
        <v>3667833.1552095525</v>
      </c>
      <c r="AJ71" s="198">
        <v>1997509.3558171478</v>
      </c>
      <c r="AK71" s="198">
        <v>635</v>
      </c>
      <c r="AL71" s="198">
        <v>5472</v>
      </c>
      <c r="AM71" s="198">
        <v>0.9309062112440201</v>
      </c>
      <c r="AN71" s="198">
        <v>268</v>
      </c>
      <c r="AO71" s="198">
        <v>0.022553227299503494</v>
      </c>
      <c r="AP71" s="198">
        <v>0.02082968369385027</v>
      </c>
      <c r="AQ71" s="198">
        <v>0</v>
      </c>
      <c r="AR71" s="198">
        <v>15</v>
      </c>
      <c r="AS71" s="198">
        <v>0</v>
      </c>
      <c r="AT71" s="198">
        <v>0</v>
      </c>
      <c r="AU71" s="198">
        <v>689.42</v>
      </c>
      <c r="AV71" s="198">
        <v>17.23622755359578</v>
      </c>
      <c r="AW71" s="198">
        <v>1.0444542597794038</v>
      </c>
      <c r="AX71" s="198">
        <v>532</v>
      </c>
      <c r="AY71" s="198">
        <v>3455</v>
      </c>
      <c r="AZ71" s="198">
        <v>0.15397973950795948</v>
      </c>
      <c r="BA71" s="198">
        <v>0.09029088081230731</v>
      </c>
      <c r="BB71" s="198">
        <v>0</v>
      </c>
      <c r="BC71" s="198">
        <v>5316</v>
      </c>
      <c r="BD71" s="198">
        <v>4779</v>
      </c>
      <c r="BE71" s="198">
        <v>1.1123666038920277</v>
      </c>
      <c r="BF71" s="198">
        <v>0.6827277495956392</v>
      </c>
      <c r="BG71" s="198">
        <v>0</v>
      </c>
      <c r="BH71" s="198">
        <v>0</v>
      </c>
      <c r="BI71" s="198">
        <v>-1188.3</v>
      </c>
      <c r="BJ71" s="198">
        <v>-2851.92</v>
      </c>
      <c r="BK71" s="198">
        <v>-48720.299999999996</v>
      </c>
      <c r="BL71" s="198">
        <v>-4396.71</v>
      </c>
      <c r="BM71" s="198">
        <v>-63336.39</v>
      </c>
      <c r="BN71" s="198">
        <v>-1425.96</v>
      </c>
      <c r="BO71" s="198">
        <v>376644</v>
      </c>
      <c r="BP71" s="198">
        <v>366490.2791329548</v>
      </c>
      <c r="BQ71" s="198">
        <v>1057264</v>
      </c>
      <c r="BR71" s="198">
        <v>346030</v>
      </c>
      <c r="BS71" s="198">
        <v>864422.5563986355</v>
      </c>
      <c r="BT71" s="198">
        <v>42245.25755368333</v>
      </c>
      <c r="BU71" s="198">
        <v>88537.4090538738</v>
      </c>
      <c r="BV71" s="198">
        <v>399714.71127646166</v>
      </c>
      <c r="BW71" s="198">
        <v>638900.2098696133</v>
      </c>
      <c r="BX71" s="198">
        <v>1069.47</v>
      </c>
      <c r="BY71" s="198">
        <v>-6797.615063499135</v>
      </c>
      <c r="BZ71" s="198">
        <v>4174520.2782217236</v>
      </c>
      <c r="CA71" s="198">
        <v>3949575.0882217237</v>
      </c>
      <c r="CB71" s="198">
        <v>0</v>
      </c>
      <c r="CC71" s="232">
        <v>6809628.628651165</v>
      </c>
      <c r="CD71" s="198">
        <v>63376</v>
      </c>
      <c r="CE71" s="198">
        <v>212351.11826000002</v>
      </c>
      <c r="CH71" s="198">
        <v>11972</v>
      </c>
    </row>
    <row r="72" spans="1:86" ht="11.25">
      <c r="A72" s="198">
        <v>216</v>
      </c>
      <c r="B72" s="198" t="s">
        <v>148</v>
      </c>
      <c r="C72" s="198">
        <v>1475</v>
      </c>
      <c r="D72" s="198">
        <v>5925764.6899999995</v>
      </c>
      <c r="E72" s="198">
        <v>2872300.6134602325</v>
      </c>
      <c r="F72" s="198">
        <v>608637.2037999231</v>
      </c>
      <c r="G72" s="198">
        <v>9406702.507260157</v>
      </c>
      <c r="H72" s="198">
        <v>3642.26</v>
      </c>
      <c r="I72" s="198">
        <v>5372333.5</v>
      </c>
      <c r="J72" s="198">
        <v>4034369.007260157</v>
      </c>
      <c r="K72" s="198">
        <v>310619.64041462034</v>
      </c>
      <c r="L72" s="198">
        <v>553753.597506596</v>
      </c>
      <c r="M72" s="198">
        <v>385605.7902623778</v>
      </c>
      <c r="N72" s="198">
        <v>5284348.035443751</v>
      </c>
      <c r="O72" s="198">
        <v>1474694.0535238092</v>
      </c>
      <c r="P72" s="198">
        <v>6759042.08896756</v>
      </c>
      <c r="Q72" s="198">
        <v>61</v>
      </c>
      <c r="R72" s="198">
        <v>14</v>
      </c>
      <c r="S72" s="198">
        <v>96</v>
      </c>
      <c r="T72" s="198">
        <v>56</v>
      </c>
      <c r="U72" s="198">
        <v>43</v>
      </c>
      <c r="V72" s="198">
        <v>740</v>
      </c>
      <c r="W72" s="198">
        <v>229</v>
      </c>
      <c r="X72" s="198">
        <v>165</v>
      </c>
      <c r="Y72" s="198">
        <v>71</v>
      </c>
      <c r="Z72" s="198">
        <v>1457</v>
      </c>
      <c r="AA72" s="198">
        <v>1</v>
      </c>
      <c r="AB72" s="198">
        <v>0</v>
      </c>
      <c r="AC72" s="198">
        <v>17</v>
      </c>
      <c r="AD72" s="198">
        <v>444.72</v>
      </c>
      <c r="AE72" s="198">
        <v>3.3166936499370387</v>
      </c>
      <c r="AF72" s="198">
        <v>465</v>
      </c>
      <c r="AG72" s="198">
        <v>2872300.6134602325</v>
      </c>
      <c r="AH72" s="198">
        <v>1682106.270641053</v>
      </c>
      <c r="AI72" s="198">
        <v>834116.5880865576</v>
      </c>
      <c r="AJ72" s="198">
        <v>356077.754732622</v>
      </c>
      <c r="AK72" s="198">
        <v>115</v>
      </c>
      <c r="AL72" s="198">
        <v>602</v>
      </c>
      <c r="AM72" s="198">
        <v>1.532426454107403</v>
      </c>
      <c r="AN72" s="198">
        <v>17</v>
      </c>
      <c r="AO72" s="198">
        <v>0.01152542372881356</v>
      </c>
      <c r="AP72" s="198">
        <v>0.009801880123160337</v>
      </c>
      <c r="AQ72" s="198">
        <v>0</v>
      </c>
      <c r="AR72" s="198">
        <v>1</v>
      </c>
      <c r="AS72" s="198">
        <v>0</v>
      </c>
      <c r="AT72" s="198">
        <v>0</v>
      </c>
      <c r="AU72" s="198">
        <v>444.72</v>
      </c>
      <c r="AV72" s="198">
        <v>3.3166936499370387</v>
      </c>
      <c r="AW72" s="198">
        <v>5.427830602088313</v>
      </c>
      <c r="AX72" s="198">
        <v>62</v>
      </c>
      <c r="AY72" s="198">
        <v>384</v>
      </c>
      <c r="AZ72" s="198">
        <v>0.16145833333333334</v>
      </c>
      <c r="BA72" s="198">
        <v>0.09776947463768117</v>
      </c>
      <c r="BB72" s="198">
        <v>0.8616333333333334</v>
      </c>
      <c r="BC72" s="198">
        <v>438</v>
      </c>
      <c r="BD72" s="198">
        <v>474</v>
      </c>
      <c r="BE72" s="198">
        <v>0.9240506329113924</v>
      </c>
      <c r="BF72" s="198">
        <v>0.4944117786150039</v>
      </c>
      <c r="BG72" s="198">
        <v>0</v>
      </c>
      <c r="BH72" s="198">
        <v>0</v>
      </c>
      <c r="BI72" s="198">
        <v>-147.5</v>
      </c>
      <c r="BJ72" s="198">
        <v>-354</v>
      </c>
      <c r="BK72" s="198">
        <v>-6047.499999999999</v>
      </c>
      <c r="BL72" s="198">
        <v>-545.75</v>
      </c>
      <c r="BM72" s="198">
        <v>-7861.75</v>
      </c>
      <c r="BN72" s="198">
        <v>-177</v>
      </c>
      <c r="BO72" s="198">
        <v>12874</v>
      </c>
      <c r="BP72" s="198">
        <v>53822.27823724039</v>
      </c>
      <c r="BQ72" s="198">
        <v>158615</v>
      </c>
      <c r="BR72" s="198">
        <v>47512</v>
      </c>
      <c r="BS72" s="198">
        <v>119051.56090819609</v>
      </c>
      <c r="BT72" s="198">
        <v>7616.3543238918255</v>
      </c>
      <c r="BU72" s="198">
        <v>21503.490366428287</v>
      </c>
      <c r="BV72" s="198">
        <v>69878.34002194715</v>
      </c>
      <c r="BW72" s="198">
        <v>86467.40399402652</v>
      </c>
      <c r="BX72" s="198">
        <v>132.75</v>
      </c>
      <c r="BY72" s="198">
        <v>4202.1696548657055</v>
      </c>
      <c r="BZ72" s="198">
        <v>581675.347506596</v>
      </c>
      <c r="CA72" s="198">
        <v>553753.597506596</v>
      </c>
      <c r="CB72" s="198">
        <v>385605.7902623778</v>
      </c>
      <c r="CC72" s="232">
        <v>1474694.0535238092</v>
      </c>
      <c r="CD72" s="198">
        <v>-402140</v>
      </c>
      <c r="CE72" s="198">
        <v>17495.650100000006</v>
      </c>
      <c r="CH72" s="198">
        <v>1520</v>
      </c>
    </row>
    <row r="73" spans="1:86" ht="11.25">
      <c r="A73" s="198">
        <v>217</v>
      </c>
      <c r="B73" s="198" t="s">
        <v>149</v>
      </c>
      <c r="C73" s="198">
        <v>5643</v>
      </c>
      <c r="D73" s="198">
        <v>21233999.13</v>
      </c>
      <c r="E73" s="198">
        <v>6614309.788375426</v>
      </c>
      <c r="F73" s="198">
        <v>1138701.5642423534</v>
      </c>
      <c r="G73" s="198">
        <v>28987010.482617777</v>
      </c>
      <c r="H73" s="198">
        <v>3642.26</v>
      </c>
      <c r="I73" s="198">
        <v>20553273.18</v>
      </c>
      <c r="J73" s="198">
        <v>8433737.302617777</v>
      </c>
      <c r="K73" s="198">
        <v>195003.83013065832</v>
      </c>
      <c r="L73" s="198">
        <v>1379867.3448939347</v>
      </c>
      <c r="M73" s="198">
        <v>0</v>
      </c>
      <c r="N73" s="198">
        <v>10008608.47764237</v>
      </c>
      <c r="O73" s="198">
        <v>3442206.9555121963</v>
      </c>
      <c r="P73" s="198">
        <v>13450815.433154566</v>
      </c>
      <c r="Q73" s="198">
        <v>453</v>
      </c>
      <c r="R73" s="198">
        <v>52</v>
      </c>
      <c r="S73" s="198">
        <v>421</v>
      </c>
      <c r="T73" s="198">
        <v>232</v>
      </c>
      <c r="U73" s="198">
        <v>237</v>
      </c>
      <c r="V73" s="198">
        <v>3096</v>
      </c>
      <c r="W73" s="198">
        <v>646</v>
      </c>
      <c r="X73" s="198">
        <v>357</v>
      </c>
      <c r="Y73" s="198">
        <v>149</v>
      </c>
      <c r="Z73" s="198">
        <v>5540</v>
      </c>
      <c r="AA73" s="198">
        <v>21</v>
      </c>
      <c r="AB73" s="198">
        <v>0</v>
      </c>
      <c r="AC73" s="198">
        <v>82</v>
      </c>
      <c r="AD73" s="198">
        <v>468.24</v>
      </c>
      <c r="AE73" s="198">
        <v>12.051512045105074</v>
      </c>
      <c r="AF73" s="198">
        <v>1152</v>
      </c>
      <c r="AG73" s="198">
        <v>6614309.788375426</v>
      </c>
      <c r="AH73" s="198">
        <v>4232579.7334332485</v>
      </c>
      <c r="AI73" s="198">
        <v>1513247.7263260265</v>
      </c>
      <c r="AJ73" s="198">
        <v>868482.3286161516</v>
      </c>
      <c r="AK73" s="198">
        <v>269</v>
      </c>
      <c r="AL73" s="198">
        <v>2590</v>
      </c>
      <c r="AM73" s="198">
        <v>0.8331645966937875</v>
      </c>
      <c r="AN73" s="198">
        <v>82</v>
      </c>
      <c r="AO73" s="198">
        <v>0.014531277689172426</v>
      </c>
      <c r="AP73" s="198">
        <v>0.012807734083519203</v>
      </c>
      <c r="AQ73" s="198">
        <v>0</v>
      </c>
      <c r="AR73" s="198">
        <v>21</v>
      </c>
      <c r="AS73" s="198">
        <v>0</v>
      </c>
      <c r="AT73" s="198">
        <v>0</v>
      </c>
      <c r="AU73" s="198">
        <v>468.24</v>
      </c>
      <c r="AV73" s="198">
        <v>12.051512045105074</v>
      </c>
      <c r="AW73" s="198">
        <v>1.493791917852519</v>
      </c>
      <c r="AX73" s="198">
        <v>264</v>
      </c>
      <c r="AY73" s="198">
        <v>1605</v>
      </c>
      <c r="AZ73" s="198">
        <v>0.16448598130841122</v>
      </c>
      <c r="BA73" s="198">
        <v>0.10079712261275904</v>
      </c>
      <c r="BB73" s="198">
        <v>0</v>
      </c>
      <c r="BC73" s="198">
        <v>2220</v>
      </c>
      <c r="BD73" s="198">
        <v>2273</v>
      </c>
      <c r="BE73" s="198">
        <v>0.9766827980642323</v>
      </c>
      <c r="BF73" s="198">
        <v>0.5470439437678438</v>
      </c>
      <c r="BG73" s="198">
        <v>0</v>
      </c>
      <c r="BH73" s="198">
        <v>0</v>
      </c>
      <c r="BI73" s="198">
        <v>-564.3000000000001</v>
      </c>
      <c r="BJ73" s="198">
        <v>-1354.32</v>
      </c>
      <c r="BK73" s="198">
        <v>-23136.3</v>
      </c>
      <c r="BL73" s="198">
        <v>-2087.91</v>
      </c>
      <c r="BM73" s="198">
        <v>-30077.19</v>
      </c>
      <c r="BN73" s="198">
        <v>-677.16</v>
      </c>
      <c r="BO73" s="198">
        <v>-39125</v>
      </c>
      <c r="BP73" s="198">
        <v>-29314.746329082176</v>
      </c>
      <c r="BQ73" s="198">
        <v>472563</v>
      </c>
      <c r="BR73" s="198">
        <v>155789</v>
      </c>
      <c r="BS73" s="198">
        <v>373453.802525867</v>
      </c>
      <c r="BT73" s="198">
        <v>18040.573836712447</v>
      </c>
      <c r="BU73" s="198">
        <v>72786.55766004905</v>
      </c>
      <c r="BV73" s="198">
        <v>176020.8346108859</v>
      </c>
      <c r="BW73" s="198">
        <v>309894.4743210466</v>
      </c>
      <c r="BX73" s="198">
        <v>507.87</v>
      </c>
      <c r="BY73" s="198">
        <v>-23927.031731544248</v>
      </c>
      <c r="BZ73" s="198">
        <v>1486689.3348939347</v>
      </c>
      <c r="CA73" s="198">
        <v>1379867.3448939347</v>
      </c>
      <c r="CB73" s="198">
        <v>0</v>
      </c>
      <c r="CC73" s="232">
        <v>3442206.9555121963</v>
      </c>
      <c r="CD73" s="198">
        <v>-508886</v>
      </c>
      <c r="CE73" s="198">
        <v>6226.209999999999</v>
      </c>
      <c r="CH73" s="198">
        <v>5675</v>
      </c>
    </row>
    <row r="74" spans="1:86" ht="11.25">
      <c r="A74" s="198">
        <v>218</v>
      </c>
      <c r="B74" s="198" t="s">
        <v>150</v>
      </c>
      <c r="C74" s="198">
        <v>1409</v>
      </c>
      <c r="D74" s="198">
        <v>5484042.5</v>
      </c>
      <c r="E74" s="198">
        <v>2411952.6833176147</v>
      </c>
      <c r="F74" s="198">
        <v>317684.0180512783</v>
      </c>
      <c r="G74" s="198">
        <v>8213679.201368893</v>
      </c>
      <c r="H74" s="198">
        <v>3642.26</v>
      </c>
      <c r="I74" s="198">
        <v>5131944.34</v>
      </c>
      <c r="J74" s="198">
        <v>3081734.8613688927</v>
      </c>
      <c r="K74" s="198">
        <v>40948.09535774468</v>
      </c>
      <c r="L74" s="198">
        <v>574062.1326899658</v>
      </c>
      <c r="M74" s="198">
        <v>0</v>
      </c>
      <c r="N74" s="198">
        <v>3696745.089416603</v>
      </c>
      <c r="O74" s="198">
        <v>1366330.7988837215</v>
      </c>
      <c r="P74" s="198">
        <v>5063075.888300325</v>
      </c>
      <c r="Q74" s="198">
        <v>52</v>
      </c>
      <c r="R74" s="198">
        <v>9</v>
      </c>
      <c r="S74" s="198">
        <v>71</v>
      </c>
      <c r="T74" s="198">
        <v>35</v>
      </c>
      <c r="U74" s="198">
        <v>48</v>
      </c>
      <c r="V74" s="198">
        <v>767</v>
      </c>
      <c r="W74" s="198">
        <v>174</v>
      </c>
      <c r="X74" s="198">
        <v>174</v>
      </c>
      <c r="Y74" s="198">
        <v>79</v>
      </c>
      <c r="Z74" s="198">
        <v>1373</v>
      </c>
      <c r="AA74" s="198">
        <v>24</v>
      </c>
      <c r="AB74" s="198">
        <v>0</v>
      </c>
      <c r="AC74" s="198">
        <v>12</v>
      </c>
      <c r="AD74" s="198">
        <v>185.76</v>
      </c>
      <c r="AE74" s="198">
        <v>7.585055986218777</v>
      </c>
      <c r="AF74" s="198">
        <v>427</v>
      </c>
      <c r="AG74" s="198">
        <v>2411952.6833176147</v>
      </c>
      <c r="AH74" s="198">
        <v>1337289.7093880347</v>
      </c>
      <c r="AI74" s="198">
        <v>883596.8616340272</v>
      </c>
      <c r="AJ74" s="198">
        <v>191066.1122955533</v>
      </c>
      <c r="AK74" s="198">
        <v>64</v>
      </c>
      <c r="AL74" s="198">
        <v>685</v>
      </c>
      <c r="AM74" s="198">
        <v>0.7494931948441768</v>
      </c>
      <c r="AN74" s="198">
        <v>12</v>
      </c>
      <c r="AO74" s="198">
        <v>0.008516678495386799</v>
      </c>
      <c r="AP74" s="198">
        <v>0.006793134889733576</v>
      </c>
      <c r="AQ74" s="198">
        <v>0</v>
      </c>
      <c r="AR74" s="198">
        <v>24</v>
      </c>
      <c r="AS74" s="198">
        <v>0</v>
      </c>
      <c r="AT74" s="198">
        <v>0</v>
      </c>
      <c r="AU74" s="198">
        <v>185.76</v>
      </c>
      <c r="AV74" s="198">
        <v>7.585055986218777</v>
      </c>
      <c r="AW74" s="198">
        <v>2.373410469690499</v>
      </c>
      <c r="AX74" s="198">
        <v>68</v>
      </c>
      <c r="AY74" s="198">
        <v>369</v>
      </c>
      <c r="AZ74" s="198">
        <v>0.1842818428184282</v>
      </c>
      <c r="BA74" s="198">
        <v>0.12059298412277601</v>
      </c>
      <c r="BB74" s="198">
        <v>0.020533333333333334</v>
      </c>
      <c r="BC74" s="198">
        <v>485</v>
      </c>
      <c r="BD74" s="198">
        <v>590</v>
      </c>
      <c r="BE74" s="198">
        <v>0.8220338983050848</v>
      </c>
      <c r="BF74" s="198">
        <v>0.39239504400869624</v>
      </c>
      <c r="BG74" s="198">
        <v>0</v>
      </c>
      <c r="BH74" s="198">
        <v>0</v>
      </c>
      <c r="BI74" s="198">
        <v>-140.9</v>
      </c>
      <c r="BJ74" s="198">
        <v>-338.15999999999997</v>
      </c>
      <c r="BK74" s="198">
        <v>-5776.9</v>
      </c>
      <c r="BL74" s="198">
        <v>-521.33</v>
      </c>
      <c r="BM74" s="198">
        <v>-7509.97</v>
      </c>
      <c r="BN74" s="198">
        <v>-169.07999999999998</v>
      </c>
      <c r="BO74" s="198">
        <v>-17238</v>
      </c>
      <c r="BP74" s="198">
        <v>87483.34700512048</v>
      </c>
      <c r="BQ74" s="198">
        <v>162602</v>
      </c>
      <c r="BR74" s="198">
        <v>51113</v>
      </c>
      <c r="BS74" s="198">
        <v>118966.60017293353</v>
      </c>
      <c r="BT74" s="198">
        <v>8090.23369131995</v>
      </c>
      <c r="BU74" s="198">
        <v>21888.878572067195</v>
      </c>
      <c r="BV74" s="198">
        <v>65271.60570674855</v>
      </c>
      <c r="BW74" s="198">
        <v>105670.67972249439</v>
      </c>
      <c r="BX74" s="198">
        <v>126.81</v>
      </c>
      <c r="BY74" s="198">
        <v>-3240.6521807183854</v>
      </c>
      <c r="BZ74" s="198">
        <v>600734.5026899658</v>
      </c>
      <c r="CA74" s="198">
        <v>574062.1326899658</v>
      </c>
      <c r="CB74" s="198">
        <v>0</v>
      </c>
      <c r="CC74" s="232">
        <v>1366330.7988837215</v>
      </c>
      <c r="CD74" s="198">
        <v>-421094</v>
      </c>
      <c r="CE74" s="198">
        <v>-475869.23030000005</v>
      </c>
      <c r="CH74" s="198">
        <v>1462</v>
      </c>
    </row>
    <row r="75" spans="1:86" ht="11.25">
      <c r="A75" s="198">
        <v>224</v>
      </c>
      <c r="B75" s="198" t="s">
        <v>151</v>
      </c>
      <c r="C75" s="198">
        <v>8977</v>
      </c>
      <c r="D75" s="198">
        <v>32713826.8</v>
      </c>
      <c r="E75" s="198">
        <v>10638562.33337284</v>
      </c>
      <c r="F75" s="198">
        <v>2273517.841144054</v>
      </c>
      <c r="G75" s="198">
        <v>45625906.9745169</v>
      </c>
      <c r="H75" s="198">
        <v>3642.26</v>
      </c>
      <c r="I75" s="198">
        <v>32696568.020000003</v>
      </c>
      <c r="J75" s="198">
        <v>12929338.954516895</v>
      </c>
      <c r="K75" s="198">
        <v>214437.7838386476</v>
      </c>
      <c r="L75" s="198">
        <v>1752997.1049367548</v>
      </c>
      <c r="M75" s="198">
        <v>0</v>
      </c>
      <c r="N75" s="198">
        <v>14896773.843292298</v>
      </c>
      <c r="O75" s="198">
        <v>3580198.977156629</v>
      </c>
      <c r="P75" s="198">
        <v>18476972.820448928</v>
      </c>
      <c r="Q75" s="198">
        <v>572</v>
      </c>
      <c r="R75" s="198">
        <v>87</v>
      </c>
      <c r="S75" s="198">
        <v>659</v>
      </c>
      <c r="T75" s="198">
        <v>320</v>
      </c>
      <c r="U75" s="198">
        <v>250</v>
      </c>
      <c r="V75" s="198">
        <v>5104</v>
      </c>
      <c r="W75" s="198">
        <v>1118</v>
      </c>
      <c r="X75" s="198">
        <v>582</v>
      </c>
      <c r="Y75" s="198">
        <v>285</v>
      </c>
      <c r="Z75" s="198">
        <v>8477</v>
      </c>
      <c r="AA75" s="198">
        <v>77</v>
      </c>
      <c r="AB75" s="198">
        <v>0</v>
      </c>
      <c r="AC75" s="198">
        <v>423</v>
      </c>
      <c r="AD75" s="198">
        <v>242.36</v>
      </c>
      <c r="AE75" s="198">
        <v>37.03994058425482</v>
      </c>
      <c r="AF75" s="198">
        <v>1985</v>
      </c>
      <c r="AG75" s="198">
        <v>10638562.33337284</v>
      </c>
      <c r="AH75" s="198">
        <v>6374164.614925646</v>
      </c>
      <c r="AI75" s="198">
        <v>3022467.988526097</v>
      </c>
      <c r="AJ75" s="198">
        <v>1241929.7299210965</v>
      </c>
      <c r="AK75" s="198">
        <v>535</v>
      </c>
      <c r="AL75" s="198">
        <v>4340</v>
      </c>
      <c r="AM75" s="198">
        <v>0.9888771550277926</v>
      </c>
      <c r="AN75" s="198">
        <v>423</v>
      </c>
      <c r="AO75" s="198">
        <v>0.04712041884816754</v>
      </c>
      <c r="AP75" s="198">
        <v>0.04539687524251432</v>
      </c>
      <c r="AQ75" s="198">
        <v>0</v>
      </c>
      <c r="AR75" s="198">
        <v>77</v>
      </c>
      <c r="AS75" s="198">
        <v>0</v>
      </c>
      <c r="AT75" s="198">
        <v>0</v>
      </c>
      <c r="AU75" s="198">
        <v>242.36</v>
      </c>
      <c r="AV75" s="198">
        <v>37.03994058425482</v>
      </c>
      <c r="AW75" s="198">
        <v>0.48602808230564065</v>
      </c>
      <c r="AX75" s="198">
        <v>567</v>
      </c>
      <c r="AY75" s="198">
        <v>2894</v>
      </c>
      <c r="AZ75" s="198">
        <v>0.195922598479613</v>
      </c>
      <c r="BA75" s="198">
        <v>0.1322337397839608</v>
      </c>
      <c r="BB75" s="198">
        <v>0</v>
      </c>
      <c r="BC75" s="198">
        <v>3030</v>
      </c>
      <c r="BD75" s="198">
        <v>3751</v>
      </c>
      <c r="BE75" s="198">
        <v>0.8077845907757931</v>
      </c>
      <c r="BF75" s="198">
        <v>0.3781457364794046</v>
      </c>
      <c r="BG75" s="198">
        <v>0</v>
      </c>
      <c r="BH75" s="198">
        <v>0</v>
      </c>
      <c r="BI75" s="198">
        <v>-897.7</v>
      </c>
      <c r="BJ75" s="198">
        <v>-2154.48</v>
      </c>
      <c r="BK75" s="198">
        <v>-36805.7</v>
      </c>
      <c r="BL75" s="198">
        <v>-3321.49</v>
      </c>
      <c r="BM75" s="198">
        <v>-47847.41</v>
      </c>
      <c r="BN75" s="198">
        <v>-1077.24</v>
      </c>
      <c r="BO75" s="198">
        <v>-176375</v>
      </c>
      <c r="BP75" s="198">
        <v>-10497.994075188413</v>
      </c>
      <c r="BQ75" s="198">
        <v>685735</v>
      </c>
      <c r="BR75" s="198">
        <v>228313</v>
      </c>
      <c r="BS75" s="198">
        <v>466962.71765660605</v>
      </c>
      <c r="BT75" s="198">
        <v>11345.00072373815</v>
      </c>
      <c r="BU75" s="198">
        <v>67552.37743129855</v>
      </c>
      <c r="BV75" s="198">
        <v>178336.21752535802</v>
      </c>
      <c r="BW75" s="198">
        <v>437026.54616977257</v>
      </c>
      <c r="BX75" s="198">
        <v>807.93</v>
      </c>
      <c r="BY75" s="198">
        <v>33725.91950516996</v>
      </c>
      <c r="BZ75" s="198">
        <v>1922931.714936755</v>
      </c>
      <c r="CA75" s="198">
        <v>1752997.1049367548</v>
      </c>
      <c r="CB75" s="198">
        <v>0</v>
      </c>
      <c r="CC75" s="232">
        <v>3580198.977156629</v>
      </c>
      <c r="CD75" s="198">
        <v>-1166944</v>
      </c>
      <c r="CE75" s="198">
        <v>-66670.25667999999</v>
      </c>
      <c r="CH75" s="198">
        <v>9074</v>
      </c>
    </row>
    <row r="76" spans="1:86" ht="11.25">
      <c r="A76" s="198">
        <v>226</v>
      </c>
      <c r="B76" s="198" t="s">
        <v>152</v>
      </c>
      <c r="C76" s="198">
        <v>4286</v>
      </c>
      <c r="D76" s="198">
        <v>16338837.25</v>
      </c>
      <c r="E76" s="198">
        <v>6212705.855418722</v>
      </c>
      <c r="F76" s="198">
        <v>1383213.9480709764</v>
      </c>
      <c r="G76" s="198">
        <v>23934757.0534897</v>
      </c>
      <c r="H76" s="198">
        <v>3642.26</v>
      </c>
      <c r="I76" s="198">
        <v>15610726.360000001</v>
      </c>
      <c r="J76" s="198">
        <v>8324030.693489699</v>
      </c>
      <c r="K76" s="198">
        <v>964482.8510967854</v>
      </c>
      <c r="L76" s="198">
        <v>1336757.9425196191</v>
      </c>
      <c r="M76" s="198">
        <v>1146116.4929907937</v>
      </c>
      <c r="N76" s="198">
        <v>11771387.980096897</v>
      </c>
      <c r="O76" s="198">
        <v>3606940.493128205</v>
      </c>
      <c r="P76" s="198">
        <v>15378328.473225102</v>
      </c>
      <c r="Q76" s="198">
        <v>209</v>
      </c>
      <c r="R76" s="198">
        <v>43</v>
      </c>
      <c r="S76" s="198">
        <v>278</v>
      </c>
      <c r="T76" s="198">
        <v>136</v>
      </c>
      <c r="U76" s="198">
        <v>145</v>
      </c>
      <c r="V76" s="198">
        <v>2239</v>
      </c>
      <c r="W76" s="198">
        <v>632</v>
      </c>
      <c r="X76" s="198">
        <v>430</v>
      </c>
      <c r="Y76" s="198">
        <v>174</v>
      </c>
      <c r="Z76" s="198">
        <v>4249</v>
      </c>
      <c r="AA76" s="198">
        <v>0</v>
      </c>
      <c r="AB76" s="198">
        <v>0</v>
      </c>
      <c r="AC76" s="198">
        <v>37</v>
      </c>
      <c r="AD76" s="198">
        <v>887.26</v>
      </c>
      <c r="AE76" s="198">
        <v>4.8306020783085</v>
      </c>
      <c r="AF76" s="198">
        <v>1236</v>
      </c>
      <c r="AG76" s="198">
        <v>6212705.855418722</v>
      </c>
      <c r="AH76" s="198">
        <v>3982609.3009661217</v>
      </c>
      <c r="AI76" s="198">
        <v>1509256.2217011945</v>
      </c>
      <c r="AJ76" s="198">
        <v>720840.3327514057</v>
      </c>
      <c r="AK76" s="198">
        <v>326</v>
      </c>
      <c r="AL76" s="198">
        <v>1846</v>
      </c>
      <c r="AM76" s="198">
        <v>1.4166553133519528</v>
      </c>
      <c r="AN76" s="198">
        <v>37</v>
      </c>
      <c r="AO76" s="198">
        <v>0.00863275781614559</v>
      </c>
      <c r="AP76" s="198">
        <v>0.006909214210492367</v>
      </c>
      <c r="AQ76" s="198">
        <v>0</v>
      </c>
      <c r="AR76" s="198">
        <v>0</v>
      </c>
      <c r="AS76" s="198">
        <v>0</v>
      </c>
      <c r="AT76" s="198">
        <v>0</v>
      </c>
      <c r="AU76" s="198">
        <v>887.26</v>
      </c>
      <c r="AV76" s="198">
        <v>4.8306020783085</v>
      </c>
      <c r="AW76" s="198">
        <v>3.726751034145218</v>
      </c>
      <c r="AX76" s="198">
        <v>169</v>
      </c>
      <c r="AY76" s="198">
        <v>1163</v>
      </c>
      <c r="AZ76" s="198">
        <v>0.14531384350816853</v>
      </c>
      <c r="BA76" s="198">
        <v>0.08162498481251636</v>
      </c>
      <c r="BB76" s="198">
        <v>0.9006666666666667</v>
      </c>
      <c r="BC76" s="198">
        <v>1491</v>
      </c>
      <c r="BD76" s="198">
        <v>1456</v>
      </c>
      <c r="BE76" s="198">
        <v>1.0240384615384615</v>
      </c>
      <c r="BF76" s="198">
        <v>0.594399607242073</v>
      </c>
      <c r="BG76" s="198">
        <v>0</v>
      </c>
      <c r="BH76" s="198">
        <v>0</v>
      </c>
      <c r="BI76" s="198">
        <v>-428.6</v>
      </c>
      <c r="BJ76" s="198">
        <v>-1028.6399999999999</v>
      </c>
      <c r="BK76" s="198">
        <v>-17572.6</v>
      </c>
      <c r="BL76" s="198">
        <v>-1585.82</v>
      </c>
      <c r="BM76" s="198">
        <v>-22844.38</v>
      </c>
      <c r="BN76" s="198">
        <v>-514.3199999999999</v>
      </c>
      <c r="BO76" s="198">
        <v>77843</v>
      </c>
      <c r="BP76" s="198">
        <v>29320.945028565824</v>
      </c>
      <c r="BQ76" s="198">
        <v>418140</v>
      </c>
      <c r="BR76" s="198">
        <v>130108</v>
      </c>
      <c r="BS76" s="198">
        <v>326875.1375349644</v>
      </c>
      <c r="BT76" s="198">
        <v>18659.542831763487</v>
      </c>
      <c r="BU76" s="198">
        <v>35891.78501852707</v>
      </c>
      <c r="BV76" s="198">
        <v>158948.51525087937</v>
      </c>
      <c r="BW76" s="198">
        <v>225704.78053518967</v>
      </c>
      <c r="BX76" s="198">
        <v>385.74</v>
      </c>
      <c r="BY76" s="198">
        <v>-3985.5236802705986</v>
      </c>
      <c r="BZ76" s="198">
        <v>1417891.922519619</v>
      </c>
      <c r="CA76" s="198">
        <v>1336757.9425196191</v>
      </c>
      <c r="CB76" s="198">
        <v>1146116.4929907937</v>
      </c>
      <c r="CC76" s="232">
        <v>3606940.493128205</v>
      </c>
      <c r="CD76" s="198">
        <v>-222729</v>
      </c>
      <c r="CE76" s="198">
        <v>73407.01590000001</v>
      </c>
      <c r="CH76" s="198">
        <v>4343</v>
      </c>
    </row>
    <row r="77" spans="1:86" ht="11.25">
      <c r="A77" s="198">
        <v>230</v>
      </c>
      <c r="B77" s="198" t="s">
        <v>153</v>
      </c>
      <c r="C77" s="198">
        <v>2491</v>
      </c>
      <c r="D77" s="198">
        <v>9370618.83</v>
      </c>
      <c r="E77" s="198">
        <v>3415402.3262719456</v>
      </c>
      <c r="F77" s="198">
        <v>804153.3368698166</v>
      </c>
      <c r="G77" s="198">
        <v>13590174.493141763</v>
      </c>
      <c r="H77" s="198">
        <v>3642.26</v>
      </c>
      <c r="I77" s="198">
        <v>9072869.66</v>
      </c>
      <c r="J77" s="198">
        <v>4517304.833141763</v>
      </c>
      <c r="K77" s="198">
        <v>351530.41095574264</v>
      </c>
      <c r="L77" s="198">
        <v>1057454.0019188975</v>
      </c>
      <c r="M77" s="198">
        <v>426152.6111845988</v>
      </c>
      <c r="N77" s="198">
        <v>6352441.857201003</v>
      </c>
      <c r="O77" s="198">
        <v>2504265.144</v>
      </c>
      <c r="P77" s="198">
        <v>8856707.001201002</v>
      </c>
      <c r="Q77" s="198">
        <v>102</v>
      </c>
      <c r="R77" s="198">
        <v>14</v>
      </c>
      <c r="S77" s="198">
        <v>137</v>
      </c>
      <c r="T77" s="198">
        <v>88</v>
      </c>
      <c r="U77" s="198">
        <v>74</v>
      </c>
      <c r="V77" s="198">
        <v>1349</v>
      </c>
      <c r="W77" s="198">
        <v>374</v>
      </c>
      <c r="X77" s="198">
        <v>239</v>
      </c>
      <c r="Y77" s="198">
        <v>114</v>
      </c>
      <c r="Z77" s="198">
        <v>2445</v>
      </c>
      <c r="AA77" s="198">
        <v>2</v>
      </c>
      <c r="AB77" s="198">
        <v>0</v>
      </c>
      <c r="AC77" s="198">
        <v>44</v>
      </c>
      <c r="AD77" s="198">
        <v>502</v>
      </c>
      <c r="AE77" s="198">
        <v>4.96215139442231</v>
      </c>
      <c r="AF77" s="198">
        <v>727</v>
      </c>
      <c r="AG77" s="198">
        <v>3415402.3262719456</v>
      </c>
      <c r="AH77" s="198">
        <v>2141568.5988951814</v>
      </c>
      <c r="AI77" s="198">
        <v>952495.2657887883</v>
      </c>
      <c r="AJ77" s="198">
        <v>321338.46158797597</v>
      </c>
      <c r="AK77" s="198">
        <v>129</v>
      </c>
      <c r="AL77" s="198">
        <v>1112</v>
      </c>
      <c r="AM77" s="198">
        <v>0.9306003563737308</v>
      </c>
      <c r="AN77" s="198">
        <v>44</v>
      </c>
      <c r="AO77" s="198">
        <v>0.017663588920112404</v>
      </c>
      <c r="AP77" s="198">
        <v>0.01594004531445918</v>
      </c>
      <c r="AQ77" s="198">
        <v>0</v>
      </c>
      <c r="AR77" s="198">
        <v>2</v>
      </c>
      <c r="AS77" s="198">
        <v>0</v>
      </c>
      <c r="AT77" s="198">
        <v>0</v>
      </c>
      <c r="AU77" s="198">
        <v>502</v>
      </c>
      <c r="AV77" s="198">
        <v>4.96215139442231</v>
      </c>
      <c r="AW77" s="198">
        <v>3.6279528494668334</v>
      </c>
      <c r="AX77" s="198">
        <v>148</v>
      </c>
      <c r="AY77" s="198">
        <v>683</v>
      </c>
      <c r="AZ77" s="198">
        <v>0.21669106881405564</v>
      </c>
      <c r="BA77" s="198">
        <v>0.15300221011840348</v>
      </c>
      <c r="BB77" s="198">
        <v>0.5229333333333334</v>
      </c>
      <c r="BC77" s="198">
        <v>884</v>
      </c>
      <c r="BD77" s="198">
        <v>940</v>
      </c>
      <c r="BE77" s="198">
        <v>0.9404255319148936</v>
      </c>
      <c r="BF77" s="198">
        <v>0.510786677618505</v>
      </c>
      <c r="BG77" s="198">
        <v>0</v>
      </c>
      <c r="BH77" s="198">
        <v>0</v>
      </c>
      <c r="BI77" s="198">
        <v>-249.10000000000002</v>
      </c>
      <c r="BJ77" s="198">
        <v>-597.84</v>
      </c>
      <c r="BK77" s="198">
        <v>-10213.099999999999</v>
      </c>
      <c r="BL77" s="198">
        <v>-921.67</v>
      </c>
      <c r="BM77" s="198">
        <v>-13277.03</v>
      </c>
      <c r="BN77" s="198">
        <v>-298.92</v>
      </c>
      <c r="BO77" s="198">
        <v>139899</v>
      </c>
      <c r="BP77" s="198">
        <v>9185.336451798677</v>
      </c>
      <c r="BQ77" s="198">
        <v>291060</v>
      </c>
      <c r="BR77" s="198">
        <v>92413</v>
      </c>
      <c r="BS77" s="198">
        <v>256894.05377211169</v>
      </c>
      <c r="BT77" s="198">
        <v>15394.886270220215</v>
      </c>
      <c r="BU77" s="198">
        <v>35647.9445174762</v>
      </c>
      <c r="BV77" s="198">
        <v>106520.14217974393</v>
      </c>
      <c r="BW77" s="198">
        <v>169990.26938515157</v>
      </c>
      <c r="BX77" s="198">
        <v>224.19</v>
      </c>
      <c r="BY77" s="198">
        <v>-12620.190657605053</v>
      </c>
      <c r="BZ77" s="198">
        <v>1104608.6319188974</v>
      </c>
      <c r="CA77" s="198">
        <v>1057454.0019188975</v>
      </c>
      <c r="CB77" s="198">
        <v>426152.6111845988</v>
      </c>
      <c r="CC77" s="232">
        <v>2504265.144</v>
      </c>
      <c r="CD77" s="198">
        <v>-580462</v>
      </c>
      <c r="CE77" s="198">
        <v>-15590.429839999997</v>
      </c>
      <c r="CH77" s="198">
        <v>2523</v>
      </c>
    </row>
    <row r="78" spans="1:86" ht="11.25">
      <c r="A78" s="198">
        <v>231</v>
      </c>
      <c r="B78" s="198" t="s">
        <v>154</v>
      </c>
      <c r="C78" s="198">
        <v>1324</v>
      </c>
      <c r="D78" s="198">
        <v>4246743.649999999</v>
      </c>
      <c r="E78" s="198">
        <v>1864934.0290936045</v>
      </c>
      <c r="F78" s="198">
        <v>502128.85322755785</v>
      </c>
      <c r="G78" s="198">
        <v>6613806.532321162</v>
      </c>
      <c r="H78" s="198">
        <v>3642.26</v>
      </c>
      <c r="I78" s="198">
        <v>4822352.24</v>
      </c>
      <c r="J78" s="198">
        <v>1791454.2923211614</v>
      </c>
      <c r="K78" s="198">
        <v>154513.93129905296</v>
      </c>
      <c r="L78" s="198">
        <v>325421.382476781</v>
      </c>
      <c r="M78" s="198">
        <v>-71639.71232101925</v>
      </c>
      <c r="N78" s="198">
        <v>2199749.893775976</v>
      </c>
      <c r="O78" s="198">
        <v>-156949.39490304387</v>
      </c>
      <c r="P78" s="198">
        <v>2042800.498872932</v>
      </c>
      <c r="Q78" s="198">
        <v>44</v>
      </c>
      <c r="R78" s="198">
        <v>5</v>
      </c>
      <c r="S78" s="198">
        <v>64</v>
      </c>
      <c r="T78" s="198">
        <v>33</v>
      </c>
      <c r="U78" s="198">
        <v>27</v>
      </c>
      <c r="V78" s="198">
        <v>726</v>
      </c>
      <c r="W78" s="198">
        <v>267</v>
      </c>
      <c r="X78" s="198">
        <v>120</v>
      </c>
      <c r="Y78" s="198">
        <v>38</v>
      </c>
      <c r="Z78" s="198">
        <v>855</v>
      </c>
      <c r="AA78" s="198">
        <v>385</v>
      </c>
      <c r="AB78" s="198">
        <v>0</v>
      </c>
      <c r="AC78" s="198">
        <v>84</v>
      </c>
      <c r="AD78" s="198">
        <v>10.63</v>
      </c>
      <c r="AE78" s="198">
        <v>124.55315145813734</v>
      </c>
      <c r="AF78" s="198">
        <v>425</v>
      </c>
      <c r="AG78" s="198">
        <v>1864934.0290936045</v>
      </c>
      <c r="AH78" s="198">
        <v>1175310.4322786694</v>
      </c>
      <c r="AI78" s="198">
        <v>541981.6009501895</v>
      </c>
      <c r="AJ78" s="198">
        <v>147641.99586474572</v>
      </c>
      <c r="AK78" s="198">
        <v>88</v>
      </c>
      <c r="AL78" s="198">
        <v>622</v>
      </c>
      <c r="AM78" s="198">
        <v>1.1349339274820884</v>
      </c>
      <c r="AN78" s="198">
        <v>84</v>
      </c>
      <c r="AO78" s="198">
        <v>0.0634441087613293</v>
      </c>
      <c r="AP78" s="198">
        <v>0.06172056515567608</v>
      </c>
      <c r="AQ78" s="198">
        <v>1</v>
      </c>
      <c r="AR78" s="198">
        <v>385</v>
      </c>
      <c r="AS78" s="198">
        <v>0</v>
      </c>
      <c r="AT78" s="198">
        <v>0</v>
      </c>
      <c r="AU78" s="198">
        <v>10.63</v>
      </c>
      <c r="AV78" s="198">
        <v>124.55315145813734</v>
      </c>
      <c r="AW78" s="198">
        <v>0.14453629699551132</v>
      </c>
      <c r="AX78" s="198">
        <v>66</v>
      </c>
      <c r="AY78" s="198">
        <v>339</v>
      </c>
      <c r="AZ78" s="198">
        <v>0.19469026548672566</v>
      </c>
      <c r="BA78" s="198">
        <v>0.13100140679107347</v>
      </c>
      <c r="BB78" s="198">
        <v>0.34908333333333336</v>
      </c>
      <c r="BC78" s="198">
        <v>560</v>
      </c>
      <c r="BD78" s="198">
        <v>497</v>
      </c>
      <c r="BE78" s="198">
        <v>1.1267605633802817</v>
      </c>
      <c r="BF78" s="198">
        <v>0.6971217090838933</v>
      </c>
      <c r="BG78" s="198">
        <v>0</v>
      </c>
      <c r="BH78" s="198">
        <v>0</v>
      </c>
      <c r="BI78" s="198">
        <v>-132.4</v>
      </c>
      <c r="BJ78" s="198">
        <v>-317.76</v>
      </c>
      <c r="BK78" s="198">
        <v>-5428.4</v>
      </c>
      <c r="BL78" s="198">
        <v>-489.88</v>
      </c>
      <c r="BM78" s="198">
        <v>-7056.92</v>
      </c>
      <c r="BN78" s="198">
        <v>-158.88</v>
      </c>
      <c r="BO78" s="198">
        <v>23962</v>
      </c>
      <c r="BP78" s="198">
        <v>10795.96809515229</v>
      </c>
      <c r="BQ78" s="198">
        <v>96307</v>
      </c>
      <c r="BR78" s="198">
        <v>37918</v>
      </c>
      <c r="BS78" s="198">
        <v>84599.72105985375</v>
      </c>
      <c r="BT78" s="198">
        <v>4667.110441196863</v>
      </c>
      <c r="BU78" s="198">
        <v>14013.607726811122</v>
      </c>
      <c r="BV78" s="198">
        <v>34434.394086437955</v>
      </c>
      <c r="BW78" s="198">
        <v>72900.92437949276</v>
      </c>
      <c r="BX78" s="198">
        <v>119.16</v>
      </c>
      <c r="BY78" s="198">
        <v>-29233.183312163666</v>
      </c>
      <c r="BZ78" s="198">
        <v>350484.702476781</v>
      </c>
      <c r="CA78" s="198">
        <v>325421.382476781</v>
      </c>
      <c r="CB78" s="198">
        <v>-71639.71232101925</v>
      </c>
      <c r="CC78" s="232">
        <v>-156949.39490304387</v>
      </c>
      <c r="CD78" s="198">
        <v>-230533</v>
      </c>
      <c r="CE78" s="198">
        <v>-310065.25800000003</v>
      </c>
      <c r="CH78" s="198">
        <v>1350</v>
      </c>
    </row>
    <row r="79" spans="1:86" ht="11.25">
      <c r="A79" s="198">
        <v>232</v>
      </c>
      <c r="B79" s="198" t="s">
        <v>155</v>
      </c>
      <c r="C79" s="198">
        <v>14007</v>
      </c>
      <c r="D79" s="198">
        <v>50759125.53999999</v>
      </c>
      <c r="E79" s="198">
        <v>22020477.41469297</v>
      </c>
      <c r="F79" s="198">
        <v>3152880.2056760914</v>
      </c>
      <c r="G79" s="198">
        <v>75932483.16036905</v>
      </c>
      <c r="H79" s="198">
        <v>3642.26</v>
      </c>
      <c r="I79" s="198">
        <v>51017135.82</v>
      </c>
      <c r="J79" s="198">
        <v>24915347.340369053</v>
      </c>
      <c r="K79" s="198">
        <v>487539.53760577895</v>
      </c>
      <c r="L79" s="198">
        <v>4241363.231537552</v>
      </c>
      <c r="M79" s="198">
        <v>0</v>
      </c>
      <c r="N79" s="198">
        <v>29644250.10951238</v>
      </c>
      <c r="O79" s="198">
        <v>10241021.054818181</v>
      </c>
      <c r="P79" s="198">
        <v>39885271.164330564</v>
      </c>
      <c r="Q79" s="198">
        <v>900</v>
      </c>
      <c r="R79" s="198">
        <v>153</v>
      </c>
      <c r="S79" s="198">
        <v>866</v>
      </c>
      <c r="T79" s="198">
        <v>454</v>
      </c>
      <c r="U79" s="198">
        <v>574</v>
      </c>
      <c r="V79" s="198">
        <v>7901</v>
      </c>
      <c r="W79" s="198">
        <v>1740</v>
      </c>
      <c r="X79" s="198">
        <v>958</v>
      </c>
      <c r="Y79" s="198">
        <v>461</v>
      </c>
      <c r="Z79" s="198">
        <v>13689</v>
      </c>
      <c r="AA79" s="198">
        <v>35</v>
      </c>
      <c r="AB79" s="198">
        <v>0</v>
      </c>
      <c r="AC79" s="198">
        <v>283</v>
      </c>
      <c r="AD79" s="198">
        <v>1299.08</v>
      </c>
      <c r="AE79" s="198">
        <v>10.782245897096407</v>
      </c>
      <c r="AF79" s="198">
        <v>3159</v>
      </c>
      <c r="AG79" s="198">
        <v>22020477.41469297</v>
      </c>
      <c r="AH79" s="198">
        <v>12600434.399334168</v>
      </c>
      <c r="AI79" s="198">
        <v>6284821.809054497</v>
      </c>
      <c r="AJ79" s="198">
        <v>3135221.2063043066</v>
      </c>
      <c r="AK79" s="198">
        <v>764</v>
      </c>
      <c r="AL79" s="198">
        <v>6407</v>
      </c>
      <c r="AM79" s="198">
        <v>0.9565703736873523</v>
      </c>
      <c r="AN79" s="198">
        <v>283</v>
      </c>
      <c r="AO79" s="198">
        <v>0.02020418362247448</v>
      </c>
      <c r="AP79" s="198">
        <v>0.018480640016821256</v>
      </c>
      <c r="AQ79" s="198">
        <v>0</v>
      </c>
      <c r="AR79" s="198">
        <v>35</v>
      </c>
      <c r="AS79" s="198">
        <v>0</v>
      </c>
      <c r="AT79" s="198">
        <v>0</v>
      </c>
      <c r="AU79" s="198">
        <v>1299.08</v>
      </c>
      <c r="AV79" s="198">
        <v>10.782245897096407</v>
      </c>
      <c r="AW79" s="198">
        <v>1.6696383538913901</v>
      </c>
      <c r="AX79" s="198">
        <v>617</v>
      </c>
      <c r="AY79" s="198">
        <v>4096</v>
      </c>
      <c r="AZ79" s="198">
        <v>0.150634765625</v>
      </c>
      <c r="BA79" s="198">
        <v>0.08694590692934782</v>
      </c>
      <c r="BB79" s="198">
        <v>0</v>
      </c>
      <c r="BC79" s="198">
        <v>5471</v>
      </c>
      <c r="BD79" s="198">
        <v>5579</v>
      </c>
      <c r="BE79" s="198">
        <v>0.9806416920595089</v>
      </c>
      <c r="BF79" s="198">
        <v>0.5510028377631204</v>
      </c>
      <c r="BG79" s="198">
        <v>0</v>
      </c>
      <c r="BH79" s="198">
        <v>0</v>
      </c>
      <c r="BI79" s="198">
        <v>-1400.7</v>
      </c>
      <c r="BJ79" s="198">
        <v>-3361.68</v>
      </c>
      <c r="BK79" s="198">
        <v>-57428.7</v>
      </c>
      <c r="BL79" s="198">
        <v>-5182.59</v>
      </c>
      <c r="BM79" s="198">
        <v>-74657.31</v>
      </c>
      <c r="BN79" s="198">
        <v>-1680.84</v>
      </c>
      <c r="BO79" s="198">
        <v>-121273</v>
      </c>
      <c r="BP79" s="198">
        <v>220633.7152224183</v>
      </c>
      <c r="BQ79" s="198">
        <v>1348002</v>
      </c>
      <c r="BR79" s="198">
        <v>442548</v>
      </c>
      <c r="BS79" s="198">
        <v>1109041.4400691977</v>
      </c>
      <c r="BT79" s="198">
        <v>52325.6392268162</v>
      </c>
      <c r="BU79" s="198">
        <v>142064.68655123145</v>
      </c>
      <c r="BV79" s="198">
        <v>519039.0985858991</v>
      </c>
      <c r="BW79" s="198">
        <v>851979.6492979235</v>
      </c>
      <c r="BX79" s="198">
        <v>1260.6299999999999</v>
      </c>
      <c r="BY79" s="198">
        <v>-59106.117415934874</v>
      </c>
      <c r="BZ79" s="198">
        <v>4506515.741537551</v>
      </c>
      <c r="CA79" s="198">
        <v>4241363.231537552</v>
      </c>
      <c r="CB79" s="198">
        <v>0</v>
      </c>
      <c r="CC79" s="232">
        <v>10241021.054818181</v>
      </c>
      <c r="CD79" s="198">
        <v>-1340866</v>
      </c>
      <c r="CE79" s="198">
        <v>-78014.41130000004</v>
      </c>
      <c r="CH79" s="198">
        <v>14081</v>
      </c>
    </row>
    <row r="80" spans="1:86" ht="11.25">
      <c r="A80" s="198">
        <v>233</v>
      </c>
      <c r="B80" s="198" t="s">
        <v>156</v>
      </c>
      <c r="C80" s="198">
        <v>16908</v>
      </c>
      <c r="D80" s="198">
        <v>65462846.55</v>
      </c>
      <c r="E80" s="198">
        <v>26400218.983288657</v>
      </c>
      <c r="F80" s="198">
        <v>3067129.9312019837</v>
      </c>
      <c r="G80" s="198">
        <v>94930195.46449064</v>
      </c>
      <c r="H80" s="198">
        <v>3642.26</v>
      </c>
      <c r="I80" s="198">
        <v>61583332.080000006</v>
      </c>
      <c r="J80" s="198">
        <v>33346863.38449063</v>
      </c>
      <c r="K80" s="198">
        <v>688548.4177638602</v>
      </c>
      <c r="L80" s="198">
        <v>4314120.991193674</v>
      </c>
      <c r="M80" s="198">
        <v>0</v>
      </c>
      <c r="N80" s="198">
        <v>38349532.793448165</v>
      </c>
      <c r="O80" s="198">
        <v>11040163.156413795</v>
      </c>
      <c r="P80" s="198">
        <v>49389695.94986196</v>
      </c>
      <c r="Q80" s="198">
        <v>1057</v>
      </c>
      <c r="R80" s="198">
        <v>182</v>
      </c>
      <c r="S80" s="198">
        <v>1195</v>
      </c>
      <c r="T80" s="198">
        <v>601</v>
      </c>
      <c r="U80" s="198">
        <v>601</v>
      </c>
      <c r="V80" s="198">
        <v>9070</v>
      </c>
      <c r="W80" s="198">
        <v>2127</v>
      </c>
      <c r="X80" s="198">
        <v>1421</v>
      </c>
      <c r="Y80" s="198">
        <v>654</v>
      </c>
      <c r="Z80" s="198">
        <v>16395</v>
      </c>
      <c r="AA80" s="198">
        <v>92</v>
      </c>
      <c r="AB80" s="198">
        <v>0</v>
      </c>
      <c r="AC80" s="198">
        <v>421</v>
      </c>
      <c r="AD80" s="198">
        <v>1313.69</v>
      </c>
      <c r="AE80" s="198">
        <v>12.870616355456766</v>
      </c>
      <c r="AF80" s="198">
        <v>4202</v>
      </c>
      <c r="AG80" s="198">
        <v>26400218.983288657</v>
      </c>
      <c r="AH80" s="198">
        <v>14636849.985405438</v>
      </c>
      <c r="AI80" s="198">
        <v>8784474.610729823</v>
      </c>
      <c r="AJ80" s="198">
        <v>2978894.3871533996</v>
      </c>
      <c r="AK80" s="198">
        <v>530</v>
      </c>
      <c r="AL80" s="198">
        <v>7564</v>
      </c>
      <c r="AM80" s="198">
        <v>0.5620858350165636</v>
      </c>
      <c r="AN80" s="198">
        <v>421</v>
      </c>
      <c r="AO80" s="198">
        <v>0.024899455878873905</v>
      </c>
      <c r="AP80" s="198">
        <v>0.023175912273220682</v>
      </c>
      <c r="AQ80" s="198">
        <v>0</v>
      </c>
      <c r="AR80" s="198">
        <v>92</v>
      </c>
      <c r="AS80" s="198">
        <v>0</v>
      </c>
      <c r="AT80" s="198">
        <v>0</v>
      </c>
      <c r="AU80" s="198">
        <v>1313.69</v>
      </c>
      <c r="AV80" s="198">
        <v>12.870616355456766</v>
      </c>
      <c r="AW80" s="198">
        <v>1.398724877946325</v>
      </c>
      <c r="AX80" s="198">
        <v>651</v>
      </c>
      <c r="AY80" s="198">
        <v>4819</v>
      </c>
      <c r="AZ80" s="198">
        <v>0.1350902676903922</v>
      </c>
      <c r="BA80" s="198">
        <v>0.07140140899474003</v>
      </c>
      <c r="BB80" s="198">
        <v>0</v>
      </c>
      <c r="BC80" s="198">
        <v>7403</v>
      </c>
      <c r="BD80" s="198">
        <v>6891</v>
      </c>
      <c r="BE80" s="198">
        <v>1.0742998113481352</v>
      </c>
      <c r="BF80" s="198">
        <v>0.6446609570517468</v>
      </c>
      <c r="BG80" s="198">
        <v>0</v>
      </c>
      <c r="BH80" s="198">
        <v>0</v>
      </c>
      <c r="BI80" s="198">
        <v>-1690.8000000000002</v>
      </c>
      <c r="BJ80" s="198">
        <v>-4057.92</v>
      </c>
      <c r="BK80" s="198">
        <v>-69322.79999999999</v>
      </c>
      <c r="BL80" s="198">
        <v>-6255.96</v>
      </c>
      <c r="BM80" s="198">
        <v>-90119.64</v>
      </c>
      <c r="BN80" s="198">
        <v>-2028.96</v>
      </c>
      <c r="BO80" s="198">
        <v>-503126</v>
      </c>
      <c r="BP80" s="198">
        <v>55571.627510622144</v>
      </c>
      <c r="BQ80" s="198">
        <v>1591871</v>
      </c>
      <c r="BR80" s="198">
        <v>502839</v>
      </c>
      <c r="BS80" s="198">
        <v>1326433.255680016</v>
      </c>
      <c r="BT80" s="198">
        <v>67143.61223950218</v>
      </c>
      <c r="BU80" s="198">
        <v>136521.67357738214</v>
      </c>
      <c r="BV80" s="198">
        <v>582007.1615354746</v>
      </c>
      <c r="BW80" s="198">
        <v>983696.1842991519</v>
      </c>
      <c r="BX80" s="198">
        <v>1521.72</v>
      </c>
      <c r="BY80" s="198">
        <v>-110289.80364847451</v>
      </c>
      <c r="BZ80" s="198">
        <v>4634189.431193674</v>
      </c>
      <c r="CA80" s="198">
        <v>4314120.991193674</v>
      </c>
      <c r="CB80" s="198">
        <v>0</v>
      </c>
      <c r="CC80" s="232">
        <v>11040163.156413795</v>
      </c>
      <c r="CD80" s="198">
        <v>-641819</v>
      </c>
      <c r="CE80" s="198">
        <v>201729.20400000003</v>
      </c>
      <c r="CH80" s="198">
        <v>17065</v>
      </c>
    </row>
    <row r="81" spans="1:86" ht="11.25">
      <c r="A81" s="198">
        <v>235</v>
      </c>
      <c r="B81" s="198" t="s">
        <v>157</v>
      </c>
      <c r="C81" s="198">
        <v>9357</v>
      </c>
      <c r="D81" s="198">
        <v>34558205.71</v>
      </c>
      <c r="E81" s="198">
        <v>7326207.094471255</v>
      </c>
      <c r="F81" s="198">
        <v>2595154.1072260826</v>
      </c>
      <c r="G81" s="198">
        <v>44479566.911697336</v>
      </c>
      <c r="H81" s="198">
        <v>3642.26</v>
      </c>
      <c r="I81" s="198">
        <v>34080626.82</v>
      </c>
      <c r="J81" s="198">
        <v>10398940.091697335</v>
      </c>
      <c r="K81" s="198">
        <v>102356.74623203666</v>
      </c>
      <c r="L81" s="198">
        <v>-145625.22458963632</v>
      </c>
      <c r="M81" s="198">
        <v>601128.7597952225</v>
      </c>
      <c r="N81" s="198">
        <v>10956800.373134958</v>
      </c>
      <c r="O81" s="198">
        <v>-12285131.661929484</v>
      </c>
      <c r="P81" s="198">
        <v>-1328331.2887945268</v>
      </c>
      <c r="Q81" s="198">
        <v>516</v>
      </c>
      <c r="R81" s="198">
        <v>121</v>
      </c>
      <c r="S81" s="198">
        <v>789</v>
      </c>
      <c r="T81" s="198">
        <v>408</v>
      </c>
      <c r="U81" s="198">
        <v>406</v>
      </c>
      <c r="V81" s="198">
        <v>5149</v>
      </c>
      <c r="W81" s="198">
        <v>1097</v>
      </c>
      <c r="X81" s="198">
        <v>641</v>
      </c>
      <c r="Y81" s="198">
        <v>230</v>
      </c>
      <c r="Z81" s="198">
        <v>5579</v>
      </c>
      <c r="AA81" s="198">
        <v>3256</v>
      </c>
      <c r="AB81" s="198">
        <v>3</v>
      </c>
      <c r="AC81" s="198">
        <v>519</v>
      </c>
      <c r="AD81" s="198">
        <v>5.89</v>
      </c>
      <c r="AE81" s="198">
        <v>1588.6247877758915</v>
      </c>
      <c r="AF81" s="198">
        <v>1968</v>
      </c>
      <c r="AG81" s="198">
        <v>7326207.094471255</v>
      </c>
      <c r="AH81" s="198">
        <v>4334199.422661189</v>
      </c>
      <c r="AI81" s="198">
        <v>2253797.6924863374</v>
      </c>
      <c r="AJ81" s="198">
        <v>738209.9793237287</v>
      </c>
      <c r="AK81" s="198">
        <v>272</v>
      </c>
      <c r="AL81" s="198">
        <v>3967</v>
      </c>
      <c r="AM81" s="198">
        <v>0.5500282489261682</v>
      </c>
      <c r="AN81" s="198">
        <v>519</v>
      </c>
      <c r="AO81" s="198">
        <v>0.055466495671689646</v>
      </c>
      <c r="AP81" s="198">
        <v>0.05374295206603642</v>
      </c>
      <c r="AQ81" s="198">
        <v>1</v>
      </c>
      <c r="AR81" s="198">
        <v>3256</v>
      </c>
      <c r="AS81" s="198">
        <v>3</v>
      </c>
      <c r="AT81" s="198">
        <v>0</v>
      </c>
      <c r="AU81" s="198">
        <v>5.89</v>
      </c>
      <c r="AV81" s="198">
        <v>1588.6247877758915</v>
      </c>
      <c r="AW81" s="198">
        <v>0.011332097691918843</v>
      </c>
      <c r="AX81" s="198">
        <v>272</v>
      </c>
      <c r="AY81" s="198">
        <v>2923</v>
      </c>
      <c r="AZ81" s="198">
        <v>0.09305508039685255</v>
      </c>
      <c r="BA81" s="198">
        <v>0.029366221701200373</v>
      </c>
      <c r="BB81" s="198">
        <v>0</v>
      </c>
      <c r="BC81" s="198">
        <v>2319</v>
      </c>
      <c r="BD81" s="198">
        <v>3847</v>
      </c>
      <c r="BE81" s="198">
        <v>0.6028073823758773</v>
      </c>
      <c r="BF81" s="198">
        <v>0.17316852807948874</v>
      </c>
      <c r="BG81" s="198">
        <v>0</v>
      </c>
      <c r="BH81" s="198">
        <v>3</v>
      </c>
      <c r="BI81" s="198">
        <v>-935.7</v>
      </c>
      <c r="BJ81" s="198">
        <v>-2245.68</v>
      </c>
      <c r="BK81" s="198">
        <v>-38363.7</v>
      </c>
      <c r="BL81" s="198">
        <v>-3462.09</v>
      </c>
      <c r="BM81" s="198">
        <v>-49872.81</v>
      </c>
      <c r="BN81" s="198">
        <v>-1122.84</v>
      </c>
      <c r="BO81" s="198">
        <v>-66218</v>
      </c>
      <c r="BP81" s="198">
        <v>-383247.70536642754</v>
      </c>
      <c r="BQ81" s="198">
        <v>400853</v>
      </c>
      <c r="BR81" s="198">
        <v>140968</v>
      </c>
      <c r="BS81" s="198">
        <v>243665.55433787196</v>
      </c>
      <c r="BT81" s="198">
        <v>-364.4745045378025</v>
      </c>
      <c r="BU81" s="198">
        <v>-473805.29871285387</v>
      </c>
      <c r="BV81" s="198">
        <v>-38842.97927835519</v>
      </c>
      <c r="BW81" s="198">
        <v>229174.56342560818</v>
      </c>
      <c r="BX81" s="198">
        <v>842.13</v>
      </c>
      <c r="BY81" s="198">
        <v>-21522.004490942032</v>
      </c>
      <c r="BZ81" s="198">
        <v>31502.78541036368</v>
      </c>
      <c r="CA81" s="198">
        <v>-145625.22458963632</v>
      </c>
      <c r="CB81" s="198">
        <v>601128.7597952225</v>
      </c>
      <c r="CC81" s="232">
        <v>-12285131.661929484</v>
      </c>
      <c r="CD81" s="198">
        <v>1442336</v>
      </c>
      <c r="CE81" s="198">
        <v>2570460.912692</v>
      </c>
      <c r="CH81" s="198">
        <v>9101</v>
      </c>
    </row>
    <row r="82" spans="1:86" ht="11.25">
      <c r="A82" s="198">
        <v>236</v>
      </c>
      <c r="B82" s="198" t="s">
        <v>158</v>
      </c>
      <c r="C82" s="198">
        <v>4283</v>
      </c>
      <c r="D82" s="198">
        <v>15737616.850000001</v>
      </c>
      <c r="E82" s="198">
        <v>5025066.444301417</v>
      </c>
      <c r="F82" s="198">
        <v>755202.8316762253</v>
      </c>
      <c r="G82" s="198">
        <v>21517886.125977647</v>
      </c>
      <c r="H82" s="198">
        <v>3642.26</v>
      </c>
      <c r="I82" s="198">
        <v>15599799.58</v>
      </c>
      <c r="J82" s="198">
        <v>5918086.5459776465</v>
      </c>
      <c r="K82" s="198">
        <v>194220.58270471045</v>
      </c>
      <c r="L82" s="198">
        <v>1120606.4088722747</v>
      </c>
      <c r="M82" s="198">
        <v>-315415.21841451706</v>
      </c>
      <c r="N82" s="198">
        <v>6917498.319140115</v>
      </c>
      <c r="O82" s="198">
        <v>2332315.5359047623</v>
      </c>
      <c r="P82" s="198">
        <v>9249813.855044877</v>
      </c>
      <c r="Q82" s="198">
        <v>356</v>
      </c>
      <c r="R82" s="198">
        <v>48</v>
      </c>
      <c r="S82" s="198">
        <v>306</v>
      </c>
      <c r="T82" s="198">
        <v>143</v>
      </c>
      <c r="U82" s="198">
        <v>138</v>
      </c>
      <c r="V82" s="198">
        <v>2396</v>
      </c>
      <c r="W82" s="198">
        <v>489</v>
      </c>
      <c r="X82" s="198">
        <v>297</v>
      </c>
      <c r="Y82" s="198">
        <v>110</v>
      </c>
      <c r="Z82" s="198">
        <v>4121</v>
      </c>
      <c r="AA82" s="198">
        <v>83</v>
      </c>
      <c r="AB82" s="198">
        <v>0</v>
      </c>
      <c r="AC82" s="198">
        <v>79</v>
      </c>
      <c r="AD82" s="198">
        <v>354.03</v>
      </c>
      <c r="AE82" s="198">
        <v>12.097844815411124</v>
      </c>
      <c r="AF82" s="198">
        <v>896</v>
      </c>
      <c r="AG82" s="198">
        <v>5025066.444301417</v>
      </c>
      <c r="AH82" s="198">
        <v>3063961.448610545</v>
      </c>
      <c r="AI82" s="198">
        <v>1448700.4218073434</v>
      </c>
      <c r="AJ82" s="198">
        <v>512404.5738835292</v>
      </c>
      <c r="AK82" s="198">
        <v>142</v>
      </c>
      <c r="AL82" s="198">
        <v>2089</v>
      </c>
      <c r="AM82" s="198">
        <v>0.545290831905914</v>
      </c>
      <c r="AN82" s="198">
        <v>79</v>
      </c>
      <c r="AO82" s="198">
        <v>0.01844501517627831</v>
      </c>
      <c r="AP82" s="198">
        <v>0.016721471570625087</v>
      </c>
      <c r="AQ82" s="198">
        <v>0</v>
      </c>
      <c r="AR82" s="198">
        <v>83</v>
      </c>
      <c r="AS82" s="198">
        <v>0</v>
      </c>
      <c r="AT82" s="198">
        <v>0</v>
      </c>
      <c r="AU82" s="198">
        <v>354.03</v>
      </c>
      <c r="AV82" s="198">
        <v>12.097844815411124</v>
      </c>
      <c r="AW82" s="198">
        <v>1.488070938713596</v>
      </c>
      <c r="AX82" s="198">
        <v>190</v>
      </c>
      <c r="AY82" s="198">
        <v>1282</v>
      </c>
      <c r="AZ82" s="198">
        <v>0.1482059282371295</v>
      </c>
      <c r="BA82" s="198">
        <v>0.08451706954147732</v>
      </c>
      <c r="BB82" s="198">
        <v>0.0516</v>
      </c>
      <c r="BC82" s="198">
        <v>1908</v>
      </c>
      <c r="BD82" s="198">
        <v>1952</v>
      </c>
      <c r="BE82" s="198">
        <v>0.9774590163934426</v>
      </c>
      <c r="BF82" s="198">
        <v>0.547820162097054</v>
      </c>
      <c r="BG82" s="198">
        <v>0</v>
      </c>
      <c r="BH82" s="198">
        <v>0</v>
      </c>
      <c r="BI82" s="198">
        <v>-428.3</v>
      </c>
      <c r="BJ82" s="198">
        <v>-1027.92</v>
      </c>
      <c r="BK82" s="198">
        <v>-17560.3</v>
      </c>
      <c r="BL82" s="198">
        <v>-1584.71</v>
      </c>
      <c r="BM82" s="198">
        <v>-22828.39</v>
      </c>
      <c r="BN82" s="198">
        <v>-513.96</v>
      </c>
      <c r="BO82" s="198">
        <v>-23093</v>
      </c>
      <c r="BP82" s="198">
        <v>2179.703014673665</v>
      </c>
      <c r="BQ82" s="198">
        <v>368269</v>
      </c>
      <c r="BR82" s="198">
        <v>129763</v>
      </c>
      <c r="BS82" s="198">
        <v>323098.58050311817</v>
      </c>
      <c r="BT82" s="198">
        <v>16486.611000444092</v>
      </c>
      <c r="BU82" s="198">
        <v>25574.44655187277</v>
      </c>
      <c r="BV82" s="198">
        <v>131319.51174693956</v>
      </c>
      <c r="BW82" s="198">
        <v>263353.84670746187</v>
      </c>
      <c r="BX82" s="198">
        <v>385.46999999999997</v>
      </c>
      <c r="BY82" s="198">
        <v>-35653.57065223552</v>
      </c>
      <c r="BZ82" s="198">
        <v>1201683.5988722746</v>
      </c>
      <c r="CA82" s="198">
        <v>1120606.4088722747</v>
      </c>
      <c r="CB82" s="198">
        <v>-315415.21841451706</v>
      </c>
      <c r="CC82" s="232">
        <v>2332315.5359047623</v>
      </c>
      <c r="CD82" s="198">
        <v>502375</v>
      </c>
      <c r="CE82" s="198">
        <v>142019.8501</v>
      </c>
      <c r="CH82" s="198">
        <v>4288</v>
      </c>
    </row>
    <row r="83" spans="1:86" ht="11.25">
      <c r="A83" s="198">
        <v>239</v>
      </c>
      <c r="B83" s="198" t="s">
        <v>159</v>
      </c>
      <c r="C83" s="198">
        <v>2398</v>
      </c>
      <c r="D83" s="198">
        <v>8831742.59</v>
      </c>
      <c r="E83" s="198">
        <v>4202083.306820367</v>
      </c>
      <c r="F83" s="198">
        <v>735158.7335850615</v>
      </c>
      <c r="G83" s="198">
        <v>13768984.630405428</v>
      </c>
      <c r="H83" s="198">
        <v>3642.26</v>
      </c>
      <c r="I83" s="198">
        <v>8734139.48</v>
      </c>
      <c r="J83" s="198">
        <v>5034845.150405427</v>
      </c>
      <c r="K83" s="198">
        <v>610852.5366245058</v>
      </c>
      <c r="L83" s="198">
        <v>635340.4784703082</v>
      </c>
      <c r="M83" s="198">
        <v>233718.12881068795</v>
      </c>
      <c r="N83" s="198">
        <v>6514756.29431093</v>
      </c>
      <c r="O83" s="198">
        <v>1709158.414564103</v>
      </c>
      <c r="P83" s="198">
        <v>8223914.708875033</v>
      </c>
      <c r="Q83" s="198">
        <v>106</v>
      </c>
      <c r="R83" s="198">
        <v>15</v>
      </c>
      <c r="S83" s="198">
        <v>115</v>
      </c>
      <c r="T83" s="198">
        <v>82</v>
      </c>
      <c r="U83" s="198">
        <v>54</v>
      </c>
      <c r="V83" s="198">
        <v>1313</v>
      </c>
      <c r="W83" s="198">
        <v>370</v>
      </c>
      <c r="X83" s="198">
        <v>240</v>
      </c>
      <c r="Y83" s="198">
        <v>103</v>
      </c>
      <c r="Z83" s="198">
        <v>2371</v>
      </c>
      <c r="AA83" s="198">
        <v>1</v>
      </c>
      <c r="AB83" s="198">
        <v>0</v>
      </c>
      <c r="AC83" s="198">
        <v>26</v>
      </c>
      <c r="AD83" s="198">
        <v>481.78</v>
      </c>
      <c r="AE83" s="198">
        <v>4.97737556561086</v>
      </c>
      <c r="AF83" s="198">
        <v>713</v>
      </c>
      <c r="AG83" s="198">
        <v>4202083.306820367</v>
      </c>
      <c r="AH83" s="198">
        <v>2583657.395919344</v>
      </c>
      <c r="AI83" s="198">
        <v>1149445.4534483019</v>
      </c>
      <c r="AJ83" s="198">
        <v>468980.4574527218</v>
      </c>
      <c r="AK83" s="198">
        <v>131</v>
      </c>
      <c r="AL83" s="198">
        <v>1084</v>
      </c>
      <c r="AM83" s="198">
        <v>0.9694385931639501</v>
      </c>
      <c r="AN83" s="198">
        <v>26</v>
      </c>
      <c r="AO83" s="198">
        <v>0.010842368640533779</v>
      </c>
      <c r="AP83" s="198">
        <v>0.009118825034880556</v>
      </c>
      <c r="AQ83" s="198">
        <v>0</v>
      </c>
      <c r="AR83" s="198">
        <v>1</v>
      </c>
      <c r="AS83" s="198">
        <v>0</v>
      </c>
      <c r="AT83" s="198">
        <v>0</v>
      </c>
      <c r="AU83" s="198">
        <v>481.78</v>
      </c>
      <c r="AV83" s="198">
        <v>4.97737556561086</v>
      </c>
      <c r="AW83" s="198">
        <v>3.6168561229859395</v>
      </c>
      <c r="AX83" s="198">
        <v>126</v>
      </c>
      <c r="AY83" s="198">
        <v>622</v>
      </c>
      <c r="AZ83" s="198">
        <v>0.20257234726688103</v>
      </c>
      <c r="BA83" s="198">
        <v>0.13888348857122884</v>
      </c>
      <c r="BB83" s="198">
        <v>0.9854833333333333</v>
      </c>
      <c r="BC83" s="198">
        <v>1103</v>
      </c>
      <c r="BD83" s="198">
        <v>908</v>
      </c>
      <c r="BE83" s="198">
        <v>1.2147577092511013</v>
      </c>
      <c r="BF83" s="198">
        <v>0.7851188549547128</v>
      </c>
      <c r="BG83" s="198">
        <v>0</v>
      </c>
      <c r="BH83" s="198">
        <v>0</v>
      </c>
      <c r="BI83" s="198">
        <v>-239.8</v>
      </c>
      <c r="BJ83" s="198">
        <v>-575.52</v>
      </c>
      <c r="BK83" s="198">
        <v>-9831.8</v>
      </c>
      <c r="BL83" s="198">
        <v>-887.26</v>
      </c>
      <c r="BM83" s="198">
        <v>-12781.34</v>
      </c>
      <c r="BN83" s="198">
        <v>-287.76</v>
      </c>
      <c r="BO83" s="198">
        <v>21867</v>
      </c>
      <c r="BP83" s="198">
        <v>-73467.48825489823</v>
      </c>
      <c r="BQ83" s="198">
        <v>226638</v>
      </c>
      <c r="BR83" s="198">
        <v>72396</v>
      </c>
      <c r="BS83" s="198">
        <v>170170.74847539567</v>
      </c>
      <c r="BT83" s="198">
        <v>10042.96654919932</v>
      </c>
      <c r="BU83" s="198">
        <v>29392.02557690102</v>
      </c>
      <c r="BV83" s="198">
        <v>99747.90671494628</v>
      </c>
      <c r="BW83" s="198">
        <v>135420.98892557272</v>
      </c>
      <c r="BX83" s="198">
        <v>215.82</v>
      </c>
      <c r="BY83" s="198">
        <v>-11689.349516808481</v>
      </c>
      <c r="BZ83" s="198">
        <v>680734.6184703083</v>
      </c>
      <c r="CA83" s="198">
        <v>635340.4784703082</v>
      </c>
      <c r="CB83" s="198">
        <v>233718.12881068795</v>
      </c>
      <c r="CC83" s="232">
        <v>1709158.414564103</v>
      </c>
      <c r="CD83" s="198">
        <v>-554836</v>
      </c>
      <c r="CE83" s="198">
        <v>31666.504060000007</v>
      </c>
      <c r="CH83" s="198">
        <v>2427</v>
      </c>
    </row>
    <row r="84" spans="1:86" ht="11.25">
      <c r="A84" s="198">
        <v>240</v>
      </c>
      <c r="B84" s="198" t="s">
        <v>160</v>
      </c>
      <c r="C84" s="198">
        <v>21929</v>
      </c>
      <c r="D84" s="198">
        <v>76514377.35</v>
      </c>
      <c r="E84" s="198">
        <v>34824166.22741264</v>
      </c>
      <c r="F84" s="198">
        <v>5568492.113346291</v>
      </c>
      <c r="G84" s="198">
        <v>116907035.69075893</v>
      </c>
      <c r="H84" s="198">
        <v>3642.26</v>
      </c>
      <c r="I84" s="198">
        <v>79871119.54</v>
      </c>
      <c r="J84" s="198">
        <v>37035916.15075892</v>
      </c>
      <c r="K84" s="198">
        <v>1079697.2281523126</v>
      </c>
      <c r="L84" s="198">
        <v>4676004.434935377</v>
      </c>
      <c r="M84" s="198">
        <v>0</v>
      </c>
      <c r="N84" s="198">
        <v>42791617.81384661</v>
      </c>
      <c r="O84" s="198">
        <v>3812800.185349398</v>
      </c>
      <c r="P84" s="198">
        <v>46604417.99919601</v>
      </c>
      <c r="Q84" s="198">
        <v>1314</v>
      </c>
      <c r="R84" s="198">
        <v>230</v>
      </c>
      <c r="S84" s="198">
        <v>1280</v>
      </c>
      <c r="T84" s="198">
        <v>640</v>
      </c>
      <c r="U84" s="198">
        <v>693</v>
      </c>
      <c r="V84" s="198">
        <v>12693</v>
      </c>
      <c r="W84" s="198">
        <v>2688</v>
      </c>
      <c r="X84" s="198">
        <v>1740</v>
      </c>
      <c r="Y84" s="198">
        <v>651</v>
      </c>
      <c r="Z84" s="198">
        <v>20995</v>
      </c>
      <c r="AA84" s="198">
        <v>31</v>
      </c>
      <c r="AB84" s="198">
        <v>5</v>
      </c>
      <c r="AC84" s="198">
        <v>898</v>
      </c>
      <c r="AD84" s="198">
        <v>95.41</v>
      </c>
      <c r="AE84" s="198">
        <v>229.83963945079134</v>
      </c>
      <c r="AF84" s="198">
        <v>5079</v>
      </c>
      <c r="AG84" s="198">
        <v>34824166.22741264</v>
      </c>
      <c r="AH84" s="198">
        <v>20351048.36995344</v>
      </c>
      <c r="AI84" s="198">
        <v>8610862.139300184</v>
      </c>
      <c r="AJ84" s="198">
        <v>5862255.718159023</v>
      </c>
      <c r="AK84" s="198">
        <v>1774</v>
      </c>
      <c r="AL84" s="198">
        <v>9397</v>
      </c>
      <c r="AM84" s="198">
        <v>1.5144072500576897</v>
      </c>
      <c r="AN84" s="198">
        <v>898</v>
      </c>
      <c r="AO84" s="198">
        <v>0.040950339732773955</v>
      </c>
      <c r="AP84" s="198">
        <v>0.03922679612712073</v>
      </c>
      <c r="AQ84" s="198">
        <v>0</v>
      </c>
      <c r="AR84" s="198">
        <v>31</v>
      </c>
      <c r="AS84" s="198">
        <v>5</v>
      </c>
      <c r="AT84" s="198">
        <v>0</v>
      </c>
      <c r="AU84" s="198">
        <v>95.41</v>
      </c>
      <c r="AV84" s="198">
        <v>229.83963945079134</v>
      </c>
      <c r="AW84" s="198">
        <v>0.07832613788421194</v>
      </c>
      <c r="AX84" s="198">
        <v>943</v>
      </c>
      <c r="AY84" s="198">
        <v>6212</v>
      </c>
      <c r="AZ84" s="198">
        <v>0.1518029620090148</v>
      </c>
      <c r="BA84" s="198">
        <v>0.08811410331336263</v>
      </c>
      <c r="BB84" s="198">
        <v>0</v>
      </c>
      <c r="BC84" s="198">
        <v>8941</v>
      </c>
      <c r="BD84" s="198">
        <v>7395</v>
      </c>
      <c r="BE84" s="198">
        <v>1.2090601757944557</v>
      </c>
      <c r="BF84" s="198">
        <v>0.7794213214980672</v>
      </c>
      <c r="BG84" s="198">
        <v>0</v>
      </c>
      <c r="BH84" s="198">
        <v>5</v>
      </c>
      <c r="BI84" s="198">
        <v>-2192.9</v>
      </c>
      <c r="BJ84" s="198">
        <v>-5262.96</v>
      </c>
      <c r="BK84" s="198">
        <v>-89908.9</v>
      </c>
      <c r="BL84" s="198">
        <v>-8113.73</v>
      </c>
      <c r="BM84" s="198">
        <v>-116881.57</v>
      </c>
      <c r="BN84" s="198">
        <v>-2631.48</v>
      </c>
      <c r="BO84" s="198">
        <v>232014</v>
      </c>
      <c r="BP84" s="198">
        <v>-426000.6102620363</v>
      </c>
      <c r="BQ84" s="198">
        <v>1605369</v>
      </c>
      <c r="BR84" s="198">
        <v>494139</v>
      </c>
      <c r="BS84" s="198">
        <v>1234156.566630016</v>
      </c>
      <c r="BT84" s="198">
        <v>53563.42652370573</v>
      </c>
      <c r="BU84" s="198">
        <v>235749.92125511618</v>
      </c>
      <c r="BV84" s="198">
        <v>637343.6350922355</v>
      </c>
      <c r="BW84" s="198">
        <v>921014.3141530353</v>
      </c>
      <c r="BX84" s="198">
        <v>1973.61</v>
      </c>
      <c r="BY84" s="198">
        <v>101797.54154330323</v>
      </c>
      <c r="BZ84" s="198">
        <v>5091120.404935377</v>
      </c>
      <c r="CA84" s="198">
        <v>4676004.434935377</v>
      </c>
      <c r="CB84" s="198">
        <v>0</v>
      </c>
      <c r="CC84" s="232">
        <v>3812800.185349398</v>
      </c>
      <c r="CD84" s="198">
        <v>-302249</v>
      </c>
      <c r="CE84" s="198">
        <v>-106866.66844000001</v>
      </c>
      <c r="CH84" s="198">
        <v>22120</v>
      </c>
    </row>
    <row r="85" spans="1:86" ht="11.25">
      <c r="A85" s="198">
        <v>320</v>
      </c>
      <c r="B85" s="198" t="s">
        <v>161</v>
      </c>
      <c r="C85" s="198">
        <v>7892</v>
      </c>
      <c r="D85" s="198">
        <v>27925217.660000004</v>
      </c>
      <c r="E85" s="198">
        <v>12764189.780383192</v>
      </c>
      <c r="F85" s="198">
        <v>4046502.443399743</v>
      </c>
      <c r="G85" s="198">
        <v>44735909.88378294</v>
      </c>
      <c r="H85" s="198">
        <v>3642.26</v>
      </c>
      <c r="I85" s="198">
        <v>28744715.92</v>
      </c>
      <c r="J85" s="198">
        <v>15991193.963782936</v>
      </c>
      <c r="K85" s="198">
        <v>3452346.873928116</v>
      </c>
      <c r="L85" s="198">
        <v>2331965.584398622</v>
      </c>
      <c r="M85" s="198">
        <v>1089968.1772809066</v>
      </c>
      <c r="N85" s="198">
        <v>22865474.59939058</v>
      </c>
      <c r="O85" s="198">
        <v>4374760.152</v>
      </c>
      <c r="P85" s="198">
        <v>27240234.75139058</v>
      </c>
      <c r="Q85" s="198">
        <v>283</v>
      </c>
      <c r="R85" s="198">
        <v>56</v>
      </c>
      <c r="S85" s="198">
        <v>323</v>
      </c>
      <c r="T85" s="198">
        <v>204</v>
      </c>
      <c r="U85" s="198">
        <v>212</v>
      </c>
      <c r="V85" s="198">
        <v>4197</v>
      </c>
      <c r="W85" s="198">
        <v>1348</v>
      </c>
      <c r="X85" s="198">
        <v>965</v>
      </c>
      <c r="Y85" s="198">
        <v>304</v>
      </c>
      <c r="Z85" s="198">
        <v>7793</v>
      </c>
      <c r="AA85" s="198">
        <v>3</v>
      </c>
      <c r="AB85" s="198">
        <v>2</v>
      </c>
      <c r="AC85" s="198">
        <v>94</v>
      </c>
      <c r="AD85" s="198">
        <v>3504.97</v>
      </c>
      <c r="AE85" s="198">
        <v>2.251659785961078</v>
      </c>
      <c r="AF85" s="198">
        <v>2617</v>
      </c>
      <c r="AG85" s="198">
        <v>12764189.780383192</v>
      </c>
      <c r="AH85" s="198">
        <v>8179399.885717586</v>
      </c>
      <c r="AI85" s="198">
        <v>2925988.6470087566</v>
      </c>
      <c r="AJ85" s="198">
        <v>1658801.2476568492</v>
      </c>
      <c r="AK85" s="198">
        <v>701</v>
      </c>
      <c r="AL85" s="198">
        <v>3285</v>
      </c>
      <c r="AM85" s="198">
        <v>1.7118311918105547</v>
      </c>
      <c r="AN85" s="198">
        <v>94</v>
      </c>
      <c r="AO85" s="198">
        <v>0.011910795742524075</v>
      </c>
      <c r="AP85" s="198">
        <v>0.010187252136870852</v>
      </c>
      <c r="AQ85" s="198">
        <v>0</v>
      </c>
      <c r="AR85" s="198">
        <v>3</v>
      </c>
      <c r="AS85" s="198">
        <v>2</v>
      </c>
      <c r="AT85" s="198">
        <v>0</v>
      </c>
      <c r="AU85" s="198">
        <v>3504.97</v>
      </c>
      <c r="AV85" s="198">
        <v>2.251659785961078</v>
      </c>
      <c r="AW85" s="198">
        <v>7.995191548529716</v>
      </c>
      <c r="AX85" s="198">
        <v>242</v>
      </c>
      <c r="AY85" s="198">
        <v>2031</v>
      </c>
      <c r="AZ85" s="198">
        <v>0.11915312653865091</v>
      </c>
      <c r="BA85" s="198">
        <v>0.05546426784299874</v>
      </c>
      <c r="BB85" s="198">
        <v>1.3012166666666667</v>
      </c>
      <c r="BC85" s="198">
        <v>2333</v>
      </c>
      <c r="BD85" s="198">
        <v>2528</v>
      </c>
      <c r="BE85" s="198">
        <v>0.9228639240506329</v>
      </c>
      <c r="BF85" s="198">
        <v>0.49322506975424435</v>
      </c>
      <c r="BG85" s="198">
        <v>0</v>
      </c>
      <c r="BH85" s="198">
        <v>2</v>
      </c>
      <c r="BI85" s="198">
        <v>-789.2</v>
      </c>
      <c r="BJ85" s="198">
        <v>-1894.08</v>
      </c>
      <c r="BK85" s="198">
        <v>-32357.199999999997</v>
      </c>
      <c r="BL85" s="198">
        <v>-2920.04</v>
      </c>
      <c r="BM85" s="198">
        <v>-42064.36</v>
      </c>
      <c r="BN85" s="198">
        <v>-947.04</v>
      </c>
      <c r="BO85" s="198">
        <v>102751</v>
      </c>
      <c r="BP85" s="198">
        <v>174912.97830431908</v>
      </c>
      <c r="BQ85" s="198">
        <v>624747</v>
      </c>
      <c r="BR85" s="198">
        <v>198738</v>
      </c>
      <c r="BS85" s="198">
        <v>550889.8707620313</v>
      </c>
      <c r="BT85" s="198">
        <v>29937.85605730105</v>
      </c>
      <c r="BU85" s="198">
        <v>97572.5961422533</v>
      </c>
      <c r="BV85" s="198">
        <v>274827.84891011514</v>
      </c>
      <c r="BW85" s="198">
        <v>367381.83073168556</v>
      </c>
      <c r="BX85" s="198">
        <v>710.28</v>
      </c>
      <c r="BY85" s="198">
        <v>58891.88349091692</v>
      </c>
      <c r="BZ85" s="198">
        <v>2481361.144398622</v>
      </c>
      <c r="CA85" s="198">
        <v>2331965.584398622</v>
      </c>
      <c r="CB85" s="198">
        <v>1089968.1772809066</v>
      </c>
      <c r="CC85" s="232">
        <v>4374760.152</v>
      </c>
      <c r="CD85" s="198">
        <v>-447321</v>
      </c>
      <c r="CE85" s="198">
        <v>-43583.47</v>
      </c>
      <c r="CH85" s="198">
        <v>7983</v>
      </c>
    </row>
    <row r="86" spans="1:86" ht="11.25">
      <c r="A86" s="198">
        <v>241</v>
      </c>
      <c r="B86" s="198" t="s">
        <v>162</v>
      </c>
      <c r="C86" s="198">
        <v>8469</v>
      </c>
      <c r="D86" s="198">
        <v>30459945.150000006</v>
      </c>
      <c r="E86" s="198">
        <v>9483251.936442673</v>
      </c>
      <c r="F86" s="198">
        <v>1538724.6135061174</v>
      </c>
      <c r="G86" s="198">
        <v>41481921.699948795</v>
      </c>
      <c r="H86" s="198">
        <v>3642.26</v>
      </c>
      <c r="I86" s="198">
        <v>30846299.94</v>
      </c>
      <c r="J86" s="198">
        <v>10635621.759948794</v>
      </c>
      <c r="K86" s="198">
        <v>158818.63288096877</v>
      </c>
      <c r="L86" s="198">
        <v>1817313.587592132</v>
      </c>
      <c r="M86" s="198">
        <v>0</v>
      </c>
      <c r="N86" s="198">
        <v>12611753.980421895</v>
      </c>
      <c r="O86" s="198">
        <v>1562968.397809522</v>
      </c>
      <c r="P86" s="198">
        <v>14174722.378231417</v>
      </c>
      <c r="Q86" s="198">
        <v>579</v>
      </c>
      <c r="R86" s="198">
        <v>113</v>
      </c>
      <c r="S86" s="198">
        <v>619</v>
      </c>
      <c r="T86" s="198">
        <v>330</v>
      </c>
      <c r="U86" s="198">
        <v>352</v>
      </c>
      <c r="V86" s="198">
        <v>4746</v>
      </c>
      <c r="W86" s="198">
        <v>1042</v>
      </c>
      <c r="X86" s="198">
        <v>490</v>
      </c>
      <c r="Y86" s="198">
        <v>198</v>
      </c>
      <c r="Z86" s="198">
        <v>8391</v>
      </c>
      <c r="AA86" s="198">
        <v>11</v>
      </c>
      <c r="AB86" s="198">
        <v>2</v>
      </c>
      <c r="AC86" s="198">
        <v>65</v>
      </c>
      <c r="AD86" s="198">
        <v>626.3</v>
      </c>
      <c r="AE86" s="198">
        <v>13.522273670764811</v>
      </c>
      <c r="AF86" s="198">
        <v>1730</v>
      </c>
      <c r="AG86" s="198">
        <v>9483251.936442673</v>
      </c>
      <c r="AH86" s="198">
        <v>5641952.500698561</v>
      </c>
      <c r="AI86" s="198">
        <v>2582000.059250694</v>
      </c>
      <c r="AJ86" s="198">
        <v>1259299.3764934195</v>
      </c>
      <c r="AK86" s="198">
        <v>562</v>
      </c>
      <c r="AL86" s="198">
        <v>3936</v>
      </c>
      <c r="AM86" s="198">
        <v>1.1454061675049334</v>
      </c>
      <c r="AN86" s="198">
        <v>65</v>
      </c>
      <c r="AO86" s="198">
        <v>0.007675050183020427</v>
      </c>
      <c r="AP86" s="198">
        <v>0.005951506577367204</v>
      </c>
      <c r="AQ86" s="198">
        <v>0</v>
      </c>
      <c r="AR86" s="198">
        <v>11</v>
      </c>
      <c r="AS86" s="198">
        <v>2</v>
      </c>
      <c r="AT86" s="198">
        <v>0</v>
      </c>
      <c r="AU86" s="198">
        <v>626.3</v>
      </c>
      <c r="AV86" s="198">
        <v>13.522273670764811</v>
      </c>
      <c r="AW86" s="198">
        <v>1.3313183662154084</v>
      </c>
      <c r="AX86" s="198">
        <v>255</v>
      </c>
      <c r="AY86" s="198">
        <v>2624</v>
      </c>
      <c r="AZ86" s="198">
        <v>0.09717987804878049</v>
      </c>
      <c r="BA86" s="198">
        <v>0.033491019353128315</v>
      </c>
      <c r="BB86" s="198">
        <v>0</v>
      </c>
      <c r="BC86" s="198">
        <v>2404</v>
      </c>
      <c r="BD86" s="198">
        <v>3309</v>
      </c>
      <c r="BE86" s="198">
        <v>0.7265034753702024</v>
      </c>
      <c r="BF86" s="198">
        <v>0.2968646210738139</v>
      </c>
      <c r="BG86" s="198">
        <v>0</v>
      </c>
      <c r="BH86" s="198">
        <v>2</v>
      </c>
      <c r="BI86" s="198">
        <v>-846.9000000000001</v>
      </c>
      <c r="BJ86" s="198">
        <v>-2032.56</v>
      </c>
      <c r="BK86" s="198">
        <v>-34722.899999999994</v>
      </c>
      <c r="BL86" s="198">
        <v>-3133.5299999999997</v>
      </c>
      <c r="BM86" s="198">
        <v>-45139.770000000004</v>
      </c>
      <c r="BN86" s="198">
        <v>-1016.28</v>
      </c>
      <c r="BO86" s="198">
        <v>199799</v>
      </c>
      <c r="BP86" s="198">
        <v>-51259.728174733</v>
      </c>
      <c r="BQ86" s="198">
        <v>609472</v>
      </c>
      <c r="BR86" s="198">
        <v>182802</v>
      </c>
      <c r="BS86" s="198">
        <v>410209.6764106429</v>
      </c>
      <c r="BT86" s="198">
        <v>10390.550986583485</v>
      </c>
      <c r="BU86" s="198">
        <v>43911.34983994796</v>
      </c>
      <c r="BV86" s="198">
        <v>190401.23360594365</v>
      </c>
      <c r="BW86" s="198">
        <v>352771.8216502109</v>
      </c>
      <c r="BX86" s="198">
        <v>762.2099999999999</v>
      </c>
      <c r="BY86" s="198">
        <v>28371.6432735361</v>
      </c>
      <c r="BZ86" s="198">
        <v>1977631.7575921318</v>
      </c>
      <c r="CA86" s="198">
        <v>1817313.587592132</v>
      </c>
      <c r="CB86" s="198">
        <v>0</v>
      </c>
      <c r="CC86" s="232">
        <v>1562968.397809522</v>
      </c>
      <c r="CD86" s="198">
        <v>-1138098</v>
      </c>
      <c r="CE86" s="198">
        <v>21169.113999999972</v>
      </c>
      <c r="CH86" s="198">
        <v>8565</v>
      </c>
    </row>
    <row r="87" spans="1:86" ht="11.25">
      <c r="A87" s="198">
        <v>322</v>
      </c>
      <c r="B87" s="198" t="s">
        <v>163</v>
      </c>
      <c r="C87" s="198">
        <v>6943</v>
      </c>
      <c r="D87" s="198">
        <v>26634580.71</v>
      </c>
      <c r="E87" s="198">
        <v>7714635.69098098</v>
      </c>
      <c r="F87" s="198">
        <v>5690832.595279709</v>
      </c>
      <c r="G87" s="198">
        <v>40040048.99626069</v>
      </c>
      <c r="H87" s="198">
        <v>3642.26</v>
      </c>
      <c r="I87" s="198">
        <v>25288211.18</v>
      </c>
      <c r="J87" s="198">
        <v>14751837.816260688</v>
      </c>
      <c r="K87" s="198">
        <v>694819.4717109578</v>
      </c>
      <c r="L87" s="198">
        <v>2144885.546678855</v>
      </c>
      <c r="M87" s="198">
        <v>1344607.646946579</v>
      </c>
      <c r="N87" s="198">
        <v>18936150.48159708</v>
      </c>
      <c r="O87" s="198">
        <v>4867081.039999996</v>
      </c>
      <c r="P87" s="198">
        <v>23803231.521597076</v>
      </c>
      <c r="Q87" s="198">
        <v>326</v>
      </c>
      <c r="R87" s="198">
        <v>57</v>
      </c>
      <c r="S87" s="198">
        <v>392</v>
      </c>
      <c r="T87" s="198">
        <v>217</v>
      </c>
      <c r="U87" s="198">
        <v>204</v>
      </c>
      <c r="V87" s="198">
        <v>3631</v>
      </c>
      <c r="W87" s="198">
        <v>1123</v>
      </c>
      <c r="X87" s="198">
        <v>661</v>
      </c>
      <c r="Y87" s="198">
        <v>332</v>
      </c>
      <c r="Z87" s="198">
        <v>1932</v>
      </c>
      <c r="AA87" s="198">
        <v>4847</v>
      </c>
      <c r="AB87" s="198">
        <v>0</v>
      </c>
      <c r="AC87" s="198">
        <v>164</v>
      </c>
      <c r="AD87" s="198">
        <v>686.93</v>
      </c>
      <c r="AE87" s="198">
        <v>10.107288952294994</v>
      </c>
      <c r="AF87" s="198">
        <v>2116</v>
      </c>
      <c r="AG87" s="198">
        <v>7714635.69098098</v>
      </c>
      <c r="AH87" s="198">
        <v>4626195.238544004</v>
      </c>
      <c r="AI87" s="198">
        <v>1985467.895094464</v>
      </c>
      <c r="AJ87" s="198">
        <v>1102972.5573425123</v>
      </c>
      <c r="AK87" s="198">
        <v>288</v>
      </c>
      <c r="AL87" s="198">
        <v>2996</v>
      </c>
      <c r="AM87" s="198">
        <v>0.7711324342814335</v>
      </c>
      <c r="AN87" s="198">
        <v>164</v>
      </c>
      <c r="AO87" s="198">
        <v>0.023620913149935186</v>
      </c>
      <c r="AP87" s="198">
        <v>0.021897369544281963</v>
      </c>
      <c r="AQ87" s="198">
        <v>3</v>
      </c>
      <c r="AR87" s="198">
        <v>4847</v>
      </c>
      <c r="AS87" s="198">
        <v>0</v>
      </c>
      <c r="AT87" s="198">
        <v>2</v>
      </c>
      <c r="AU87" s="198">
        <v>686.93</v>
      </c>
      <c r="AV87" s="198">
        <v>10.107288952294994</v>
      </c>
      <c r="AW87" s="198">
        <v>1.7811355127818471</v>
      </c>
      <c r="AX87" s="198">
        <v>368</v>
      </c>
      <c r="AY87" s="198">
        <v>1940</v>
      </c>
      <c r="AZ87" s="198">
        <v>0.18969072164948453</v>
      </c>
      <c r="BA87" s="198">
        <v>0.12600186295383237</v>
      </c>
      <c r="BB87" s="198">
        <v>0.3424</v>
      </c>
      <c r="BC87" s="198">
        <v>2368</v>
      </c>
      <c r="BD87" s="198">
        <v>2674</v>
      </c>
      <c r="BE87" s="198">
        <v>0.8855646970830217</v>
      </c>
      <c r="BF87" s="198">
        <v>0.4559258427866331</v>
      </c>
      <c r="BG87" s="198">
        <v>0</v>
      </c>
      <c r="BH87" s="198">
        <v>0</v>
      </c>
      <c r="BI87" s="198">
        <v>-694.3000000000001</v>
      </c>
      <c r="BJ87" s="198">
        <v>-1666.32</v>
      </c>
      <c r="BK87" s="198">
        <v>-28466.3</v>
      </c>
      <c r="BL87" s="198">
        <v>-2568.91</v>
      </c>
      <c r="BM87" s="198">
        <v>-37006.19</v>
      </c>
      <c r="BN87" s="198">
        <v>-833.16</v>
      </c>
      <c r="BO87" s="198">
        <v>-166132</v>
      </c>
      <c r="BP87" s="198">
        <v>440505.1809879467</v>
      </c>
      <c r="BQ87" s="198">
        <v>618448</v>
      </c>
      <c r="BR87" s="198">
        <v>210429</v>
      </c>
      <c r="BS87" s="198">
        <v>506104.77098058606</v>
      </c>
      <c r="BT87" s="198">
        <v>23784.463471682662</v>
      </c>
      <c r="BU87" s="198">
        <v>39674.23806238849</v>
      </c>
      <c r="BV87" s="198">
        <v>215753.55380291198</v>
      </c>
      <c r="BW87" s="198">
        <v>379558.7047770945</v>
      </c>
      <c r="BX87" s="198">
        <v>624.87</v>
      </c>
      <c r="BY87" s="198">
        <v>7565.754596244784</v>
      </c>
      <c r="BZ87" s="198">
        <v>2276316.5366788553</v>
      </c>
      <c r="CA87" s="198">
        <v>2144885.546678855</v>
      </c>
      <c r="CB87" s="198">
        <v>1344607.646946579</v>
      </c>
      <c r="CC87" s="232">
        <v>4867081.039999996</v>
      </c>
      <c r="CD87" s="198">
        <v>-767651</v>
      </c>
      <c r="CE87" s="198">
        <v>99681.62209999998</v>
      </c>
      <c r="CH87" s="198">
        <v>7012</v>
      </c>
    </row>
    <row r="88" spans="1:86" ht="11.25">
      <c r="A88" s="198">
        <v>244</v>
      </c>
      <c r="B88" s="198" t="s">
        <v>164</v>
      </c>
      <c r="C88" s="198">
        <v>16889</v>
      </c>
      <c r="D88" s="198">
        <v>63113295.39000001</v>
      </c>
      <c r="E88" s="198">
        <v>15969365.153998861</v>
      </c>
      <c r="F88" s="198">
        <v>1816850.1832669529</v>
      </c>
      <c r="G88" s="198">
        <v>80899510.72726582</v>
      </c>
      <c r="H88" s="198">
        <v>3642.26</v>
      </c>
      <c r="I88" s="198">
        <v>61514129.14</v>
      </c>
      <c r="J88" s="198">
        <v>19385381.58726582</v>
      </c>
      <c r="K88" s="198">
        <v>321557.6788783746</v>
      </c>
      <c r="L88" s="198">
        <v>2454154.3359726337</v>
      </c>
      <c r="M88" s="198">
        <v>0</v>
      </c>
      <c r="N88" s="198">
        <v>22161093.602116827</v>
      </c>
      <c r="O88" s="198">
        <v>3221370.7629268235</v>
      </c>
      <c r="P88" s="198">
        <v>25382464.36504365</v>
      </c>
      <c r="Q88" s="198">
        <v>1728</v>
      </c>
      <c r="R88" s="198">
        <v>279</v>
      </c>
      <c r="S88" s="198">
        <v>1713</v>
      </c>
      <c r="T88" s="198">
        <v>764</v>
      </c>
      <c r="U88" s="198">
        <v>753</v>
      </c>
      <c r="V88" s="198">
        <v>9427</v>
      </c>
      <c r="W88" s="198">
        <v>1415</v>
      </c>
      <c r="X88" s="198">
        <v>665</v>
      </c>
      <c r="Y88" s="198">
        <v>145</v>
      </c>
      <c r="Z88" s="198">
        <v>16671</v>
      </c>
      <c r="AA88" s="198">
        <v>37</v>
      </c>
      <c r="AB88" s="198">
        <v>7</v>
      </c>
      <c r="AC88" s="198">
        <v>174</v>
      </c>
      <c r="AD88" s="198">
        <v>110.11</v>
      </c>
      <c r="AE88" s="198">
        <v>153.38298065570794</v>
      </c>
      <c r="AF88" s="198">
        <v>2225</v>
      </c>
      <c r="AG88" s="198">
        <v>15969365.153998861</v>
      </c>
      <c r="AH88" s="198">
        <v>10219218.534607094</v>
      </c>
      <c r="AI88" s="198">
        <v>3327080.9225527057</v>
      </c>
      <c r="AJ88" s="198">
        <v>2423065.6968390625</v>
      </c>
      <c r="AK88" s="198">
        <v>929</v>
      </c>
      <c r="AL88" s="198">
        <v>7812</v>
      </c>
      <c r="AM88" s="198">
        <v>0.9539635275397916</v>
      </c>
      <c r="AN88" s="198">
        <v>174</v>
      </c>
      <c r="AO88" s="198">
        <v>0.010302563798922375</v>
      </c>
      <c r="AP88" s="198">
        <v>0.008579020193269152</v>
      </c>
      <c r="AQ88" s="198">
        <v>0</v>
      </c>
      <c r="AR88" s="198">
        <v>37</v>
      </c>
      <c r="AS88" s="198">
        <v>7</v>
      </c>
      <c r="AT88" s="198">
        <v>0</v>
      </c>
      <c r="AU88" s="198">
        <v>110.11</v>
      </c>
      <c r="AV88" s="198">
        <v>153.38298065570794</v>
      </c>
      <c r="AW88" s="198">
        <v>0.1173692883911909</v>
      </c>
      <c r="AX88" s="198">
        <v>375</v>
      </c>
      <c r="AY88" s="198">
        <v>5888</v>
      </c>
      <c r="AZ88" s="198">
        <v>0.06368885869565218</v>
      </c>
      <c r="BA88" s="198">
        <v>0</v>
      </c>
      <c r="BB88" s="198">
        <v>0</v>
      </c>
      <c r="BC88" s="198">
        <v>5099</v>
      </c>
      <c r="BD88" s="198">
        <v>6975</v>
      </c>
      <c r="BE88" s="198">
        <v>0.7310394265232975</v>
      </c>
      <c r="BF88" s="198">
        <v>0.3014005722269089</v>
      </c>
      <c r="BG88" s="198">
        <v>0</v>
      </c>
      <c r="BH88" s="198">
        <v>7</v>
      </c>
      <c r="BI88" s="198">
        <v>-1688.9</v>
      </c>
      <c r="BJ88" s="198">
        <v>-4053.3599999999997</v>
      </c>
      <c r="BK88" s="198">
        <v>-69244.9</v>
      </c>
      <c r="BL88" s="198">
        <v>-6248.93</v>
      </c>
      <c r="BM88" s="198">
        <v>-90018.37</v>
      </c>
      <c r="BN88" s="198">
        <v>-2026.6799999999998</v>
      </c>
      <c r="BO88" s="198">
        <v>263490</v>
      </c>
      <c r="BP88" s="198">
        <v>-424852.51182803884</v>
      </c>
      <c r="BQ88" s="198">
        <v>919994</v>
      </c>
      <c r="BR88" s="198">
        <v>296488</v>
      </c>
      <c r="BS88" s="198">
        <v>624369.9919575528</v>
      </c>
      <c r="BT88" s="198">
        <v>3533.460709059112</v>
      </c>
      <c r="BU88" s="198">
        <v>-19829.64682387213</v>
      </c>
      <c r="BV88" s="198">
        <v>344264.08235237317</v>
      </c>
      <c r="BW88" s="198">
        <v>667014.802219419</v>
      </c>
      <c r="BX88" s="198">
        <v>1520.01</v>
      </c>
      <c r="BY88" s="198">
        <v>97870.91738614051</v>
      </c>
      <c r="BZ88" s="198">
        <v>2773863.1059726337</v>
      </c>
      <c r="CA88" s="198">
        <v>2454154.3359726337</v>
      </c>
      <c r="CB88" s="198">
        <v>0</v>
      </c>
      <c r="CC88" s="232">
        <v>3221370.7629268235</v>
      </c>
      <c r="CD88" s="198">
        <v>-1658928</v>
      </c>
      <c r="CE88" s="198">
        <v>-290234.7791500001</v>
      </c>
      <c r="CH88" s="198">
        <v>16605</v>
      </c>
    </row>
    <row r="89" spans="1:86" ht="11.25">
      <c r="A89" s="198">
        <v>245</v>
      </c>
      <c r="B89" s="198" t="s">
        <v>165</v>
      </c>
      <c r="C89" s="198">
        <v>35317</v>
      </c>
      <c r="D89" s="198">
        <v>112498007.81000002</v>
      </c>
      <c r="E89" s="198">
        <v>35946099.10774304</v>
      </c>
      <c r="F89" s="198">
        <v>9811403.404441196</v>
      </c>
      <c r="G89" s="198">
        <v>158255510.32218426</v>
      </c>
      <c r="H89" s="198">
        <v>3642.26</v>
      </c>
      <c r="I89" s="198">
        <v>128633696.42</v>
      </c>
      <c r="J89" s="198">
        <v>29621813.902184263</v>
      </c>
      <c r="K89" s="198">
        <v>704076.5532604182</v>
      </c>
      <c r="L89" s="198">
        <v>4125730.8097030898</v>
      </c>
      <c r="M89" s="198">
        <v>0</v>
      </c>
      <c r="N89" s="198">
        <v>34451621.265147775</v>
      </c>
      <c r="O89" s="198">
        <v>-6661219.628033286</v>
      </c>
      <c r="P89" s="198">
        <v>27790401.637114488</v>
      </c>
      <c r="Q89" s="198">
        <v>2419</v>
      </c>
      <c r="R89" s="198">
        <v>418</v>
      </c>
      <c r="S89" s="198">
        <v>2350</v>
      </c>
      <c r="T89" s="198">
        <v>1131</v>
      </c>
      <c r="U89" s="198">
        <v>1219</v>
      </c>
      <c r="V89" s="198">
        <v>21835</v>
      </c>
      <c r="W89" s="198">
        <v>3852</v>
      </c>
      <c r="X89" s="198">
        <v>1606</v>
      </c>
      <c r="Y89" s="198">
        <v>487</v>
      </c>
      <c r="Z89" s="198">
        <v>32048</v>
      </c>
      <c r="AA89" s="198">
        <v>420</v>
      </c>
      <c r="AB89" s="198">
        <v>0</v>
      </c>
      <c r="AC89" s="198">
        <v>2849</v>
      </c>
      <c r="AD89" s="198">
        <v>30.62</v>
      </c>
      <c r="AE89" s="198">
        <v>1153.3964728935337</v>
      </c>
      <c r="AF89" s="198">
        <v>5945</v>
      </c>
      <c r="AG89" s="198">
        <v>35946099.10774304</v>
      </c>
      <c r="AH89" s="198">
        <v>21984371.979333967</v>
      </c>
      <c r="AI89" s="198">
        <v>9028747.501869328</v>
      </c>
      <c r="AJ89" s="198">
        <v>4932979.626539741</v>
      </c>
      <c r="AK89" s="198">
        <v>1781</v>
      </c>
      <c r="AL89" s="198">
        <v>18067</v>
      </c>
      <c r="AM89" s="198">
        <v>0.7907808913626821</v>
      </c>
      <c r="AN89" s="198">
        <v>2849</v>
      </c>
      <c r="AO89" s="198">
        <v>0.08066936602769205</v>
      </c>
      <c r="AP89" s="198">
        <v>0.07894582242203882</v>
      </c>
      <c r="AQ89" s="198">
        <v>0</v>
      </c>
      <c r="AR89" s="198">
        <v>420</v>
      </c>
      <c r="AS89" s="198">
        <v>0</v>
      </c>
      <c r="AT89" s="198">
        <v>0</v>
      </c>
      <c r="AU89" s="198">
        <v>30.62</v>
      </c>
      <c r="AV89" s="198">
        <v>1153.3964728935337</v>
      </c>
      <c r="AW89" s="198">
        <v>0.015608207337167737</v>
      </c>
      <c r="AX89" s="198">
        <v>2202</v>
      </c>
      <c r="AY89" s="198">
        <v>11911</v>
      </c>
      <c r="AZ89" s="198">
        <v>0.1848711275291747</v>
      </c>
      <c r="BA89" s="198">
        <v>0.12118226883352252</v>
      </c>
      <c r="BB89" s="198">
        <v>0</v>
      </c>
      <c r="BC89" s="198">
        <v>12265</v>
      </c>
      <c r="BD89" s="198">
        <v>16458</v>
      </c>
      <c r="BE89" s="198">
        <v>0.7452302831449751</v>
      </c>
      <c r="BF89" s="198">
        <v>0.31559142884858654</v>
      </c>
      <c r="BG89" s="198">
        <v>0</v>
      </c>
      <c r="BH89" s="198">
        <v>0</v>
      </c>
      <c r="BI89" s="198">
        <v>-3531.7000000000003</v>
      </c>
      <c r="BJ89" s="198">
        <v>-8476.08</v>
      </c>
      <c r="BK89" s="198">
        <v>-144799.69999999998</v>
      </c>
      <c r="BL89" s="198">
        <v>-13067.289999999999</v>
      </c>
      <c r="BM89" s="198">
        <v>-188239.61000000002</v>
      </c>
      <c r="BN89" s="198">
        <v>-4238.04</v>
      </c>
      <c r="BO89" s="198">
        <v>-804283</v>
      </c>
      <c r="BP89" s="198">
        <v>-443347.1452234015</v>
      </c>
      <c r="BQ89" s="198">
        <v>1849095</v>
      </c>
      <c r="BR89" s="198">
        <v>688975</v>
      </c>
      <c r="BS89" s="198">
        <v>1471577.4084279276</v>
      </c>
      <c r="BT89" s="198">
        <v>31452.156286973168</v>
      </c>
      <c r="BU89" s="198">
        <v>-7625.718145323078</v>
      </c>
      <c r="BV89" s="198">
        <v>604880.6672849297</v>
      </c>
      <c r="BW89" s="198">
        <v>1554082.7862965069</v>
      </c>
      <c r="BX89" s="198">
        <v>3178.5299999999997</v>
      </c>
      <c r="BY89" s="198">
        <v>-153704.06522452366</v>
      </c>
      <c r="BZ89" s="198">
        <v>4794281.61970309</v>
      </c>
      <c r="CA89" s="198">
        <v>4125730.8097030898</v>
      </c>
      <c r="CB89" s="198">
        <v>0</v>
      </c>
      <c r="CC89" s="232">
        <v>-6661219.628033286</v>
      </c>
      <c r="CD89" s="198">
        <v>-4335257</v>
      </c>
      <c r="CE89" s="198">
        <v>-712412.9101359998</v>
      </c>
      <c r="CH89" s="198">
        <v>34913</v>
      </c>
    </row>
    <row r="90" spans="1:86" ht="11.25">
      <c r="A90" s="198">
        <v>249</v>
      </c>
      <c r="B90" s="198" t="s">
        <v>166</v>
      </c>
      <c r="C90" s="198">
        <v>10177</v>
      </c>
      <c r="D90" s="198">
        <v>37394013.309999995</v>
      </c>
      <c r="E90" s="198">
        <v>15662142.150258126</v>
      </c>
      <c r="F90" s="198">
        <v>2503245.844469522</v>
      </c>
      <c r="G90" s="198">
        <v>55559401.304727644</v>
      </c>
      <c r="H90" s="198">
        <v>3642.26</v>
      </c>
      <c r="I90" s="198">
        <v>37067280.02</v>
      </c>
      <c r="J90" s="198">
        <v>18492121.28472764</v>
      </c>
      <c r="K90" s="198">
        <v>368626.28353102796</v>
      </c>
      <c r="L90" s="198">
        <v>3430751.7264592005</v>
      </c>
      <c r="M90" s="198">
        <v>5616.6422883384275</v>
      </c>
      <c r="N90" s="198">
        <v>22297115.93700621</v>
      </c>
      <c r="O90" s="198">
        <v>5412281.830829269</v>
      </c>
      <c r="P90" s="198">
        <v>27709397.76783548</v>
      </c>
      <c r="Q90" s="198">
        <v>571</v>
      </c>
      <c r="R90" s="198">
        <v>92</v>
      </c>
      <c r="S90" s="198">
        <v>575</v>
      </c>
      <c r="T90" s="198">
        <v>274</v>
      </c>
      <c r="U90" s="198">
        <v>318</v>
      </c>
      <c r="V90" s="198">
        <v>5394</v>
      </c>
      <c r="W90" s="198">
        <v>1606</v>
      </c>
      <c r="X90" s="198">
        <v>961</v>
      </c>
      <c r="Y90" s="198">
        <v>386</v>
      </c>
      <c r="Z90" s="198">
        <v>10020</v>
      </c>
      <c r="AA90" s="198">
        <v>13</v>
      </c>
      <c r="AB90" s="198">
        <v>0</v>
      </c>
      <c r="AC90" s="198">
        <v>144</v>
      </c>
      <c r="AD90" s="198">
        <v>1258.03</v>
      </c>
      <c r="AE90" s="198">
        <v>8.089632202729664</v>
      </c>
      <c r="AF90" s="198">
        <v>2953</v>
      </c>
      <c r="AG90" s="198">
        <v>15662142.150258126</v>
      </c>
      <c r="AH90" s="198">
        <v>9233551.51210856</v>
      </c>
      <c r="AI90" s="198">
        <v>4578723.278197161</v>
      </c>
      <c r="AJ90" s="198">
        <v>1849867.3599524028</v>
      </c>
      <c r="AK90" s="198">
        <v>624</v>
      </c>
      <c r="AL90" s="198">
        <v>4423</v>
      </c>
      <c r="AM90" s="198">
        <v>1.1317381132863542</v>
      </c>
      <c r="AN90" s="198">
        <v>144</v>
      </c>
      <c r="AO90" s="198">
        <v>0.01414955291343225</v>
      </c>
      <c r="AP90" s="198">
        <v>0.012426009307779026</v>
      </c>
      <c r="AQ90" s="198">
        <v>0</v>
      </c>
      <c r="AR90" s="198">
        <v>13</v>
      </c>
      <c r="AS90" s="198">
        <v>0</v>
      </c>
      <c r="AT90" s="198">
        <v>0</v>
      </c>
      <c r="AU90" s="198">
        <v>1258.03</v>
      </c>
      <c r="AV90" s="198">
        <v>8.089632202729664</v>
      </c>
      <c r="AW90" s="198">
        <v>2.225373272817733</v>
      </c>
      <c r="AX90" s="198">
        <v>380</v>
      </c>
      <c r="AY90" s="198">
        <v>2736</v>
      </c>
      <c r="AZ90" s="198">
        <v>0.1388888888888889</v>
      </c>
      <c r="BA90" s="198">
        <v>0.07520003019323672</v>
      </c>
      <c r="BB90" s="198">
        <v>0</v>
      </c>
      <c r="BC90" s="198">
        <v>3634</v>
      </c>
      <c r="BD90" s="198">
        <v>3623</v>
      </c>
      <c r="BE90" s="198">
        <v>1.0030361578802098</v>
      </c>
      <c r="BF90" s="198">
        <v>0.5733973035838213</v>
      </c>
      <c r="BG90" s="198">
        <v>0</v>
      </c>
      <c r="BH90" s="198">
        <v>0</v>
      </c>
      <c r="BI90" s="198">
        <v>-1017.7</v>
      </c>
      <c r="BJ90" s="198">
        <v>-2442.48</v>
      </c>
      <c r="BK90" s="198">
        <v>-41725.7</v>
      </c>
      <c r="BL90" s="198">
        <v>-3765.49</v>
      </c>
      <c r="BM90" s="198">
        <v>-54243.41</v>
      </c>
      <c r="BN90" s="198">
        <v>-1221.24</v>
      </c>
      <c r="BO90" s="198">
        <v>189982</v>
      </c>
      <c r="BP90" s="198">
        <v>817469.7983167842</v>
      </c>
      <c r="BQ90" s="198">
        <v>840543</v>
      </c>
      <c r="BR90" s="198">
        <v>275658</v>
      </c>
      <c r="BS90" s="198">
        <v>616042.5769579562</v>
      </c>
      <c r="BT90" s="198">
        <v>27456.298720062765</v>
      </c>
      <c r="BU90" s="198">
        <v>-5142.00613193496</v>
      </c>
      <c r="BV90" s="198">
        <v>332187.6762118307</v>
      </c>
      <c r="BW90" s="198">
        <v>516926.0423231618</v>
      </c>
      <c r="BX90" s="198">
        <v>915.93</v>
      </c>
      <c r="BY90" s="198">
        <v>11363.020061339732</v>
      </c>
      <c r="BZ90" s="198">
        <v>3623402.3364592004</v>
      </c>
      <c r="CA90" s="198">
        <v>3430751.7264592005</v>
      </c>
      <c r="CB90" s="198">
        <v>5616.6422883384275</v>
      </c>
      <c r="CC90" s="232">
        <v>5412281.830829269</v>
      </c>
      <c r="CD90" s="198">
        <v>-603900</v>
      </c>
      <c r="CE90" s="198">
        <v>74440.56676000002</v>
      </c>
      <c r="CH90" s="198">
        <v>10310</v>
      </c>
    </row>
    <row r="91" spans="1:86" ht="11.25">
      <c r="A91" s="198">
        <v>250</v>
      </c>
      <c r="B91" s="198" t="s">
        <v>167</v>
      </c>
      <c r="C91" s="198">
        <v>2080</v>
      </c>
      <c r="D91" s="198">
        <v>7793689.8</v>
      </c>
      <c r="E91" s="198">
        <v>3422605.8586326735</v>
      </c>
      <c r="F91" s="198">
        <v>588532.5413286617</v>
      </c>
      <c r="G91" s="198">
        <v>11804828.199961334</v>
      </c>
      <c r="H91" s="198">
        <v>3642.26</v>
      </c>
      <c r="I91" s="198">
        <v>7575900.800000001</v>
      </c>
      <c r="J91" s="198">
        <v>4228927.399961334</v>
      </c>
      <c r="K91" s="198">
        <v>263277.9580678375</v>
      </c>
      <c r="L91" s="198">
        <v>757102.1881910022</v>
      </c>
      <c r="M91" s="198">
        <v>-149723.53743987437</v>
      </c>
      <c r="N91" s="198">
        <v>5099584.008780299</v>
      </c>
      <c r="O91" s="198">
        <v>1949556.638341462</v>
      </c>
      <c r="P91" s="198">
        <v>7049140.647121761</v>
      </c>
      <c r="Q91" s="198">
        <v>124</v>
      </c>
      <c r="R91" s="198">
        <v>16</v>
      </c>
      <c r="S91" s="198">
        <v>109</v>
      </c>
      <c r="T91" s="198">
        <v>57</v>
      </c>
      <c r="U91" s="198">
        <v>63</v>
      </c>
      <c r="V91" s="198">
        <v>1138</v>
      </c>
      <c r="W91" s="198">
        <v>281</v>
      </c>
      <c r="X91" s="198">
        <v>203</v>
      </c>
      <c r="Y91" s="198">
        <v>89</v>
      </c>
      <c r="Z91" s="198">
        <v>2056</v>
      </c>
      <c r="AA91" s="198">
        <v>0</v>
      </c>
      <c r="AB91" s="198">
        <v>0</v>
      </c>
      <c r="AC91" s="198">
        <v>24</v>
      </c>
      <c r="AD91" s="198">
        <v>357.1</v>
      </c>
      <c r="AE91" s="198">
        <v>5.824698963875664</v>
      </c>
      <c r="AF91" s="198">
        <v>573</v>
      </c>
      <c r="AG91" s="198">
        <v>3422605.8586326735</v>
      </c>
      <c r="AH91" s="198">
        <v>2004355.152152055</v>
      </c>
      <c r="AI91" s="198">
        <v>1044803.3051756738</v>
      </c>
      <c r="AJ91" s="198">
        <v>373447.40130494506</v>
      </c>
      <c r="AK91" s="198">
        <v>107</v>
      </c>
      <c r="AL91" s="198">
        <v>895</v>
      </c>
      <c r="AM91" s="198">
        <v>0.9590451067755575</v>
      </c>
      <c r="AN91" s="198">
        <v>24</v>
      </c>
      <c r="AO91" s="198">
        <v>0.011538461538461539</v>
      </c>
      <c r="AP91" s="198">
        <v>0.009814917932808316</v>
      </c>
      <c r="AQ91" s="198">
        <v>0</v>
      </c>
      <c r="AR91" s="198">
        <v>0</v>
      </c>
      <c r="AS91" s="198">
        <v>0</v>
      </c>
      <c r="AT91" s="198">
        <v>0</v>
      </c>
      <c r="AU91" s="198">
        <v>357.1</v>
      </c>
      <c r="AV91" s="198">
        <v>5.824698963875664</v>
      </c>
      <c r="AW91" s="198">
        <v>3.0907093057564112</v>
      </c>
      <c r="AX91" s="198">
        <v>110</v>
      </c>
      <c r="AY91" s="198">
        <v>565</v>
      </c>
      <c r="AZ91" s="198">
        <v>0.19469026548672566</v>
      </c>
      <c r="BA91" s="198">
        <v>0.13100140679107347</v>
      </c>
      <c r="BB91" s="198">
        <v>0.45276666666666665</v>
      </c>
      <c r="BC91" s="198">
        <v>739</v>
      </c>
      <c r="BD91" s="198">
        <v>785</v>
      </c>
      <c r="BE91" s="198">
        <v>0.9414012738853503</v>
      </c>
      <c r="BF91" s="198">
        <v>0.5117624195889618</v>
      </c>
      <c r="BG91" s="198">
        <v>0</v>
      </c>
      <c r="BH91" s="198">
        <v>0</v>
      </c>
      <c r="BI91" s="198">
        <v>-208</v>
      </c>
      <c r="BJ91" s="198">
        <v>-499.2</v>
      </c>
      <c r="BK91" s="198">
        <v>-8528</v>
      </c>
      <c r="BL91" s="198">
        <v>-769.6</v>
      </c>
      <c r="BM91" s="198">
        <v>-11086.4</v>
      </c>
      <c r="BN91" s="198">
        <v>-249.6</v>
      </c>
      <c r="BO91" s="198">
        <v>-6236</v>
      </c>
      <c r="BP91" s="198">
        <v>82427.22236314509</v>
      </c>
      <c r="BQ91" s="198">
        <v>219048</v>
      </c>
      <c r="BR91" s="198">
        <v>68340</v>
      </c>
      <c r="BS91" s="198">
        <v>185745.72702158507</v>
      </c>
      <c r="BT91" s="198">
        <v>10832.417464142347</v>
      </c>
      <c r="BU91" s="198">
        <v>24966.191205261683</v>
      </c>
      <c r="BV91" s="198">
        <v>84210.02610541235</v>
      </c>
      <c r="BW91" s="198">
        <v>135876.58224434132</v>
      </c>
      <c r="BX91" s="198">
        <v>187.2</v>
      </c>
      <c r="BY91" s="198">
        <v>-8920.778212885716</v>
      </c>
      <c r="BZ91" s="198">
        <v>796476.5881910023</v>
      </c>
      <c r="CA91" s="198">
        <v>757102.1881910022</v>
      </c>
      <c r="CB91" s="198">
        <v>-149723.53743987437</v>
      </c>
      <c r="CC91" s="232">
        <v>1949556.638341462</v>
      </c>
      <c r="CD91" s="198">
        <v>-594806</v>
      </c>
      <c r="CE91" s="198">
        <v>-47194.6718</v>
      </c>
      <c r="CH91" s="198">
        <v>2111</v>
      </c>
    </row>
    <row r="92" spans="1:86" ht="11.25">
      <c r="A92" s="198">
        <v>256</v>
      </c>
      <c r="B92" s="198" t="s">
        <v>168</v>
      </c>
      <c r="C92" s="198">
        <v>1766</v>
      </c>
      <c r="D92" s="198">
        <v>6685059.640000001</v>
      </c>
      <c r="E92" s="198">
        <v>2481882.9182408415</v>
      </c>
      <c r="F92" s="198">
        <v>659637.9037438732</v>
      </c>
      <c r="G92" s="198">
        <v>9826580.461984714</v>
      </c>
      <c r="H92" s="198">
        <v>3642.26</v>
      </c>
      <c r="I92" s="198">
        <v>6432231.16</v>
      </c>
      <c r="J92" s="198">
        <v>3394349.3019847143</v>
      </c>
      <c r="K92" s="198">
        <v>739513.7918195956</v>
      </c>
      <c r="L92" s="198">
        <v>643642.9311566773</v>
      </c>
      <c r="M92" s="198">
        <v>476083.77913651144</v>
      </c>
      <c r="N92" s="198">
        <v>5253589.804097499</v>
      </c>
      <c r="O92" s="198">
        <v>1839435.8439024389</v>
      </c>
      <c r="P92" s="198">
        <v>7093025.647999938</v>
      </c>
      <c r="Q92" s="198">
        <v>118</v>
      </c>
      <c r="R92" s="198">
        <v>16</v>
      </c>
      <c r="S92" s="198">
        <v>121</v>
      </c>
      <c r="T92" s="198">
        <v>63</v>
      </c>
      <c r="U92" s="198">
        <v>63</v>
      </c>
      <c r="V92" s="198">
        <v>916</v>
      </c>
      <c r="W92" s="198">
        <v>256</v>
      </c>
      <c r="X92" s="198">
        <v>158</v>
      </c>
      <c r="Y92" s="198">
        <v>55</v>
      </c>
      <c r="Z92" s="198">
        <v>1752</v>
      </c>
      <c r="AA92" s="198">
        <v>1</v>
      </c>
      <c r="AB92" s="198">
        <v>0</v>
      </c>
      <c r="AC92" s="198">
        <v>13</v>
      </c>
      <c r="AD92" s="198">
        <v>460.24</v>
      </c>
      <c r="AE92" s="198">
        <v>3.8371284547192768</v>
      </c>
      <c r="AF92" s="198">
        <v>469</v>
      </c>
      <c r="AG92" s="198">
        <v>2481882.9182408415</v>
      </c>
      <c r="AH92" s="198">
        <v>1572931.4563046745</v>
      </c>
      <c r="AI92" s="198">
        <v>604982.6469205141</v>
      </c>
      <c r="AJ92" s="198">
        <v>303968.815015653</v>
      </c>
      <c r="AK92" s="198">
        <v>126</v>
      </c>
      <c r="AL92" s="198">
        <v>701</v>
      </c>
      <c r="AM92" s="198">
        <v>1.44188564655405</v>
      </c>
      <c r="AN92" s="198">
        <v>13</v>
      </c>
      <c r="AO92" s="198">
        <v>0.007361268403171008</v>
      </c>
      <c r="AP92" s="198">
        <v>0.005637724797517785</v>
      </c>
      <c r="AQ92" s="198">
        <v>0</v>
      </c>
      <c r="AR92" s="198">
        <v>1</v>
      </c>
      <c r="AS92" s="198">
        <v>0</v>
      </c>
      <c r="AT92" s="198">
        <v>0</v>
      </c>
      <c r="AU92" s="198">
        <v>460.24</v>
      </c>
      <c r="AV92" s="198">
        <v>3.8371284547192768</v>
      </c>
      <c r="AW92" s="198">
        <v>4.691646762239367</v>
      </c>
      <c r="AX92" s="198">
        <v>78</v>
      </c>
      <c r="AY92" s="198">
        <v>443</v>
      </c>
      <c r="AZ92" s="198">
        <v>0.17607223476297967</v>
      </c>
      <c r="BA92" s="198">
        <v>0.1123833760673275</v>
      </c>
      <c r="BB92" s="198">
        <v>1.2447166666666667</v>
      </c>
      <c r="BC92" s="198">
        <v>502</v>
      </c>
      <c r="BD92" s="198">
        <v>554</v>
      </c>
      <c r="BE92" s="198">
        <v>0.9061371841155235</v>
      </c>
      <c r="BF92" s="198">
        <v>0.4764983298191349</v>
      </c>
      <c r="BG92" s="198">
        <v>0</v>
      </c>
      <c r="BH92" s="198">
        <v>0</v>
      </c>
      <c r="BI92" s="198">
        <v>-176.60000000000002</v>
      </c>
      <c r="BJ92" s="198">
        <v>-423.84</v>
      </c>
      <c r="BK92" s="198">
        <v>-7240.599999999999</v>
      </c>
      <c r="BL92" s="198">
        <v>-653.42</v>
      </c>
      <c r="BM92" s="198">
        <v>-9412.78</v>
      </c>
      <c r="BN92" s="198">
        <v>-211.92</v>
      </c>
      <c r="BO92" s="198">
        <v>96914</v>
      </c>
      <c r="BP92" s="198">
        <v>7985.68745491188</v>
      </c>
      <c r="BQ92" s="198">
        <v>175069</v>
      </c>
      <c r="BR92" s="198">
        <v>57344</v>
      </c>
      <c r="BS92" s="198">
        <v>155676.28894759898</v>
      </c>
      <c r="BT92" s="198">
        <v>8712.868785601755</v>
      </c>
      <c r="BU92" s="198">
        <v>29015.687809191466</v>
      </c>
      <c r="BV92" s="198">
        <v>73844.99649878072</v>
      </c>
      <c r="BW92" s="198">
        <v>86151.23874538456</v>
      </c>
      <c r="BX92" s="198">
        <v>158.94</v>
      </c>
      <c r="BY92" s="198">
        <v>-13799.397084791897</v>
      </c>
      <c r="BZ92" s="198">
        <v>677073.3111566773</v>
      </c>
      <c r="CA92" s="198">
        <v>643642.9311566773</v>
      </c>
      <c r="CB92" s="198">
        <v>476083.77913651144</v>
      </c>
      <c r="CC92" s="232">
        <v>1839435.8439024389</v>
      </c>
      <c r="CD92" s="198">
        <v>155751</v>
      </c>
      <c r="CE92" s="198">
        <v>82248.23410000003</v>
      </c>
      <c r="CH92" s="198">
        <v>1769</v>
      </c>
    </row>
    <row r="93" spans="1:86" ht="11.25">
      <c r="A93" s="198">
        <v>257</v>
      </c>
      <c r="B93" s="198" t="s">
        <v>169</v>
      </c>
      <c r="C93" s="198">
        <v>38220</v>
      </c>
      <c r="D93" s="198">
        <v>133688971.07000001</v>
      </c>
      <c r="E93" s="198">
        <v>28485228.29185289</v>
      </c>
      <c r="F93" s="198">
        <v>10864841.384826425</v>
      </c>
      <c r="G93" s="198">
        <v>173039040.7466793</v>
      </c>
      <c r="H93" s="198">
        <v>3642.26</v>
      </c>
      <c r="I93" s="198">
        <v>139207177.20000002</v>
      </c>
      <c r="J93" s="198">
        <v>33831863.54667929</v>
      </c>
      <c r="K93" s="198">
        <v>422989.5668310337</v>
      </c>
      <c r="L93" s="198">
        <v>4826088.65431766</v>
      </c>
      <c r="M93" s="198">
        <v>0</v>
      </c>
      <c r="N93" s="198">
        <v>39080941.76782799</v>
      </c>
      <c r="O93" s="198">
        <v>-11640545.065454029</v>
      </c>
      <c r="P93" s="198">
        <v>27440396.70237396</v>
      </c>
      <c r="Q93" s="198">
        <v>3111</v>
      </c>
      <c r="R93" s="198">
        <v>593</v>
      </c>
      <c r="S93" s="198">
        <v>3589</v>
      </c>
      <c r="T93" s="198">
        <v>1629</v>
      </c>
      <c r="U93" s="198">
        <v>1574</v>
      </c>
      <c r="V93" s="198">
        <v>22450</v>
      </c>
      <c r="W93" s="198">
        <v>3501</v>
      </c>
      <c r="X93" s="198">
        <v>1400</v>
      </c>
      <c r="Y93" s="198">
        <v>373</v>
      </c>
      <c r="Z93" s="198">
        <v>29204</v>
      </c>
      <c r="AA93" s="198">
        <v>6639</v>
      </c>
      <c r="AB93" s="198">
        <v>12</v>
      </c>
      <c r="AC93" s="198">
        <v>2365</v>
      </c>
      <c r="AD93" s="198">
        <v>366.15</v>
      </c>
      <c r="AE93" s="198">
        <v>104.38344940598117</v>
      </c>
      <c r="AF93" s="198">
        <v>5274</v>
      </c>
      <c r="AG93" s="198">
        <v>28485228.29185289</v>
      </c>
      <c r="AH93" s="198">
        <v>18404089.372989412</v>
      </c>
      <c r="AI93" s="198">
        <v>6450882.785247966</v>
      </c>
      <c r="AJ93" s="198">
        <v>3630256.1336155133</v>
      </c>
      <c r="AK93" s="198">
        <v>1676</v>
      </c>
      <c r="AL93" s="198">
        <v>19262</v>
      </c>
      <c r="AM93" s="198">
        <v>0.6979927750175261</v>
      </c>
      <c r="AN93" s="198">
        <v>2365</v>
      </c>
      <c r="AO93" s="198">
        <v>0.061878597592883305</v>
      </c>
      <c r="AP93" s="198">
        <v>0.06015505398723008</v>
      </c>
      <c r="AQ93" s="198">
        <v>1</v>
      </c>
      <c r="AR93" s="198">
        <v>6639</v>
      </c>
      <c r="AS93" s="198">
        <v>12</v>
      </c>
      <c r="AT93" s="198">
        <v>0</v>
      </c>
      <c r="AU93" s="198">
        <v>366.15</v>
      </c>
      <c r="AV93" s="198">
        <v>104.38344940598117</v>
      </c>
      <c r="AW93" s="198">
        <v>0.17246461381883307</v>
      </c>
      <c r="AX93" s="198">
        <v>1973</v>
      </c>
      <c r="AY93" s="198">
        <v>14108</v>
      </c>
      <c r="AZ93" s="198">
        <v>0.139849730649277</v>
      </c>
      <c r="BA93" s="198">
        <v>0.07616087195362482</v>
      </c>
      <c r="BB93" s="198">
        <v>0</v>
      </c>
      <c r="BC93" s="198">
        <v>10705</v>
      </c>
      <c r="BD93" s="198">
        <v>17699</v>
      </c>
      <c r="BE93" s="198">
        <v>0.6048364314368043</v>
      </c>
      <c r="BF93" s="198">
        <v>0.17519757714041578</v>
      </c>
      <c r="BG93" s="198">
        <v>0</v>
      </c>
      <c r="BH93" s="198">
        <v>12</v>
      </c>
      <c r="BI93" s="198">
        <v>-3822</v>
      </c>
      <c r="BJ93" s="198">
        <v>-9172.8</v>
      </c>
      <c r="BK93" s="198">
        <v>-156702</v>
      </c>
      <c r="BL93" s="198">
        <v>-14141.4</v>
      </c>
      <c r="BM93" s="198">
        <v>-203712.6</v>
      </c>
      <c r="BN93" s="198">
        <v>-4586.4</v>
      </c>
      <c r="BO93" s="198">
        <v>95527</v>
      </c>
      <c r="BP93" s="198">
        <v>-115756.35312727839</v>
      </c>
      <c r="BQ93" s="198">
        <v>2071727</v>
      </c>
      <c r="BR93" s="198">
        <v>698246</v>
      </c>
      <c r="BS93" s="198">
        <v>1328514.603771267</v>
      </c>
      <c r="BT93" s="198">
        <v>-6999.652707042877</v>
      </c>
      <c r="BU93" s="198">
        <v>-330038.789723722</v>
      </c>
      <c r="BV93" s="198">
        <v>466855.0734799032</v>
      </c>
      <c r="BW93" s="198">
        <v>1426872.7536106168</v>
      </c>
      <c r="BX93" s="198">
        <v>3439.7999999999997</v>
      </c>
      <c r="BY93" s="198">
        <v>-88794.18098608329</v>
      </c>
      <c r="BZ93" s="198">
        <v>5549593.25431766</v>
      </c>
      <c r="CA93" s="198">
        <v>4826088.65431766</v>
      </c>
      <c r="CB93" s="198">
        <v>0</v>
      </c>
      <c r="CC93" s="232">
        <v>-11640545.065454029</v>
      </c>
      <c r="CD93" s="198">
        <v>-4458453</v>
      </c>
      <c r="CE93" s="198">
        <v>-759691.0131499995</v>
      </c>
      <c r="CH93" s="198">
        <v>37899</v>
      </c>
    </row>
    <row r="94" spans="1:86" ht="11.25">
      <c r="A94" s="198">
        <v>260</v>
      </c>
      <c r="B94" s="198" t="s">
        <v>170</v>
      </c>
      <c r="C94" s="198">
        <v>10986</v>
      </c>
      <c r="D94" s="198">
        <v>39640317.81999999</v>
      </c>
      <c r="E94" s="198">
        <v>20845850.25523459</v>
      </c>
      <c r="F94" s="198">
        <v>3472731.323828152</v>
      </c>
      <c r="G94" s="198">
        <v>63958899.39906274</v>
      </c>
      <c r="H94" s="198">
        <v>3642.26</v>
      </c>
      <c r="I94" s="198">
        <v>40013868.36</v>
      </c>
      <c r="J94" s="198">
        <v>23945031.03906274</v>
      </c>
      <c r="K94" s="198">
        <v>1596846.9572986662</v>
      </c>
      <c r="L94" s="198">
        <v>3895399.1035647583</v>
      </c>
      <c r="M94" s="198">
        <v>0</v>
      </c>
      <c r="N94" s="198">
        <v>29437277.099926163</v>
      </c>
      <c r="O94" s="198">
        <v>9038100.79137778</v>
      </c>
      <c r="P94" s="198">
        <v>38475377.89130394</v>
      </c>
      <c r="Q94" s="198">
        <v>486</v>
      </c>
      <c r="R94" s="198">
        <v>80</v>
      </c>
      <c r="S94" s="198">
        <v>576</v>
      </c>
      <c r="T94" s="198">
        <v>345</v>
      </c>
      <c r="U94" s="198">
        <v>360</v>
      </c>
      <c r="V94" s="198">
        <v>5949</v>
      </c>
      <c r="W94" s="198">
        <v>1677</v>
      </c>
      <c r="X94" s="198">
        <v>1107</v>
      </c>
      <c r="Y94" s="198">
        <v>406</v>
      </c>
      <c r="Z94" s="198">
        <v>10558</v>
      </c>
      <c r="AA94" s="198">
        <v>4</v>
      </c>
      <c r="AB94" s="198">
        <v>0</v>
      </c>
      <c r="AC94" s="198">
        <v>424</v>
      </c>
      <c r="AD94" s="198">
        <v>1253.59</v>
      </c>
      <c r="AE94" s="198">
        <v>8.763630852192504</v>
      </c>
      <c r="AF94" s="198">
        <v>3190</v>
      </c>
      <c r="AG94" s="198">
        <v>20845850.25523459</v>
      </c>
      <c r="AH94" s="198">
        <v>11696408.31927897</v>
      </c>
      <c r="AI94" s="198">
        <v>6874018.234981306</v>
      </c>
      <c r="AJ94" s="198">
        <v>2275423.7009743163</v>
      </c>
      <c r="AK94" s="198">
        <v>833</v>
      </c>
      <c r="AL94" s="198">
        <v>4743</v>
      </c>
      <c r="AM94" s="198">
        <v>1.4088675562805102</v>
      </c>
      <c r="AN94" s="198">
        <v>424</v>
      </c>
      <c r="AO94" s="198">
        <v>0.0385945749135263</v>
      </c>
      <c r="AP94" s="198">
        <v>0.03687103130787308</v>
      </c>
      <c r="AQ94" s="198">
        <v>0</v>
      </c>
      <c r="AR94" s="198">
        <v>4</v>
      </c>
      <c r="AS94" s="198">
        <v>0</v>
      </c>
      <c r="AT94" s="198">
        <v>1</v>
      </c>
      <c r="AU94" s="198">
        <v>1253.59</v>
      </c>
      <c r="AV94" s="198">
        <v>8.763630852192504</v>
      </c>
      <c r="AW94" s="198">
        <v>2.0542229122277953</v>
      </c>
      <c r="AX94" s="198">
        <v>435</v>
      </c>
      <c r="AY94" s="198">
        <v>2932</v>
      </c>
      <c r="AZ94" s="198">
        <v>0.14836289222373805</v>
      </c>
      <c r="BA94" s="198">
        <v>0.08467403352808588</v>
      </c>
      <c r="BB94" s="198">
        <v>0.5151333333333333</v>
      </c>
      <c r="BC94" s="198">
        <v>3960</v>
      </c>
      <c r="BD94" s="198">
        <v>3833</v>
      </c>
      <c r="BE94" s="198">
        <v>1.0331333159405165</v>
      </c>
      <c r="BF94" s="198">
        <v>0.603494461644128</v>
      </c>
      <c r="BG94" s="198">
        <v>0</v>
      </c>
      <c r="BH94" s="198">
        <v>0</v>
      </c>
      <c r="BI94" s="198">
        <v>-1098.6000000000001</v>
      </c>
      <c r="BJ94" s="198">
        <v>-2636.64</v>
      </c>
      <c r="BK94" s="198">
        <v>-45042.6</v>
      </c>
      <c r="BL94" s="198">
        <v>-4064.82</v>
      </c>
      <c r="BM94" s="198">
        <v>-58555.38</v>
      </c>
      <c r="BN94" s="198">
        <v>-1318.32</v>
      </c>
      <c r="BO94" s="198">
        <v>489326</v>
      </c>
      <c r="BP94" s="198">
        <v>-56715.47882780805</v>
      </c>
      <c r="BQ94" s="198">
        <v>1158136</v>
      </c>
      <c r="BR94" s="198">
        <v>342783</v>
      </c>
      <c r="BS94" s="198">
        <v>900533.8584845748</v>
      </c>
      <c r="BT94" s="198">
        <v>48990.33472329932</v>
      </c>
      <c r="BU94" s="198">
        <v>122919.64991699434</v>
      </c>
      <c r="BV94" s="198">
        <v>445395.39128702896</v>
      </c>
      <c r="BW94" s="198">
        <v>583982.0137326324</v>
      </c>
      <c r="BX94" s="198">
        <v>988.74</v>
      </c>
      <c r="BY94" s="198">
        <v>67024.57424803644</v>
      </c>
      <c r="BZ94" s="198">
        <v>4103364.0835647583</v>
      </c>
      <c r="CA94" s="198">
        <v>3895399.1035647583</v>
      </c>
      <c r="CB94" s="198">
        <v>0</v>
      </c>
      <c r="CC94" s="232">
        <v>9038100.79137778</v>
      </c>
      <c r="CD94" s="198">
        <v>-1405389</v>
      </c>
      <c r="CE94" s="198">
        <v>192514.4132</v>
      </c>
      <c r="CH94" s="198">
        <v>11197</v>
      </c>
    </row>
    <row r="95" spans="1:86" ht="11.25">
      <c r="A95" s="198">
        <v>261</v>
      </c>
      <c r="B95" s="198" t="s">
        <v>171</v>
      </c>
      <c r="C95" s="198">
        <v>6470</v>
      </c>
      <c r="D95" s="198">
        <v>21624367.99</v>
      </c>
      <c r="E95" s="198">
        <v>7624805.245963266</v>
      </c>
      <c r="F95" s="198">
        <v>6253715.94450166</v>
      </c>
      <c r="G95" s="198">
        <v>35502889.18046492</v>
      </c>
      <c r="H95" s="198">
        <v>3642.26</v>
      </c>
      <c r="I95" s="198">
        <v>23565422.200000003</v>
      </c>
      <c r="J95" s="198">
        <v>11937466.98046492</v>
      </c>
      <c r="K95" s="198">
        <v>6614818.804891789</v>
      </c>
      <c r="L95" s="198">
        <v>1829801.279001363</v>
      </c>
      <c r="M95" s="198">
        <v>-989703.8770835847</v>
      </c>
      <c r="N95" s="198">
        <v>19392383.187274486</v>
      </c>
      <c r="O95" s="198">
        <v>2054542.6724102565</v>
      </c>
      <c r="P95" s="198">
        <v>21446925.859684743</v>
      </c>
      <c r="Q95" s="198">
        <v>418</v>
      </c>
      <c r="R95" s="198">
        <v>63</v>
      </c>
      <c r="S95" s="198">
        <v>419</v>
      </c>
      <c r="T95" s="198">
        <v>178</v>
      </c>
      <c r="U95" s="198">
        <v>214</v>
      </c>
      <c r="V95" s="198">
        <v>3937</v>
      </c>
      <c r="W95" s="198">
        <v>643</v>
      </c>
      <c r="X95" s="198">
        <v>451</v>
      </c>
      <c r="Y95" s="198">
        <v>147</v>
      </c>
      <c r="Z95" s="198">
        <v>6273</v>
      </c>
      <c r="AA95" s="198">
        <v>16</v>
      </c>
      <c r="AB95" s="198">
        <v>13</v>
      </c>
      <c r="AC95" s="198">
        <v>168</v>
      </c>
      <c r="AD95" s="198">
        <v>8094.33</v>
      </c>
      <c r="AE95" s="198">
        <v>0.7993249595704648</v>
      </c>
      <c r="AF95" s="198">
        <v>1241</v>
      </c>
      <c r="AG95" s="198">
        <v>7624805.245963266</v>
      </c>
      <c r="AH95" s="198">
        <v>4633473.559499762</v>
      </c>
      <c r="AI95" s="198">
        <v>2148903.827705837</v>
      </c>
      <c r="AJ95" s="198">
        <v>842427.8587576668</v>
      </c>
      <c r="AK95" s="198">
        <v>469</v>
      </c>
      <c r="AL95" s="198">
        <v>3193</v>
      </c>
      <c r="AM95" s="198">
        <v>1.1782900644065848</v>
      </c>
      <c r="AN95" s="198">
        <v>168</v>
      </c>
      <c r="AO95" s="198">
        <v>0.025965996908809894</v>
      </c>
      <c r="AP95" s="198">
        <v>0.02424245330315667</v>
      </c>
      <c r="AQ95" s="198">
        <v>0</v>
      </c>
      <c r="AR95" s="198">
        <v>16</v>
      </c>
      <c r="AS95" s="198">
        <v>13</v>
      </c>
      <c r="AT95" s="198">
        <v>0</v>
      </c>
      <c r="AU95" s="198">
        <v>8094.33</v>
      </c>
      <c r="AV95" s="198">
        <v>0.7993249595704648</v>
      </c>
      <c r="AW95" s="198">
        <v>22.522068246879545</v>
      </c>
      <c r="AX95" s="198">
        <v>261</v>
      </c>
      <c r="AY95" s="198">
        <v>2106</v>
      </c>
      <c r="AZ95" s="198">
        <v>0.12393162393162394</v>
      </c>
      <c r="BA95" s="198">
        <v>0.06024276523597176</v>
      </c>
      <c r="BB95" s="198">
        <v>1.5721666666666667</v>
      </c>
      <c r="BC95" s="198">
        <v>3100</v>
      </c>
      <c r="BD95" s="198">
        <v>2891</v>
      </c>
      <c r="BE95" s="198">
        <v>1.0722933241093047</v>
      </c>
      <c r="BF95" s="198">
        <v>0.6426544698129162</v>
      </c>
      <c r="BG95" s="198">
        <v>0</v>
      </c>
      <c r="BH95" s="198">
        <v>13</v>
      </c>
      <c r="BI95" s="198">
        <v>-647</v>
      </c>
      <c r="BJ95" s="198">
        <v>-1552.8</v>
      </c>
      <c r="BK95" s="198">
        <v>-26526.999999999996</v>
      </c>
      <c r="BL95" s="198">
        <v>-2393.9</v>
      </c>
      <c r="BM95" s="198">
        <v>-34485.1</v>
      </c>
      <c r="BN95" s="198">
        <v>-776.4</v>
      </c>
      <c r="BO95" s="198">
        <v>76130</v>
      </c>
      <c r="BP95" s="198">
        <v>194464.53024873324</v>
      </c>
      <c r="BQ95" s="198">
        <v>488612</v>
      </c>
      <c r="BR95" s="198">
        <v>183601</v>
      </c>
      <c r="BS95" s="198">
        <v>457147.0414309</v>
      </c>
      <c r="BT95" s="198">
        <v>22043.779874781118</v>
      </c>
      <c r="BU95" s="198">
        <v>46606.32555192929</v>
      </c>
      <c r="BV95" s="198">
        <v>166777.0942967512</v>
      </c>
      <c r="BW95" s="198">
        <v>403115.90092339664</v>
      </c>
      <c r="BX95" s="198">
        <v>582.3</v>
      </c>
      <c r="BY95" s="198">
        <v>-86801.59332512844</v>
      </c>
      <c r="BZ95" s="198">
        <v>1952278.379001363</v>
      </c>
      <c r="CA95" s="198">
        <v>1829801.279001363</v>
      </c>
      <c r="CB95" s="198">
        <v>-989703.8770835847</v>
      </c>
      <c r="CC95" s="232">
        <v>2054542.6724102565</v>
      </c>
      <c r="CD95" s="198">
        <v>20016</v>
      </c>
      <c r="CE95" s="198">
        <v>41815.22636</v>
      </c>
      <c r="CH95" s="198">
        <v>6478</v>
      </c>
    </row>
    <row r="96" spans="1:86" ht="11.25">
      <c r="A96" s="198">
        <v>263</v>
      </c>
      <c r="B96" s="198" t="s">
        <v>172</v>
      </c>
      <c r="C96" s="198">
        <v>8752</v>
      </c>
      <c r="D96" s="198">
        <v>33529931.47</v>
      </c>
      <c r="E96" s="198">
        <v>16095911.39590729</v>
      </c>
      <c r="F96" s="198">
        <v>2261944.929828628</v>
      </c>
      <c r="G96" s="198">
        <v>51887787.79573592</v>
      </c>
      <c r="H96" s="198">
        <v>3642.26</v>
      </c>
      <c r="I96" s="198">
        <v>31877059.520000003</v>
      </c>
      <c r="J96" s="198">
        <v>20010728.275735915</v>
      </c>
      <c r="K96" s="198">
        <v>670658.0875042607</v>
      </c>
      <c r="L96" s="198">
        <v>3110323.447416999</v>
      </c>
      <c r="M96" s="198">
        <v>0</v>
      </c>
      <c r="N96" s="198">
        <v>23791709.810657173</v>
      </c>
      <c r="O96" s="198">
        <v>8271836.439903613</v>
      </c>
      <c r="P96" s="198">
        <v>32063546.250560787</v>
      </c>
      <c r="Q96" s="198">
        <v>505</v>
      </c>
      <c r="R96" s="198">
        <v>74</v>
      </c>
      <c r="S96" s="198">
        <v>543</v>
      </c>
      <c r="T96" s="198">
        <v>288</v>
      </c>
      <c r="U96" s="198">
        <v>320</v>
      </c>
      <c r="V96" s="198">
        <v>4720</v>
      </c>
      <c r="W96" s="198">
        <v>1155</v>
      </c>
      <c r="X96" s="198">
        <v>776</v>
      </c>
      <c r="Y96" s="198">
        <v>371</v>
      </c>
      <c r="Z96" s="198">
        <v>8669</v>
      </c>
      <c r="AA96" s="198">
        <v>3</v>
      </c>
      <c r="AB96" s="198">
        <v>0</v>
      </c>
      <c r="AC96" s="198">
        <v>80</v>
      </c>
      <c r="AD96" s="198">
        <v>1328.14</v>
      </c>
      <c r="AE96" s="198">
        <v>6.589666751999036</v>
      </c>
      <c r="AF96" s="198">
        <v>2302</v>
      </c>
      <c r="AG96" s="198">
        <v>16095911.39590729</v>
      </c>
      <c r="AH96" s="198">
        <v>9071116.322277136</v>
      </c>
      <c r="AI96" s="198">
        <v>4975176.778096037</v>
      </c>
      <c r="AJ96" s="198">
        <v>2049618.2955341174</v>
      </c>
      <c r="AK96" s="198">
        <v>517</v>
      </c>
      <c r="AL96" s="198">
        <v>3703</v>
      </c>
      <c r="AM96" s="198">
        <v>1.1199925207943346</v>
      </c>
      <c r="AN96" s="198">
        <v>80</v>
      </c>
      <c r="AO96" s="198">
        <v>0.009140767824497258</v>
      </c>
      <c r="AP96" s="198">
        <v>0.007417224218844035</v>
      </c>
      <c r="AQ96" s="198">
        <v>0</v>
      </c>
      <c r="AR96" s="198">
        <v>3</v>
      </c>
      <c r="AS96" s="198">
        <v>0</v>
      </c>
      <c r="AT96" s="198">
        <v>0</v>
      </c>
      <c r="AU96" s="198">
        <v>1328.14</v>
      </c>
      <c r="AV96" s="198">
        <v>6.589666751999036</v>
      </c>
      <c r="AW96" s="198">
        <v>2.7319213502593334</v>
      </c>
      <c r="AX96" s="198">
        <v>346</v>
      </c>
      <c r="AY96" s="198">
        <v>2355</v>
      </c>
      <c r="AZ96" s="198">
        <v>0.14692144373673036</v>
      </c>
      <c r="BA96" s="198">
        <v>0.08323258504107818</v>
      </c>
      <c r="BB96" s="198">
        <v>0.22366666666666668</v>
      </c>
      <c r="BC96" s="198">
        <v>2765</v>
      </c>
      <c r="BD96" s="198">
        <v>3053</v>
      </c>
      <c r="BE96" s="198">
        <v>0.9056665574844416</v>
      </c>
      <c r="BF96" s="198">
        <v>0.47602770318805304</v>
      </c>
      <c r="BG96" s="198">
        <v>0</v>
      </c>
      <c r="BH96" s="198">
        <v>0</v>
      </c>
      <c r="BI96" s="198">
        <v>-875.2</v>
      </c>
      <c r="BJ96" s="198">
        <v>-2100.48</v>
      </c>
      <c r="BK96" s="198">
        <v>-35883.2</v>
      </c>
      <c r="BL96" s="198">
        <v>-3238.24</v>
      </c>
      <c r="BM96" s="198">
        <v>-46648.16</v>
      </c>
      <c r="BN96" s="198">
        <v>-1050.24</v>
      </c>
      <c r="BO96" s="198">
        <v>232429</v>
      </c>
      <c r="BP96" s="198">
        <v>168045.4978406094</v>
      </c>
      <c r="BQ96" s="198">
        <v>894473</v>
      </c>
      <c r="BR96" s="198">
        <v>268110</v>
      </c>
      <c r="BS96" s="198">
        <v>682456.22900401</v>
      </c>
      <c r="BT96" s="198">
        <v>33966.257956521804</v>
      </c>
      <c r="BU96" s="198">
        <v>110226.00985128019</v>
      </c>
      <c r="BV96" s="198">
        <v>363392.41017846076</v>
      </c>
      <c r="BW96" s="198">
        <v>479242.1213341055</v>
      </c>
      <c r="BX96" s="198">
        <v>787.68</v>
      </c>
      <c r="BY96" s="198">
        <v>42870.60125201153</v>
      </c>
      <c r="BZ96" s="198">
        <v>3275998.807416999</v>
      </c>
      <c r="CA96" s="198">
        <v>3110323.447416999</v>
      </c>
      <c r="CB96" s="198">
        <v>0</v>
      </c>
      <c r="CC96" s="232">
        <v>8271836.439903613</v>
      </c>
      <c r="CD96" s="198">
        <v>-877290</v>
      </c>
      <c r="CE96" s="198">
        <v>191680.10106000002</v>
      </c>
      <c r="CH96" s="198">
        <v>8866</v>
      </c>
    </row>
    <row r="97" spans="1:86" ht="11.25">
      <c r="A97" s="198">
        <v>265</v>
      </c>
      <c r="B97" s="198" t="s">
        <v>173</v>
      </c>
      <c r="C97" s="198">
        <v>1244</v>
      </c>
      <c r="D97" s="198">
        <v>4823608.05</v>
      </c>
      <c r="E97" s="198">
        <v>2374283.7124222564</v>
      </c>
      <c r="F97" s="198">
        <v>578514.9992226175</v>
      </c>
      <c r="G97" s="198">
        <v>7776406.761644874</v>
      </c>
      <c r="H97" s="198">
        <v>3642.26</v>
      </c>
      <c r="I97" s="198">
        <v>4530971.44</v>
      </c>
      <c r="J97" s="198">
        <v>3245435.3216448734</v>
      </c>
      <c r="K97" s="198">
        <v>466866.67995023995</v>
      </c>
      <c r="L97" s="198">
        <v>453283.7351915199</v>
      </c>
      <c r="M97" s="198">
        <v>412293.90477304254</v>
      </c>
      <c r="N97" s="198">
        <v>4577879.641559675</v>
      </c>
      <c r="O97" s="198">
        <v>1264869.4170000001</v>
      </c>
      <c r="P97" s="198">
        <v>5842749.058559676</v>
      </c>
      <c r="Q97" s="198">
        <v>65</v>
      </c>
      <c r="R97" s="198">
        <v>12</v>
      </c>
      <c r="S97" s="198">
        <v>72</v>
      </c>
      <c r="T97" s="198">
        <v>33</v>
      </c>
      <c r="U97" s="198">
        <v>43</v>
      </c>
      <c r="V97" s="198">
        <v>609</v>
      </c>
      <c r="W97" s="198">
        <v>214</v>
      </c>
      <c r="X97" s="198">
        <v>142</v>
      </c>
      <c r="Y97" s="198">
        <v>54</v>
      </c>
      <c r="Z97" s="198">
        <v>1235</v>
      </c>
      <c r="AA97" s="198">
        <v>1</v>
      </c>
      <c r="AB97" s="198">
        <v>0</v>
      </c>
      <c r="AC97" s="198">
        <v>8</v>
      </c>
      <c r="AD97" s="198">
        <v>483.95</v>
      </c>
      <c r="AE97" s="198">
        <v>2.57051348279781</v>
      </c>
      <c r="AF97" s="198">
        <v>410</v>
      </c>
      <c r="AG97" s="198">
        <v>2374283.7124222564</v>
      </c>
      <c r="AH97" s="198">
        <v>1505863.438370067</v>
      </c>
      <c r="AI97" s="198">
        <v>633930.0453258287</v>
      </c>
      <c r="AJ97" s="198">
        <v>234490.2287263609</v>
      </c>
      <c r="AK97" s="198">
        <v>81</v>
      </c>
      <c r="AL97" s="198">
        <v>458</v>
      </c>
      <c r="AM97" s="198">
        <v>1.4187237280270588</v>
      </c>
      <c r="AN97" s="198">
        <v>8</v>
      </c>
      <c r="AO97" s="198">
        <v>0.006430868167202572</v>
      </c>
      <c r="AP97" s="198">
        <v>0.004707324561549349</v>
      </c>
      <c r="AQ97" s="198">
        <v>0</v>
      </c>
      <c r="AR97" s="198">
        <v>1</v>
      </c>
      <c r="AS97" s="198">
        <v>0</v>
      </c>
      <c r="AT97" s="198">
        <v>1</v>
      </c>
      <c r="AU97" s="198">
        <v>483.95</v>
      </c>
      <c r="AV97" s="198">
        <v>2.57051348279781</v>
      </c>
      <c r="AW97" s="198">
        <v>7.003445580563901</v>
      </c>
      <c r="AX97" s="198">
        <v>50</v>
      </c>
      <c r="AY97" s="198">
        <v>268</v>
      </c>
      <c r="AZ97" s="198">
        <v>0.1865671641791045</v>
      </c>
      <c r="BA97" s="198">
        <v>0.12287830548345231</v>
      </c>
      <c r="BB97" s="198">
        <v>1.1136333333333335</v>
      </c>
      <c r="BC97" s="198">
        <v>330</v>
      </c>
      <c r="BD97" s="198">
        <v>381</v>
      </c>
      <c r="BE97" s="198">
        <v>0.8661417322834646</v>
      </c>
      <c r="BF97" s="198">
        <v>0.43650287798707604</v>
      </c>
      <c r="BG97" s="198">
        <v>0</v>
      </c>
      <c r="BH97" s="198">
        <v>0</v>
      </c>
      <c r="BI97" s="198">
        <v>-124.4</v>
      </c>
      <c r="BJ97" s="198">
        <v>-298.56</v>
      </c>
      <c r="BK97" s="198">
        <v>-5100.4</v>
      </c>
      <c r="BL97" s="198">
        <v>-460.28</v>
      </c>
      <c r="BM97" s="198">
        <v>-6630.52</v>
      </c>
      <c r="BN97" s="198">
        <v>-149.28</v>
      </c>
      <c r="BO97" s="198">
        <v>43455</v>
      </c>
      <c r="BP97" s="198">
        <v>8762.558215379715</v>
      </c>
      <c r="BQ97" s="198">
        <v>130215</v>
      </c>
      <c r="BR97" s="198">
        <v>39878</v>
      </c>
      <c r="BS97" s="198">
        <v>113824.44832960851</v>
      </c>
      <c r="BT97" s="198">
        <v>7034.246968550097</v>
      </c>
      <c r="BU97" s="198">
        <v>18972.256087466867</v>
      </c>
      <c r="BV97" s="198">
        <v>56149.43615035633</v>
      </c>
      <c r="BW97" s="198">
        <v>67086.74244051205</v>
      </c>
      <c r="BX97" s="198">
        <v>111.96</v>
      </c>
      <c r="BY97" s="198">
        <v>-8656.993000353701</v>
      </c>
      <c r="BZ97" s="198">
        <v>476832.6551915199</v>
      </c>
      <c r="CA97" s="198">
        <v>453283.7351915199</v>
      </c>
      <c r="CB97" s="198">
        <v>412293.90477304254</v>
      </c>
      <c r="CC97" s="232">
        <v>1264869.4170000001</v>
      </c>
      <c r="CD97" s="198">
        <v>-355779</v>
      </c>
      <c r="CE97" s="198">
        <v>-78574.7702</v>
      </c>
      <c r="CH97" s="198">
        <v>1259</v>
      </c>
    </row>
    <row r="98" spans="1:86" ht="11.25">
      <c r="A98" s="198">
        <v>271</v>
      </c>
      <c r="B98" s="198" t="s">
        <v>174</v>
      </c>
      <c r="C98" s="198">
        <v>7702</v>
      </c>
      <c r="D98" s="198">
        <v>28327171.87</v>
      </c>
      <c r="E98" s="198">
        <v>10771434.52007263</v>
      </c>
      <c r="F98" s="198">
        <v>1704448.4439647184</v>
      </c>
      <c r="G98" s="198">
        <v>40803054.83403735</v>
      </c>
      <c r="H98" s="198">
        <v>3642.26</v>
      </c>
      <c r="I98" s="198">
        <v>28052686.520000003</v>
      </c>
      <c r="J98" s="198">
        <v>12750368.314037345</v>
      </c>
      <c r="K98" s="198">
        <v>218017.46354238052</v>
      </c>
      <c r="L98" s="198">
        <v>2130950.763411741</v>
      </c>
      <c r="M98" s="198">
        <v>0</v>
      </c>
      <c r="N98" s="198">
        <v>15099336.540991466</v>
      </c>
      <c r="O98" s="198">
        <v>4300283.293686749</v>
      </c>
      <c r="P98" s="198">
        <v>19399619.834678218</v>
      </c>
      <c r="Q98" s="198">
        <v>372</v>
      </c>
      <c r="R98" s="198">
        <v>77</v>
      </c>
      <c r="S98" s="198">
        <v>464</v>
      </c>
      <c r="T98" s="198">
        <v>227</v>
      </c>
      <c r="U98" s="198">
        <v>262</v>
      </c>
      <c r="V98" s="198">
        <v>4201</v>
      </c>
      <c r="W98" s="198">
        <v>1118</v>
      </c>
      <c r="X98" s="198">
        <v>672</v>
      </c>
      <c r="Y98" s="198">
        <v>309</v>
      </c>
      <c r="Z98" s="198">
        <v>7505</v>
      </c>
      <c r="AA98" s="198">
        <v>12</v>
      </c>
      <c r="AB98" s="198">
        <v>0</v>
      </c>
      <c r="AC98" s="198">
        <v>185</v>
      </c>
      <c r="AD98" s="198">
        <v>481.22</v>
      </c>
      <c r="AE98" s="198">
        <v>16.005153568014627</v>
      </c>
      <c r="AF98" s="198">
        <v>2099</v>
      </c>
      <c r="AG98" s="198">
        <v>10771434.52007263</v>
      </c>
      <c r="AH98" s="198">
        <v>6547118.362558906</v>
      </c>
      <c r="AI98" s="198">
        <v>2791320.3152970746</v>
      </c>
      <c r="AJ98" s="198">
        <v>1432995.8422166498</v>
      </c>
      <c r="AK98" s="198">
        <v>440</v>
      </c>
      <c r="AL98" s="198">
        <v>3534</v>
      </c>
      <c r="AM98" s="198">
        <v>0.99876754795396</v>
      </c>
      <c r="AN98" s="198">
        <v>185</v>
      </c>
      <c r="AO98" s="198">
        <v>0.0240197351337315</v>
      </c>
      <c r="AP98" s="198">
        <v>0.022296191528078275</v>
      </c>
      <c r="AQ98" s="198">
        <v>0</v>
      </c>
      <c r="AR98" s="198">
        <v>12</v>
      </c>
      <c r="AS98" s="198">
        <v>0</v>
      </c>
      <c r="AT98" s="198">
        <v>0</v>
      </c>
      <c r="AU98" s="198">
        <v>481.22</v>
      </c>
      <c r="AV98" s="198">
        <v>16.005153568014627</v>
      </c>
      <c r="AW98" s="198">
        <v>1.1247909127755635</v>
      </c>
      <c r="AX98" s="198">
        <v>368</v>
      </c>
      <c r="AY98" s="198">
        <v>2221</v>
      </c>
      <c r="AZ98" s="198">
        <v>0.16569113012156686</v>
      </c>
      <c r="BA98" s="198">
        <v>0.10200227142591468</v>
      </c>
      <c r="BB98" s="198">
        <v>0</v>
      </c>
      <c r="BC98" s="198">
        <v>2642</v>
      </c>
      <c r="BD98" s="198">
        <v>3010</v>
      </c>
      <c r="BE98" s="198">
        <v>0.8777408637873754</v>
      </c>
      <c r="BF98" s="198">
        <v>0.44810200949098683</v>
      </c>
      <c r="BG98" s="198">
        <v>0</v>
      </c>
      <c r="BH98" s="198">
        <v>0</v>
      </c>
      <c r="BI98" s="198">
        <v>-770.2</v>
      </c>
      <c r="BJ98" s="198">
        <v>-1848.48</v>
      </c>
      <c r="BK98" s="198">
        <v>-31578.199999999997</v>
      </c>
      <c r="BL98" s="198">
        <v>-2849.74</v>
      </c>
      <c r="BM98" s="198">
        <v>-41051.66</v>
      </c>
      <c r="BN98" s="198">
        <v>-924.24</v>
      </c>
      <c r="BO98" s="198">
        <v>41830</v>
      </c>
      <c r="BP98" s="198">
        <v>-17435.946478638798</v>
      </c>
      <c r="BQ98" s="198">
        <v>687986</v>
      </c>
      <c r="BR98" s="198">
        <v>217878</v>
      </c>
      <c r="BS98" s="198">
        <v>550817.7150644845</v>
      </c>
      <c r="BT98" s="198">
        <v>28134.764337881366</v>
      </c>
      <c r="BU98" s="198">
        <v>78832.71425176546</v>
      </c>
      <c r="BV98" s="198">
        <v>250297.46366490252</v>
      </c>
      <c r="BW98" s="198">
        <v>408171.66255919175</v>
      </c>
      <c r="BX98" s="198">
        <v>693.18</v>
      </c>
      <c r="BY98" s="198">
        <v>29544.070012153243</v>
      </c>
      <c r="BZ98" s="198">
        <v>2276749.6234117406</v>
      </c>
      <c r="CA98" s="198">
        <v>2130950.763411741</v>
      </c>
      <c r="CB98" s="198">
        <v>0</v>
      </c>
      <c r="CC98" s="232">
        <v>4300283.293686749</v>
      </c>
      <c r="CD98" s="198">
        <v>-965191</v>
      </c>
      <c r="CE98" s="198">
        <v>105783.30789999996</v>
      </c>
      <c r="CH98" s="198">
        <v>7769</v>
      </c>
    </row>
    <row r="99" spans="1:86" ht="11.25">
      <c r="A99" s="198">
        <v>272</v>
      </c>
      <c r="B99" s="198" t="s">
        <v>175</v>
      </c>
      <c r="C99" s="198">
        <v>47278</v>
      </c>
      <c r="D99" s="198">
        <v>170881891.56</v>
      </c>
      <c r="E99" s="198">
        <v>55927637.526991114</v>
      </c>
      <c r="F99" s="198">
        <v>10321774.649265068</v>
      </c>
      <c r="G99" s="198">
        <v>237131303.7362562</v>
      </c>
      <c r="H99" s="198">
        <v>3642.26</v>
      </c>
      <c r="I99" s="198">
        <v>172198768.28</v>
      </c>
      <c r="J99" s="198">
        <v>64932535.45625621</v>
      </c>
      <c r="K99" s="198">
        <v>1805780.9031395072</v>
      </c>
      <c r="L99" s="198">
        <v>11713875.85735906</v>
      </c>
      <c r="M99" s="198">
        <v>0</v>
      </c>
      <c r="N99" s="198">
        <v>78452192.21675478</v>
      </c>
      <c r="O99" s="198">
        <v>11732359.047804851</v>
      </c>
      <c r="P99" s="198">
        <v>90184551.26455963</v>
      </c>
      <c r="Q99" s="198">
        <v>3736</v>
      </c>
      <c r="R99" s="198">
        <v>602</v>
      </c>
      <c r="S99" s="198">
        <v>3516</v>
      </c>
      <c r="T99" s="198">
        <v>1630</v>
      </c>
      <c r="U99" s="198">
        <v>1789</v>
      </c>
      <c r="V99" s="198">
        <v>26678</v>
      </c>
      <c r="W99" s="198">
        <v>5401</v>
      </c>
      <c r="X99" s="198">
        <v>2823</v>
      </c>
      <c r="Y99" s="198">
        <v>1103</v>
      </c>
      <c r="Z99" s="198">
        <v>39820</v>
      </c>
      <c r="AA99" s="198">
        <v>6158</v>
      </c>
      <c r="AB99" s="198">
        <v>0</v>
      </c>
      <c r="AC99" s="198">
        <v>1300</v>
      </c>
      <c r="AD99" s="198">
        <v>1444.19</v>
      </c>
      <c r="AE99" s="198">
        <v>32.73668977073654</v>
      </c>
      <c r="AF99" s="198">
        <v>9327</v>
      </c>
      <c r="AG99" s="198">
        <v>55927637.526991114</v>
      </c>
      <c r="AH99" s="198">
        <v>32727010.88406146</v>
      </c>
      <c r="AI99" s="198">
        <v>16131180.487994183</v>
      </c>
      <c r="AJ99" s="198">
        <v>7069446.154935472</v>
      </c>
      <c r="AK99" s="198">
        <v>2307</v>
      </c>
      <c r="AL99" s="198">
        <v>21676</v>
      </c>
      <c r="AM99" s="198">
        <v>0.8537815068698376</v>
      </c>
      <c r="AN99" s="198">
        <v>1300</v>
      </c>
      <c r="AO99" s="198">
        <v>0.027496933034392317</v>
      </c>
      <c r="AP99" s="198">
        <v>0.025773389428739094</v>
      </c>
      <c r="AQ99" s="198">
        <v>1</v>
      </c>
      <c r="AR99" s="198">
        <v>6158</v>
      </c>
      <c r="AS99" s="198">
        <v>0</v>
      </c>
      <c r="AT99" s="198">
        <v>0</v>
      </c>
      <c r="AU99" s="198">
        <v>1444.19</v>
      </c>
      <c r="AV99" s="198">
        <v>32.73668977073654</v>
      </c>
      <c r="AW99" s="198">
        <v>0.5499166658863813</v>
      </c>
      <c r="AX99" s="198">
        <v>1435</v>
      </c>
      <c r="AY99" s="198">
        <v>14177</v>
      </c>
      <c r="AZ99" s="198">
        <v>0.10122028637934682</v>
      </c>
      <c r="BA99" s="198">
        <v>0.03753142768369465</v>
      </c>
      <c r="BB99" s="198">
        <v>0</v>
      </c>
      <c r="BC99" s="198">
        <v>20217</v>
      </c>
      <c r="BD99" s="198">
        <v>19547</v>
      </c>
      <c r="BE99" s="198">
        <v>1.034276359543664</v>
      </c>
      <c r="BF99" s="198">
        <v>0.6046375052472754</v>
      </c>
      <c r="BG99" s="198">
        <v>0</v>
      </c>
      <c r="BH99" s="198">
        <v>0</v>
      </c>
      <c r="BI99" s="198">
        <v>-4727.8</v>
      </c>
      <c r="BJ99" s="198">
        <v>-11346.72</v>
      </c>
      <c r="BK99" s="198">
        <v>-193839.8</v>
      </c>
      <c r="BL99" s="198">
        <v>-17492.86</v>
      </c>
      <c r="BM99" s="198">
        <v>-251991.74</v>
      </c>
      <c r="BN99" s="198">
        <v>-5673.36</v>
      </c>
      <c r="BO99" s="198">
        <v>1459983</v>
      </c>
      <c r="BP99" s="198">
        <v>193897.22869046032</v>
      </c>
      <c r="BQ99" s="198">
        <v>3497904</v>
      </c>
      <c r="BR99" s="198">
        <v>1150390</v>
      </c>
      <c r="BS99" s="198">
        <v>2560170.552761876</v>
      </c>
      <c r="BT99" s="198">
        <v>94908.11118518931</v>
      </c>
      <c r="BU99" s="198">
        <v>213758.12329429368</v>
      </c>
      <c r="BV99" s="198">
        <v>1350195.8835155452</v>
      </c>
      <c r="BW99" s="198">
        <v>2279052.252349386</v>
      </c>
      <c r="BX99" s="198">
        <v>4255.0199999999995</v>
      </c>
      <c r="BY99" s="198">
        <v>-195665.7744376876</v>
      </c>
      <c r="BZ99" s="198">
        <v>12608848.39735906</v>
      </c>
      <c r="CA99" s="198">
        <v>11713875.85735906</v>
      </c>
      <c r="CB99" s="198">
        <v>0</v>
      </c>
      <c r="CC99" s="232">
        <v>11732359.047804851</v>
      </c>
      <c r="CD99" s="198">
        <v>-4514592</v>
      </c>
      <c r="CE99" s="198">
        <v>-340088.04262000025</v>
      </c>
      <c r="CH99" s="198">
        <v>47031</v>
      </c>
    </row>
    <row r="100" spans="1:86" ht="11.25">
      <c r="A100" s="198">
        <v>273</v>
      </c>
      <c r="B100" s="198" t="s">
        <v>176</v>
      </c>
      <c r="C100" s="198">
        <v>3840</v>
      </c>
      <c r="D100" s="198">
        <v>12285182.38</v>
      </c>
      <c r="E100" s="198">
        <v>5237565.869640992</v>
      </c>
      <c r="F100" s="198">
        <v>2608179.262638141</v>
      </c>
      <c r="G100" s="198">
        <v>20130927.512279134</v>
      </c>
      <c r="H100" s="198">
        <v>3642.26</v>
      </c>
      <c r="I100" s="198">
        <v>13986278.4</v>
      </c>
      <c r="J100" s="198">
        <v>6144649.112279134</v>
      </c>
      <c r="K100" s="198">
        <v>4229148.155527598</v>
      </c>
      <c r="L100" s="198">
        <v>1217419.4195784691</v>
      </c>
      <c r="M100" s="198">
        <v>0</v>
      </c>
      <c r="N100" s="198">
        <v>11591216.6873852</v>
      </c>
      <c r="O100" s="198">
        <v>2667937.005100002</v>
      </c>
      <c r="P100" s="198">
        <v>14259153.692485202</v>
      </c>
      <c r="Q100" s="198">
        <v>230</v>
      </c>
      <c r="R100" s="198">
        <v>35</v>
      </c>
      <c r="S100" s="198">
        <v>203</v>
      </c>
      <c r="T100" s="198">
        <v>86</v>
      </c>
      <c r="U100" s="198">
        <v>88</v>
      </c>
      <c r="V100" s="198">
        <v>2261</v>
      </c>
      <c r="W100" s="198">
        <v>532</v>
      </c>
      <c r="X100" s="198">
        <v>329</v>
      </c>
      <c r="Y100" s="198">
        <v>76</v>
      </c>
      <c r="Z100" s="198">
        <v>3750</v>
      </c>
      <c r="AA100" s="198">
        <v>26</v>
      </c>
      <c r="AB100" s="198">
        <v>2</v>
      </c>
      <c r="AC100" s="198">
        <v>62</v>
      </c>
      <c r="AD100" s="198">
        <v>2558.81</v>
      </c>
      <c r="AE100" s="198">
        <v>1.500697589895303</v>
      </c>
      <c r="AF100" s="198">
        <v>937</v>
      </c>
      <c r="AG100" s="198">
        <v>5237565.869640992</v>
      </c>
      <c r="AH100" s="198">
        <v>3134660.4857244226</v>
      </c>
      <c r="AI100" s="198">
        <v>1416804.3443098103</v>
      </c>
      <c r="AJ100" s="198">
        <v>686101.0396067596</v>
      </c>
      <c r="AK100" s="198">
        <v>353</v>
      </c>
      <c r="AL100" s="198">
        <v>1829</v>
      </c>
      <c r="AM100" s="198">
        <v>1.5482435926334077</v>
      </c>
      <c r="AN100" s="198">
        <v>62</v>
      </c>
      <c r="AO100" s="198">
        <v>0.016145833333333335</v>
      </c>
      <c r="AP100" s="198">
        <v>0.014422289727680112</v>
      </c>
      <c r="AQ100" s="198">
        <v>0</v>
      </c>
      <c r="AR100" s="198">
        <v>26</v>
      </c>
      <c r="AS100" s="198">
        <v>2</v>
      </c>
      <c r="AT100" s="198">
        <v>0</v>
      </c>
      <c r="AU100" s="198">
        <v>2558.81</v>
      </c>
      <c r="AV100" s="198">
        <v>1.500697589895303</v>
      </c>
      <c r="AW100" s="198">
        <v>11.99605530927533</v>
      </c>
      <c r="AX100" s="198">
        <v>176</v>
      </c>
      <c r="AY100" s="198">
        <v>1130</v>
      </c>
      <c r="AZ100" s="198">
        <v>0.15575221238938053</v>
      </c>
      <c r="BA100" s="198">
        <v>0.09206335369372835</v>
      </c>
      <c r="BB100" s="198">
        <v>1.7130166666666666</v>
      </c>
      <c r="BC100" s="198">
        <v>1444</v>
      </c>
      <c r="BD100" s="198">
        <v>1553</v>
      </c>
      <c r="BE100" s="198">
        <v>0.9298132646490663</v>
      </c>
      <c r="BF100" s="198">
        <v>0.5001744103526777</v>
      </c>
      <c r="BG100" s="198">
        <v>0</v>
      </c>
      <c r="BH100" s="198">
        <v>2</v>
      </c>
      <c r="BI100" s="198">
        <v>-384</v>
      </c>
      <c r="BJ100" s="198">
        <v>-921.5999999999999</v>
      </c>
      <c r="BK100" s="198">
        <v>-15743.999999999998</v>
      </c>
      <c r="BL100" s="198">
        <v>-1420.8</v>
      </c>
      <c r="BM100" s="198">
        <v>-20467.2</v>
      </c>
      <c r="BN100" s="198">
        <v>-460.79999999999995</v>
      </c>
      <c r="BO100" s="198">
        <v>-16074</v>
      </c>
      <c r="BP100" s="198">
        <v>159790.83063413762</v>
      </c>
      <c r="BQ100" s="198">
        <v>309744</v>
      </c>
      <c r="BR100" s="198">
        <v>129398</v>
      </c>
      <c r="BS100" s="198">
        <v>320372.58274171664</v>
      </c>
      <c r="BT100" s="198">
        <v>19615.74455248039</v>
      </c>
      <c r="BU100" s="198">
        <v>-4306.018548181757</v>
      </c>
      <c r="BV100" s="198">
        <v>105900.97151327858</v>
      </c>
      <c r="BW100" s="198">
        <v>261355.03772768925</v>
      </c>
      <c r="BX100" s="198">
        <v>345.59999999999997</v>
      </c>
      <c r="BY100" s="198">
        <v>3967.8709573483357</v>
      </c>
      <c r="BZ100" s="198">
        <v>1290110.619578469</v>
      </c>
      <c r="CA100" s="198">
        <v>1217419.4195784691</v>
      </c>
      <c r="CB100" s="198">
        <v>0</v>
      </c>
      <c r="CC100" s="232">
        <v>2667937.005100002</v>
      </c>
      <c r="CD100" s="198">
        <v>-351905</v>
      </c>
      <c r="CE100" s="198">
        <v>109892.60650000002</v>
      </c>
      <c r="CH100" s="198">
        <v>3885</v>
      </c>
    </row>
    <row r="101" spans="1:86" ht="11.25">
      <c r="A101" s="198">
        <v>275</v>
      </c>
      <c r="B101" s="198" t="s">
        <v>177</v>
      </c>
      <c r="C101" s="198">
        <v>2831</v>
      </c>
      <c r="D101" s="198">
        <v>10649636.37</v>
      </c>
      <c r="E101" s="198">
        <v>4155537.271489587</v>
      </c>
      <c r="F101" s="198">
        <v>789745.3091703334</v>
      </c>
      <c r="G101" s="198">
        <v>15594918.95065992</v>
      </c>
      <c r="H101" s="198">
        <v>3642.26</v>
      </c>
      <c r="I101" s="198">
        <v>10311238.06</v>
      </c>
      <c r="J101" s="198">
        <v>5283680.890659919</v>
      </c>
      <c r="K101" s="198">
        <v>179872.128032248</v>
      </c>
      <c r="L101" s="198">
        <v>1139470.896694995</v>
      </c>
      <c r="M101" s="198">
        <v>579106.9492685292</v>
      </c>
      <c r="N101" s="198">
        <v>7182130.864655692</v>
      </c>
      <c r="O101" s="198">
        <v>2478481.8544761906</v>
      </c>
      <c r="P101" s="198">
        <v>9660612.719131883</v>
      </c>
      <c r="Q101" s="198">
        <v>122</v>
      </c>
      <c r="R101" s="198">
        <v>33</v>
      </c>
      <c r="S101" s="198">
        <v>169</v>
      </c>
      <c r="T101" s="198">
        <v>86</v>
      </c>
      <c r="U101" s="198">
        <v>96</v>
      </c>
      <c r="V101" s="198">
        <v>1473</v>
      </c>
      <c r="W101" s="198">
        <v>431</v>
      </c>
      <c r="X101" s="198">
        <v>309</v>
      </c>
      <c r="Y101" s="198">
        <v>112</v>
      </c>
      <c r="Z101" s="198">
        <v>2804</v>
      </c>
      <c r="AA101" s="198">
        <v>0</v>
      </c>
      <c r="AB101" s="198">
        <v>0</v>
      </c>
      <c r="AC101" s="198">
        <v>27</v>
      </c>
      <c r="AD101" s="198">
        <v>512.97</v>
      </c>
      <c r="AE101" s="198">
        <v>5.518841257773359</v>
      </c>
      <c r="AF101" s="198">
        <v>852</v>
      </c>
      <c r="AG101" s="198">
        <v>4155537.271489587</v>
      </c>
      <c r="AH101" s="198">
        <v>2563125.040829386</v>
      </c>
      <c r="AI101" s="198">
        <v>1080007.6567766715</v>
      </c>
      <c r="AJ101" s="198">
        <v>512404.57388352935</v>
      </c>
      <c r="AK101" s="198">
        <v>175</v>
      </c>
      <c r="AL101" s="198">
        <v>1255</v>
      </c>
      <c r="AM101" s="198">
        <v>1.1185943318220328</v>
      </c>
      <c r="AN101" s="198">
        <v>27</v>
      </c>
      <c r="AO101" s="198">
        <v>0.009537265983751325</v>
      </c>
      <c r="AP101" s="198">
        <v>0.007813722378098102</v>
      </c>
      <c r="AQ101" s="198">
        <v>0</v>
      </c>
      <c r="AR101" s="198">
        <v>0</v>
      </c>
      <c r="AS101" s="198">
        <v>0</v>
      </c>
      <c r="AT101" s="198">
        <v>0</v>
      </c>
      <c r="AU101" s="198">
        <v>512.97</v>
      </c>
      <c r="AV101" s="198">
        <v>5.518841257773359</v>
      </c>
      <c r="AW101" s="198">
        <v>3.261998388796481</v>
      </c>
      <c r="AX101" s="198">
        <v>109</v>
      </c>
      <c r="AY101" s="198">
        <v>754</v>
      </c>
      <c r="AZ101" s="198">
        <v>0.14456233421750664</v>
      </c>
      <c r="BA101" s="198">
        <v>0.08087347552185446</v>
      </c>
      <c r="BB101" s="198">
        <v>0.17993333333333333</v>
      </c>
      <c r="BC101" s="198">
        <v>856</v>
      </c>
      <c r="BD101" s="198">
        <v>1016</v>
      </c>
      <c r="BE101" s="198">
        <v>0.84251968503937</v>
      </c>
      <c r="BF101" s="198">
        <v>0.4128808307429815</v>
      </c>
      <c r="BG101" s="198">
        <v>0</v>
      </c>
      <c r="BH101" s="198">
        <v>0</v>
      </c>
      <c r="BI101" s="198">
        <v>-283.1</v>
      </c>
      <c r="BJ101" s="198">
        <v>-679.4399999999999</v>
      </c>
      <c r="BK101" s="198">
        <v>-11607.099999999999</v>
      </c>
      <c r="BL101" s="198">
        <v>-1047.47</v>
      </c>
      <c r="BM101" s="198">
        <v>-15089.23</v>
      </c>
      <c r="BN101" s="198">
        <v>-339.71999999999997</v>
      </c>
      <c r="BO101" s="198">
        <v>78006</v>
      </c>
      <c r="BP101" s="198">
        <v>212913.65034567937</v>
      </c>
      <c r="BQ101" s="198">
        <v>294459</v>
      </c>
      <c r="BR101" s="198">
        <v>87146</v>
      </c>
      <c r="BS101" s="198">
        <v>235915.4548271972</v>
      </c>
      <c r="BT101" s="198">
        <v>10266.407253946101</v>
      </c>
      <c r="BU101" s="198">
        <v>901.3692978763046</v>
      </c>
      <c r="BV101" s="198">
        <v>107805.7106164793</v>
      </c>
      <c r="BW101" s="198">
        <v>160473.1788983197</v>
      </c>
      <c r="BX101" s="198">
        <v>254.79</v>
      </c>
      <c r="BY101" s="198">
        <v>4920.165455497274</v>
      </c>
      <c r="BZ101" s="198">
        <v>1193061.726694995</v>
      </c>
      <c r="CA101" s="198">
        <v>1139470.896694995</v>
      </c>
      <c r="CB101" s="198">
        <v>579106.9492685292</v>
      </c>
      <c r="CC101" s="232">
        <v>2478481.8544761906</v>
      </c>
      <c r="CD101" s="198">
        <v>-293809</v>
      </c>
      <c r="CE101" s="198">
        <v>-40557.531940000015</v>
      </c>
      <c r="CH101" s="198">
        <v>2846</v>
      </c>
    </row>
    <row r="102" spans="1:86" ht="11.25">
      <c r="A102" s="198">
        <v>276</v>
      </c>
      <c r="B102" s="198" t="s">
        <v>178</v>
      </c>
      <c r="C102" s="198">
        <v>14681</v>
      </c>
      <c r="D102" s="198">
        <v>53603234.82</v>
      </c>
      <c r="E102" s="198">
        <v>13562420.973937983</v>
      </c>
      <c r="F102" s="198">
        <v>2421928.7132006893</v>
      </c>
      <c r="G102" s="198">
        <v>69587584.50713867</v>
      </c>
      <c r="H102" s="198">
        <v>3642.26</v>
      </c>
      <c r="I102" s="198">
        <v>53472019.06</v>
      </c>
      <c r="J102" s="198">
        <v>16115565.447138667</v>
      </c>
      <c r="K102" s="198">
        <v>136987.78295940137</v>
      </c>
      <c r="L102" s="198">
        <v>2704843.0737412246</v>
      </c>
      <c r="M102" s="198">
        <v>0</v>
      </c>
      <c r="N102" s="198">
        <v>18957396.303839292</v>
      </c>
      <c r="O102" s="198">
        <v>6448514.735999997</v>
      </c>
      <c r="P102" s="198">
        <v>25405911.03983929</v>
      </c>
      <c r="Q102" s="198">
        <v>1310</v>
      </c>
      <c r="R102" s="198">
        <v>242</v>
      </c>
      <c r="S102" s="198">
        <v>1333</v>
      </c>
      <c r="T102" s="198">
        <v>664</v>
      </c>
      <c r="U102" s="198">
        <v>591</v>
      </c>
      <c r="V102" s="198">
        <v>8487</v>
      </c>
      <c r="W102" s="198">
        <v>1291</v>
      </c>
      <c r="X102" s="198">
        <v>561</v>
      </c>
      <c r="Y102" s="198">
        <v>202</v>
      </c>
      <c r="Z102" s="198">
        <v>14346</v>
      </c>
      <c r="AA102" s="198">
        <v>11</v>
      </c>
      <c r="AB102" s="198">
        <v>0</v>
      </c>
      <c r="AC102" s="198">
        <v>324</v>
      </c>
      <c r="AD102" s="198">
        <v>799.68</v>
      </c>
      <c r="AE102" s="198">
        <v>18.35859343737495</v>
      </c>
      <c r="AF102" s="198">
        <v>2054</v>
      </c>
      <c r="AG102" s="198">
        <v>13562420.973937983</v>
      </c>
      <c r="AH102" s="198">
        <v>9032380.02349917</v>
      </c>
      <c r="AI102" s="198">
        <v>2879924.5260681245</v>
      </c>
      <c r="AJ102" s="198">
        <v>1650116.4243706875</v>
      </c>
      <c r="AK102" s="198">
        <v>787</v>
      </c>
      <c r="AL102" s="198">
        <v>6975</v>
      </c>
      <c r="AM102" s="198">
        <v>0.9051255239124585</v>
      </c>
      <c r="AN102" s="198">
        <v>324</v>
      </c>
      <c r="AO102" s="198">
        <v>0.022069341325522785</v>
      </c>
      <c r="AP102" s="198">
        <v>0.020345797719869562</v>
      </c>
      <c r="AQ102" s="198">
        <v>0</v>
      </c>
      <c r="AR102" s="198">
        <v>11</v>
      </c>
      <c r="AS102" s="198">
        <v>0</v>
      </c>
      <c r="AT102" s="198">
        <v>0</v>
      </c>
      <c r="AU102" s="198">
        <v>799.68</v>
      </c>
      <c r="AV102" s="198">
        <v>18.35859343737495</v>
      </c>
      <c r="AW102" s="198">
        <v>0.9806007934262728</v>
      </c>
      <c r="AX102" s="198">
        <v>387</v>
      </c>
      <c r="AY102" s="198">
        <v>5157</v>
      </c>
      <c r="AZ102" s="198">
        <v>0.07504363001745201</v>
      </c>
      <c r="BA102" s="198">
        <v>0.011354771321799836</v>
      </c>
      <c r="BB102" s="198">
        <v>0</v>
      </c>
      <c r="BC102" s="198">
        <v>3635</v>
      </c>
      <c r="BD102" s="198">
        <v>6296</v>
      </c>
      <c r="BE102" s="198">
        <v>0.5773506988564168</v>
      </c>
      <c r="BF102" s="198">
        <v>0.14771184456002823</v>
      </c>
      <c r="BG102" s="198">
        <v>0</v>
      </c>
      <c r="BH102" s="198">
        <v>0</v>
      </c>
      <c r="BI102" s="198">
        <v>-1468.1000000000001</v>
      </c>
      <c r="BJ102" s="198">
        <v>-3523.44</v>
      </c>
      <c r="BK102" s="198">
        <v>-60192.09999999999</v>
      </c>
      <c r="BL102" s="198">
        <v>-5431.97</v>
      </c>
      <c r="BM102" s="198">
        <v>-78249.73</v>
      </c>
      <c r="BN102" s="198">
        <v>-1761.72</v>
      </c>
      <c r="BO102" s="198">
        <v>96865</v>
      </c>
      <c r="BP102" s="198">
        <v>-31189.175071258098</v>
      </c>
      <c r="BQ102" s="198">
        <v>949206</v>
      </c>
      <c r="BR102" s="198">
        <v>298870</v>
      </c>
      <c r="BS102" s="198">
        <v>652050.1110439254</v>
      </c>
      <c r="BT102" s="198">
        <v>10525.031466713928</v>
      </c>
      <c r="BU102" s="198">
        <v>-23583.385672022665</v>
      </c>
      <c r="BV102" s="198">
        <v>307887.29031200556</v>
      </c>
      <c r="BW102" s="198">
        <v>645878.3807486943</v>
      </c>
      <c r="BX102" s="198">
        <v>1321.29</v>
      </c>
      <c r="BY102" s="198">
        <v>74923.86091316651</v>
      </c>
      <c r="BZ102" s="198">
        <v>2982754.4037412247</v>
      </c>
      <c r="CA102" s="198">
        <v>2704843.0737412246</v>
      </c>
      <c r="CB102" s="198">
        <v>0</v>
      </c>
      <c r="CC102" s="232">
        <v>6448514.735999997</v>
      </c>
      <c r="CD102" s="198">
        <v>-1944174</v>
      </c>
      <c r="CE102" s="198">
        <v>-27636.900947999908</v>
      </c>
      <c r="CH102" s="198">
        <v>14422</v>
      </c>
    </row>
    <row r="103" spans="1:86" ht="11.25">
      <c r="A103" s="198">
        <v>280</v>
      </c>
      <c r="B103" s="198" t="s">
        <v>179</v>
      </c>
      <c r="C103" s="198">
        <v>2219</v>
      </c>
      <c r="D103" s="198">
        <v>8780402.46</v>
      </c>
      <c r="E103" s="198">
        <v>2633380.483132119</v>
      </c>
      <c r="F103" s="198">
        <v>1338936.4749753121</v>
      </c>
      <c r="G103" s="198">
        <v>12752719.418107431</v>
      </c>
      <c r="H103" s="198">
        <v>3642.26</v>
      </c>
      <c r="I103" s="198">
        <v>8082174.94</v>
      </c>
      <c r="J103" s="198">
        <v>4670544.478107431</v>
      </c>
      <c r="K103" s="198">
        <v>206819.2458473578</v>
      </c>
      <c r="L103" s="198">
        <v>991379.6565916715</v>
      </c>
      <c r="M103" s="198">
        <v>0</v>
      </c>
      <c r="N103" s="198">
        <v>5868743.38054646</v>
      </c>
      <c r="O103" s="198">
        <v>1570137.0914285716</v>
      </c>
      <c r="P103" s="198">
        <v>7438880.471975031</v>
      </c>
      <c r="Q103" s="198">
        <v>137</v>
      </c>
      <c r="R103" s="198">
        <v>17</v>
      </c>
      <c r="S103" s="198">
        <v>112</v>
      </c>
      <c r="T103" s="198">
        <v>71</v>
      </c>
      <c r="U103" s="198">
        <v>78</v>
      </c>
      <c r="V103" s="198">
        <v>1214</v>
      </c>
      <c r="W103" s="198">
        <v>302</v>
      </c>
      <c r="X103" s="198">
        <v>163</v>
      </c>
      <c r="Y103" s="198">
        <v>125</v>
      </c>
      <c r="Z103" s="198">
        <v>72</v>
      </c>
      <c r="AA103" s="198">
        <v>1930</v>
      </c>
      <c r="AB103" s="198">
        <v>0</v>
      </c>
      <c r="AC103" s="198">
        <v>217</v>
      </c>
      <c r="AD103" s="198">
        <v>235.78</v>
      </c>
      <c r="AE103" s="198">
        <v>9.411315633217406</v>
      </c>
      <c r="AF103" s="198">
        <v>590</v>
      </c>
      <c r="AG103" s="198">
        <v>2633380.483132119</v>
      </c>
      <c r="AH103" s="198">
        <v>1532892.5497493944</v>
      </c>
      <c r="AI103" s="198">
        <v>822573.5882255563</v>
      </c>
      <c r="AJ103" s="198">
        <v>277914.3451571684</v>
      </c>
      <c r="AK103" s="198">
        <v>54</v>
      </c>
      <c r="AL103" s="198">
        <v>1036</v>
      </c>
      <c r="AM103" s="198">
        <v>0.4181309314262503</v>
      </c>
      <c r="AN103" s="198">
        <v>217</v>
      </c>
      <c r="AO103" s="198">
        <v>0.09779179810725552</v>
      </c>
      <c r="AP103" s="198">
        <v>0.09606825450160231</v>
      </c>
      <c r="AQ103" s="198">
        <v>3</v>
      </c>
      <c r="AR103" s="198">
        <v>1930</v>
      </c>
      <c r="AS103" s="198">
        <v>0</v>
      </c>
      <c r="AT103" s="198">
        <v>0</v>
      </c>
      <c r="AU103" s="198">
        <v>235.78</v>
      </c>
      <c r="AV103" s="198">
        <v>9.411315633217406</v>
      </c>
      <c r="AW103" s="198">
        <v>1.9128517194068244</v>
      </c>
      <c r="AX103" s="198">
        <v>125</v>
      </c>
      <c r="AY103" s="198">
        <v>626</v>
      </c>
      <c r="AZ103" s="198">
        <v>0.19968051118210864</v>
      </c>
      <c r="BA103" s="198">
        <v>0.13599165248645645</v>
      </c>
      <c r="BB103" s="198">
        <v>0.3258666666666667</v>
      </c>
      <c r="BC103" s="198">
        <v>808</v>
      </c>
      <c r="BD103" s="198">
        <v>972</v>
      </c>
      <c r="BE103" s="198">
        <v>0.831275720164609</v>
      </c>
      <c r="BF103" s="198">
        <v>0.4016368658682205</v>
      </c>
      <c r="BG103" s="198">
        <v>0</v>
      </c>
      <c r="BH103" s="198">
        <v>0</v>
      </c>
      <c r="BI103" s="198">
        <v>-221.9</v>
      </c>
      <c r="BJ103" s="198">
        <v>-532.56</v>
      </c>
      <c r="BK103" s="198">
        <v>-9097.9</v>
      </c>
      <c r="BL103" s="198">
        <v>-821.03</v>
      </c>
      <c r="BM103" s="198">
        <v>-11827.27</v>
      </c>
      <c r="BN103" s="198">
        <v>-266.28</v>
      </c>
      <c r="BO103" s="198">
        <v>-47819</v>
      </c>
      <c r="BP103" s="198">
        <v>307910.7989604967</v>
      </c>
      <c r="BQ103" s="198">
        <v>215330</v>
      </c>
      <c r="BR103" s="198">
        <v>87084</v>
      </c>
      <c r="BS103" s="198">
        <v>208552.30023377578</v>
      </c>
      <c r="BT103" s="198">
        <v>13536.378379850774</v>
      </c>
      <c r="BU103" s="198">
        <v>38525.12046635463</v>
      </c>
      <c r="BV103" s="198">
        <v>77394.8217952806</v>
      </c>
      <c r="BW103" s="198">
        <v>166347.34105199605</v>
      </c>
      <c r="BX103" s="198">
        <v>199.70999999999998</v>
      </c>
      <c r="BY103" s="198">
        <v>-33676.144296082806</v>
      </c>
      <c r="BZ103" s="198">
        <v>1033385.3265916716</v>
      </c>
      <c r="CA103" s="198">
        <v>991379.6565916715</v>
      </c>
      <c r="CB103" s="198">
        <v>0</v>
      </c>
      <c r="CC103" s="232">
        <v>1570137.0914285716</v>
      </c>
      <c r="CD103" s="198">
        <v>-633392</v>
      </c>
      <c r="CE103" s="198">
        <v>-844548.0292400002</v>
      </c>
      <c r="CH103" s="198">
        <v>2218</v>
      </c>
    </row>
    <row r="104" spans="1:86" ht="11.25">
      <c r="A104" s="198">
        <v>284</v>
      </c>
      <c r="B104" s="198" t="s">
        <v>180</v>
      </c>
      <c r="C104" s="198">
        <v>2438</v>
      </c>
      <c r="D104" s="198">
        <v>9545948.940000001</v>
      </c>
      <c r="E104" s="198">
        <v>2963161.938882784</v>
      </c>
      <c r="F104" s="198">
        <v>556115.0955667179</v>
      </c>
      <c r="G104" s="198">
        <v>13065225.974449502</v>
      </c>
      <c r="H104" s="198">
        <v>3642.26</v>
      </c>
      <c r="I104" s="198">
        <v>8879829.88</v>
      </c>
      <c r="J104" s="198">
        <v>4185396.0944495015</v>
      </c>
      <c r="K104" s="198">
        <v>81158.94668280282</v>
      </c>
      <c r="L104" s="198">
        <v>892491.2979681866</v>
      </c>
      <c r="M104" s="198">
        <v>35853.225229367614</v>
      </c>
      <c r="N104" s="198">
        <v>5194899.564329858</v>
      </c>
      <c r="O104" s="198">
        <v>1966463.3205128205</v>
      </c>
      <c r="P104" s="198">
        <v>7161362.884842679</v>
      </c>
      <c r="Q104" s="198">
        <v>135</v>
      </c>
      <c r="R104" s="198">
        <v>22</v>
      </c>
      <c r="S104" s="198">
        <v>140</v>
      </c>
      <c r="T104" s="198">
        <v>97</v>
      </c>
      <c r="U104" s="198">
        <v>80</v>
      </c>
      <c r="V104" s="198">
        <v>1254</v>
      </c>
      <c r="W104" s="198">
        <v>361</v>
      </c>
      <c r="X104" s="198">
        <v>249</v>
      </c>
      <c r="Y104" s="198">
        <v>100</v>
      </c>
      <c r="Z104" s="198">
        <v>2339</v>
      </c>
      <c r="AA104" s="198">
        <v>8</v>
      </c>
      <c r="AB104" s="198">
        <v>0</v>
      </c>
      <c r="AC104" s="198">
        <v>91</v>
      </c>
      <c r="AD104" s="198">
        <v>191.46</v>
      </c>
      <c r="AE104" s="198">
        <v>12.733730283087851</v>
      </c>
      <c r="AF104" s="198">
        <v>710</v>
      </c>
      <c r="AG104" s="198">
        <v>2963161.938882784</v>
      </c>
      <c r="AH104" s="198">
        <v>1724799.2405426165</v>
      </c>
      <c r="AI104" s="198">
        <v>873600.1203213842</v>
      </c>
      <c r="AJ104" s="198">
        <v>364762.5780187836</v>
      </c>
      <c r="AK104" s="198">
        <v>86</v>
      </c>
      <c r="AL104" s="198">
        <v>1042</v>
      </c>
      <c r="AM104" s="198">
        <v>0.6620777967291035</v>
      </c>
      <c r="AN104" s="198">
        <v>91</v>
      </c>
      <c r="AO104" s="198">
        <v>0.03732567678424938</v>
      </c>
      <c r="AP104" s="198">
        <v>0.03560213317859616</v>
      </c>
      <c r="AQ104" s="198">
        <v>0</v>
      </c>
      <c r="AR104" s="198">
        <v>8</v>
      </c>
      <c r="AS104" s="198">
        <v>0</v>
      </c>
      <c r="AT104" s="198">
        <v>0</v>
      </c>
      <c r="AU104" s="198">
        <v>191.46</v>
      </c>
      <c r="AV104" s="198">
        <v>12.733730283087851</v>
      </c>
      <c r="AW104" s="198">
        <v>1.4137610025233516</v>
      </c>
      <c r="AX104" s="198">
        <v>116</v>
      </c>
      <c r="AY104" s="198">
        <v>702</v>
      </c>
      <c r="AZ104" s="198">
        <v>0.16524216524216523</v>
      </c>
      <c r="BA104" s="198">
        <v>0.10155330654651305</v>
      </c>
      <c r="BB104" s="198">
        <v>0</v>
      </c>
      <c r="BC104" s="198">
        <v>882</v>
      </c>
      <c r="BD104" s="198">
        <v>922</v>
      </c>
      <c r="BE104" s="198">
        <v>0.9566160520607375</v>
      </c>
      <c r="BF104" s="198">
        <v>0.5269771977643489</v>
      </c>
      <c r="BG104" s="198">
        <v>0</v>
      </c>
      <c r="BH104" s="198">
        <v>0</v>
      </c>
      <c r="BI104" s="198">
        <v>-243.8</v>
      </c>
      <c r="BJ104" s="198">
        <v>-585.12</v>
      </c>
      <c r="BK104" s="198">
        <v>-9995.8</v>
      </c>
      <c r="BL104" s="198">
        <v>-902.06</v>
      </c>
      <c r="BM104" s="198">
        <v>-12994.54</v>
      </c>
      <c r="BN104" s="198">
        <v>-292.56</v>
      </c>
      <c r="BO104" s="198">
        <v>-58672</v>
      </c>
      <c r="BP104" s="198">
        <v>240131.28113703616</v>
      </c>
      <c r="BQ104" s="198">
        <v>238534</v>
      </c>
      <c r="BR104" s="198">
        <v>77683</v>
      </c>
      <c r="BS104" s="198">
        <v>183775.91836874714</v>
      </c>
      <c r="BT104" s="198">
        <v>9914.914833124469</v>
      </c>
      <c r="BU104" s="198">
        <v>25160.51397010668</v>
      </c>
      <c r="BV104" s="198">
        <v>84042.742812827</v>
      </c>
      <c r="BW104" s="198">
        <v>142265.1625184952</v>
      </c>
      <c r="BX104" s="198">
        <v>219.42</v>
      </c>
      <c r="BY104" s="198">
        <v>-4412.315672150267</v>
      </c>
      <c r="BZ104" s="198">
        <v>938642.6379681865</v>
      </c>
      <c r="CA104" s="198">
        <v>892491.2979681866</v>
      </c>
      <c r="CB104" s="198">
        <v>35853.225229367614</v>
      </c>
      <c r="CC104" s="232">
        <v>1966463.3205128205</v>
      </c>
      <c r="CD104" s="198">
        <v>288515</v>
      </c>
      <c r="CE104" s="198">
        <v>1024622.4748600002</v>
      </c>
      <c r="CH104" s="198">
        <v>2423</v>
      </c>
    </row>
    <row r="105" spans="1:86" ht="11.25">
      <c r="A105" s="198">
        <v>285</v>
      </c>
      <c r="B105" s="198" t="s">
        <v>181</v>
      </c>
      <c r="C105" s="198">
        <v>54518</v>
      </c>
      <c r="D105" s="198">
        <v>189899257.37</v>
      </c>
      <c r="E105" s="198">
        <v>86882913.3430377</v>
      </c>
      <c r="F105" s="198">
        <v>18354424.602798145</v>
      </c>
      <c r="G105" s="198">
        <v>295136595.3158359</v>
      </c>
      <c r="H105" s="198">
        <v>3642.26</v>
      </c>
      <c r="I105" s="198">
        <v>198568730.68</v>
      </c>
      <c r="J105" s="198">
        <v>96567864.63583589</v>
      </c>
      <c r="K105" s="198">
        <v>2318461.5509240683</v>
      </c>
      <c r="L105" s="198">
        <v>12160245.585770538</v>
      </c>
      <c r="M105" s="198">
        <v>-8711895.135732858</v>
      </c>
      <c r="N105" s="198">
        <v>102334676.63679762</v>
      </c>
      <c r="O105" s="198">
        <v>7374028.089268265</v>
      </c>
      <c r="P105" s="198">
        <v>109708704.72606589</v>
      </c>
      <c r="Q105" s="198">
        <v>3044</v>
      </c>
      <c r="R105" s="198">
        <v>521</v>
      </c>
      <c r="S105" s="198">
        <v>3113</v>
      </c>
      <c r="T105" s="198">
        <v>1709</v>
      </c>
      <c r="U105" s="198">
        <v>1819</v>
      </c>
      <c r="V105" s="198">
        <v>31307</v>
      </c>
      <c r="W105" s="198">
        <v>7335</v>
      </c>
      <c r="X105" s="198">
        <v>3970</v>
      </c>
      <c r="Y105" s="198">
        <v>1700</v>
      </c>
      <c r="Z105" s="198">
        <v>49446</v>
      </c>
      <c r="AA105" s="198">
        <v>532</v>
      </c>
      <c r="AB105" s="198">
        <v>2</v>
      </c>
      <c r="AC105" s="198">
        <v>4538</v>
      </c>
      <c r="AD105" s="198">
        <v>271.62</v>
      </c>
      <c r="AE105" s="198">
        <v>200.71423311979973</v>
      </c>
      <c r="AF105" s="198">
        <v>13005</v>
      </c>
      <c r="AG105" s="198">
        <v>86882913.3430377</v>
      </c>
      <c r="AH105" s="198">
        <v>44557115.60908481</v>
      </c>
      <c r="AI105" s="198">
        <v>32633534.946596634</v>
      </c>
      <c r="AJ105" s="198">
        <v>9692262.78735625</v>
      </c>
      <c r="AK105" s="198">
        <v>4550</v>
      </c>
      <c r="AL105" s="198">
        <v>24876</v>
      </c>
      <c r="AM105" s="198">
        <v>1.4672669660457043</v>
      </c>
      <c r="AN105" s="198">
        <v>4538</v>
      </c>
      <c r="AO105" s="198">
        <v>0.08323856341024982</v>
      </c>
      <c r="AP105" s="198">
        <v>0.0815150198045966</v>
      </c>
      <c r="AQ105" s="198">
        <v>0</v>
      </c>
      <c r="AR105" s="198">
        <v>532</v>
      </c>
      <c r="AS105" s="198">
        <v>2</v>
      </c>
      <c r="AT105" s="198">
        <v>1</v>
      </c>
      <c r="AU105" s="198">
        <v>271.62</v>
      </c>
      <c r="AV105" s="198">
        <v>200.71423311979973</v>
      </c>
      <c r="AW105" s="198">
        <v>0.08969195164218957</v>
      </c>
      <c r="AX105" s="198">
        <v>2681</v>
      </c>
      <c r="AY105" s="198">
        <v>16673</v>
      </c>
      <c r="AZ105" s="198">
        <v>0.16079889641936065</v>
      </c>
      <c r="BA105" s="198">
        <v>0.09711003772370848</v>
      </c>
      <c r="BB105" s="198">
        <v>0</v>
      </c>
      <c r="BC105" s="198">
        <v>22122</v>
      </c>
      <c r="BD105" s="198">
        <v>20059</v>
      </c>
      <c r="BE105" s="198">
        <v>1.1028466025225585</v>
      </c>
      <c r="BF105" s="198">
        <v>0.67320774822617</v>
      </c>
      <c r="BG105" s="198">
        <v>0</v>
      </c>
      <c r="BH105" s="198">
        <v>2</v>
      </c>
      <c r="BI105" s="198">
        <v>-5451.8</v>
      </c>
      <c r="BJ105" s="198">
        <v>-13084.32</v>
      </c>
      <c r="BK105" s="198">
        <v>-223523.8</v>
      </c>
      <c r="BL105" s="198">
        <v>-20171.66</v>
      </c>
      <c r="BM105" s="198">
        <v>-290580.94</v>
      </c>
      <c r="BN105" s="198">
        <v>-6542.16</v>
      </c>
      <c r="BO105" s="198">
        <v>1472159</v>
      </c>
      <c r="BP105" s="198">
        <v>-573075.1788794994</v>
      </c>
      <c r="BQ105" s="198">
        <v>3639803</v>
      </c>
      <c r="BR105" s="198">
        <v>1163250</v>
      </c>
      <c r="BS105" s="198">
        <v>2606864.8577143773</v>
      </c>
      <c r="BT105" s="198">
        <v>98405.03850020409</v>
      </c>
      <c r="BU105" s="198">
        <v>187240.83452947697</v>
      </c>
      <c r="BV105" s="198">
        <v>1470501.8591478586</v>
      </c>
      <c r="BW105" s="198">
        <v>2340965.1764746294</v>
      </c>
      <c r="BX105" s="198">
        <v>4906.62</v>
      </c>
      <c r="BY105" s="198">
        <v>781250.118283494</v>
      </c>
      <c r="BZ105" s="198">
        <v>13192271.325770538</v>
      </c>
      <c r="CA105" s="198">
        <v>12160245.585770538</v>
      </c>
      <c r="CB105" s="198">
        <v>-8711895.135732858</v>
      </c>
      <c r="CC105" s="232">
        <v>7374028.089268265</v>
      </c>
      <c r="CD105" s="198">
        <v>-5134841</v>
      </c>
      <c r="CE105" s="198">
        <v>-982672.762364</v>
      </c>
      <c r="CH105" s="198">
        <v>54771</v>
      </c>
    </row>
    <row r="106" spans="1:86" ht="11.25">
      <c r="A106" s="198">
        <v>286</v>
      </c>
      <c r="B106" s="198" t="s">
        <v>182</v>
      </c>
      <c r="C106" s="198">
        <v>86453</v>
      </c>
      <c r="D106" s="198">
        <v>301805247.35</v>
      </c>
      <c r="E106" s="198">
        <v>116757686.92831014</v>
      </c>
      <c r="F106" s="198">
        <v>19695554.742027994</v>
      </c>
      <c r="G106" s="198">
        <v>438258489.0203382</v>
      </c>
      <c r="H106" s="198">
        <v>3642.26</v>
      </c>
      <c r="I106" s="198">
        <v>314884303.78000003</v>
      </c>
      <c r="J106" s="198">
        <v>123374185.24033815</v>
      </c>
      <c r="K106" s="198">
        <v>2931512.7711682087</v>
      </c>
      <c r="L106" s="198">
        <v>19690274.496542208</v>
      </c>
      <c r="M106" s="198">
        <v>0</v>
      </c>
      <c r="N106" s="198">
        <v>145995972.50804856</v>
      </c>
      <c r="O106" s="198">
        <v>15607691.70610003</v>
      </c>
      <c r="P106" s="198">
        <v>161603664.21414858</v>
      </c>
      <c r="Q106" s="198">
        <v>4642</v>
      </c>
      <c r="R106" s="198">
        <v>792</v>
      </c>
      <c r="S106" s="198">
        <v>5073</v>
      </c>
      <c r="T106" s="198">
        <v>2746</v>
      </c>
      <c r="U106" s="198">
        <v>2887</v>
      </c>
      <c r="V106" s="198">
        <v>49407</v>
      </c>
      <c r="W106" s="198">
        <v>11501</v>
      </c>
      <c r="X106" s="198">
        <v>6768</v>
      </c>
      <c r="Y106" s="198">
        <v>2637</v>
      </c>
      <c r="Z106" s="198">
        <v>82835</v>
      </c>
      <c r="AA106" s="198">
        <v>290</v>
      </c>
      <c r="AB106" s="198">
        <v>2</v>
      </c>
      <c r="AC106" s="198">
        <v>3326</v>
      </c>
      <c r="AD106" s="198">
        <v>2558.37</v>
      </c>
      <c r="AE106" s="198">
        <v>33.79221926460989</v>
      </c>
      <c r="AF106" s="198">
        <v>20906</v>
      </c>
      <c r="AG106" s="198">
        <v>116757686.92831014</v>
      </c>
      <c r="AH106" s="198">
        <v>69739503.65991242</v>
      </c>
      <c r="AI106" s="198">
        <v>30942575.365712766</v>
      </c>
      <c r="AJ106" s="198">
        <v>16075607.902684962</v>
      </c>
      <c r="AK106" s="198">
        <v>5743</v>
      </c>
      <c r="AL106" s="198">
        <v>40019</v>
      </c>
      <c r="AM106" s="198">
        <v>1.1512002507102967</v>
      </c>
      <c r="AN106" s="198">
        <v>3326</v>
      </c>
      <c r="AO106" s="198">
        <v>0.03847177078875227</v>
      </c>
      <c r="AP106" s="198">
        <v>0.036748227183099044</v>
      </c>
      <c r="AQ106" s="198">
        <v>0</v>
      </c>
      <c r="AR106" s="198">
        <v>290</v>
      </c>
      <c r="AS106" s="198">
        <v>2</v>
      </c>
      <c r="AT106" s="198">
        <v>0</v>
      </c>
      <c r="AU106" s="198">
        <v>2558.37</v>
      </c>
      <c r="AV106" s="198">
        <v>33.79221926460989</v>
      </c>
      <c r="AW106" s="198">
        <v>0.5327395383508875</v>
      </c>
      <c r="AX106" s="198">
        <v>3566</v>
      </c>
      <c r="AY106" s="198">
        <v>26063</v>
      </c>
      <c r="AZ106" s="198">
        <v>0.1368223151594214</v>
      </c>
      <c r="BA106" s="198">
        <v>0.07313345646376922</v>
      </c>
      <c r="BB106" s="198">
        <v>0</v>
      </c>
      <c r="BC106" s="198">
        <v>32583</v>
      </c>
      <c r="BD106" s="198">
        <v>33715</v>
      </c>
      <c r="BE106" s="198">
        <v>0.966424440160166</v>
      </c>
      <c r="BF106" s="198">
        <v>0.5367855858637776</v>
      </c>
      <c r="BG106" s="198">
        <v>0</v>
      </c>
      <c r="BH106" s="198">
        <v>2</v>
      </c>
      <c r="BI106" s="198">
        <v>-8645.300000000001</v>
      </c>
      <c r="BJ106" s="198">
        <v>-20748.719999999998</v>
      </c>
      <c r="BK106" s="198">
        <v>-354457.3</v>
      </c>
      <c r="BL106" s="198">
        <v>-31987.61</v>
      </c>
      <c r="BM106" s="198">
        <v>-460794.49</v>
      </c>
      <c r="BN106" s="198">
        <v>-10374.359999999999</v>
      </c>
      <c r="BO106" s="198">
        <v>1721663</v>
      </c>
      <c r="BP106" s="198">
        <v>-328800.80143755674</v>
      </c>
      <c r="BQ106" s="198">
        <v>6029989</v>
      </c>
      <c r="BR106" s="198">
        <v>1994317</v>
      </c>
      <c r="BS106" s="198">
        <v>4685514.567385978</v>
      </c>
      <c r="BT106" s="198">
        <v>204266.15495217545</v>
      </c>
      <c r="BU106" s="198">
        <v>546399.8316247552</v>
      </c>
      <c r="BV106" s="198">
        <v>2240686.432876591</v>
      </c>
      <c r="BW106" s="198">
        <v>3969531.921523286</v>
      </c>
      <c r="BX106" s="198">
        <v>7780.7699999999995</v>
      </c>
      <c r="BY106" s="198">
        <v>255481.909616975</v>
      </c>
      <c r="BZ106" s="198">
        <v>21326829.786542207</v>
      </c>
      <c r="CA106" s="198">
        <v>19690274.496542208</v>
      </c>
      <c r="CB106" s="198">
        <v>0</v>
      </c>
      <c r="CC106" s="232">
        <v>15607691.70610003</v>
      </c>
      <c r="CD106" s="198">
        <v>13167125</v>
      </c>
      <c r="CE106" s="198">
        <v>-390906.3686400001</v>
      </c>
      <c r="CH106" s="198">
        <v>86926</v>
      </c>
    </row>
    <row r="107" spans="1:86" ht="11.25">
      <c r="A107" s="198">
        <v>287</v>
      </c>
      <c r="B107" s="198" t="s">
        <v>183</v>
      </c>
      <c r="C107" s="198">
        <v>6845</v>
      </c>
      <c r="D107" s="198">
        <v>25895291.87</v>
      </c>
      <c r="E107" s="198">
        <v>9328956.574762871</v>
      </c>
      <c r="F107" s="198">
        <v>2623381.2448263397</v>
      </c>
      <c r="G107" s="198">
        <v>37847629.68958921</v>
      </c>
      <c r="H107" s="198">
        <v>3642.26</v>
      </c>
      <c r="I107" s="198">
        <v>24931269.700000003</v>
      </c>
      <c r="J107" s="198">
        <v>12916359.989589207</v>
      </c>
      <c r="K107" s="198">
        <v>807847.673547131</v>
      </c>
      <c r="L107" s="198">
        <v>2189747.0236366987</v>
      </c>
      <c r="M107" s="198">
        <v>0</v>
      </c>
      <c r="N107" s="198">
        <v>15913954.686773036</v>
      </c>
      <c r="O107" s="198">
        <v>4413911.293714289</v>
      </c>
      <c r="P107" s="198">
        <v>20327865.980487324</v>
      </c>
      <c r="Q107" s="198">
        <v>332</v>
      </c>
      <c r="R107" s="198">
        <v>51</v>
      </c>
      <c r="S107" s="198">
        <v>292</v>
      </c>
      <c r="T107" s="198">
        <v>189</v>
      </c>
      <c r="U107" s="198">
        <v>200</v>
      </c>
      <c r="V107" s="198">
        <v>3642</v>
      </c>
      <c r="W107" s="198">
        <v>1124</v>
      </c>
      <c r="X107" s="198">
        <v>665</v>
      </c>
      <c r="Y107" s="198">
        <v>350</v>
      </c>
      <c r="Z107" s="198">
        <v>2836</v>
      </c>
      <c r="AA107" s="198">
        <v>3818</v>
      </c>
      <c r="AB107" s="198">
        <v>0</v>
      </c>
      <c r="AC107" s="198">
        <v>191</v>
      </c>
      <c r="AD107" s="198">
        <v>682.99</v>
      </c>
      <c r="AE107" s="198">
        <v>10.02210866923381</v>
      </c>
      <c r="AF107" s="198">
        <v>2139</v>
      </c>
      <c r="AG107" s="198">
        <v>9328956.574762871</v>
      </c>
      <c r="AH107" s="198">
        <v>5711414.060423988</v>
      </c>
      <c r="AI107" s="198">
        <v>2601418.189857986</v>
      </c>
      <c r="AJ107" s="198">
        <v>1016124.3244808972</v>
      </c>
      <c r="AK107" s="198">
        <v>219</v>
      </c>
      <c r="AL107" s="198">
        <v>3059</v>
      </c>
      <c r="AM107" s="198">
        <v>0.5743054389943056</v>
      </c>
      <c r="AN107" s="198">
        <v>191</v>
      </c>
      <c r="AO107" s="198">
        <v>0.027903579254930606</v>
      </c>
      <c r="AP107" s="198">
        <v>0.026180035649277383</v>
      </c>
      <c r="AQ107" s="198">
        <v>3</v>
      </c>
      <c r="AR107" s="198">
        <v>3818</v>
      </c>
      <c r="AS107" s="198">
        <v>0</v>
      </c>
      <c r="AT107" s="198">
        <v>0</v>
      </c>
      <c r="AU107" s="198">
        <v>682.99</v>
      </c>
      <c r="AV107" s="198">
        <v>10.02210866923381</v>
      </c>
      <c r="AW107" s="198">
        <v>1.7962738067433595</v>
      </c>
      <c r="AX107" s="198">
        <v>297</v>
      </c>
      <c r="AY107" s="198">
        <v>1736</v>
      </c>
      <c r="AZ107" s="198">
        <v>0.17108294930875576</v>
      </c>
      <c r="BA107" s="198">
        <v>0.10739409061310358</v>
      </c>
      <c r="BB107" s="198">
        <v>0.41386666666666666</v>
      </c>
      <c r="BC107" s="198">
        <v>2610</v>
      </c>
      <c r="BD107" s="198">
        <v>2794</v>
      </c>
      <c r="BE107" s="198">
        <v>0.9341445955619184</v>
      </c>
      <c r="BF107" s="198">
        <v>0.5045057412655298</v>
      </c>
      <c r="BG107" s="198">
        <v>0</v>
      </c>
      <c r="BH107" s="198">
        <v>0</v>
      </c>
      <c r="BI107" s="198">
        <v>-684.5</v>
      </c>
      <c r="BJ107" s="198">
        <v>-1642.8</v>
      </c>
      <c r="BK107" s="198">
        <v>-28064.499999999996</v>
      </c>
      <c r="BL107" s="198">
        <v>-2532.65</v>
      </c>
      <c r="BM107" s="198">
        <v>-36483.85</v>
      </c>
      <c r="BN107" s="198">
        <v>-821.4</v>
      </c>
      <c r="BO107" s="198">
        <v>-114657</v>
      </c>
      <c r="BP107" s="198">
        <v>168304.4416630827</v>
      </c>
      <c r="BQ107" s="198">
        <v>692802</v>
      </c>
      <c r="BR107" s="198">
        <v>228414</v>
      </c>
      <c r="BS107" s="198">
        <v>568548.2001782603</v>
      </c>
      <c r="BT107" s="198">
        <v>30177.065317712404</v>
      </c>
      <c r="BU107" s="198">
        <v>84240.24277662033</v>
      </c>
      <c r="BV107" s="198">
        <v>255219.49443637565</v>
      </c>
      <c r="BW107" s="198">
        <v>417479.1284722147</v>
      </c>
      <c r="BX107" s="198">
        <v>616.05</v>
      </c>
      <c r="BY107" s="198">
        <v>-11820.749207567504</v>
      </c>
      <c r="BZ107" s="198">
        <v>2319322.873636699</v>
      </c>
      <c r="CA107" s="198">
        <v>2189747.0236366987</v>
      </c>
      <c r="CB107" s="198">
        <v>0</v>
      </c>
      <c r="CC107" s="232">
        <v>4413911.293714289</v>
      </c>
      <c r="CD107" s="198">
        <v>-306858</v>
      </c>
      <c r="CE107" s="198">
        <v>478770.64416</v>
      </c>
      <c r="CH107" s="198">
        <v>7001</v>
      </c>
    </row>
    <row r="108" spans="1:86" ht="11.25">
      <c r="A108" s="198">
        <v>288</v>
      </c>
      <c r="B108" s="198" t="s">
        <v>184</v>
      </c>
      <c r="C108" s="198">
        <v>6662</v>
      </c>
      <c r="D108" s="198">
        <v>26132360.17</v>
      </c>
      <c r="E108" s="198">
        <v>6500087.650218196</v>
      </c>
      <c r="F108" s="198">
        <v>2790048.778192494</v>
      </c>
      <c r="G108" s="198">
        <v>35422496.598410696</v>
      </c>
      <c r="H108" s="198">
        <v>3642.26</v>
      </c>
      <c r="I108" s="198">
        <v>24264736.12</v>
      </c>
      <c r="J108" s="198">
        <v>11157760.478410695</v>
      </c>
      <c r="K108" s="198">
        <v>186308.94723789045</v>
      </c>
      <c r="L108" s="198">
        <v>1689770.312633774</v>
      </c>
      <c r="M108" s="198">
        <v>95405.72015516275</v>
      </c>
      <c r="N108" s="198">
        <v>13129245.458437521</v>
      </c>
      <c r="O108" s="198">
        <v>3475246.5952000003</v>
      </c>
      <c r="P108" s="198">
        <v>16604492.053637521</v>
      </c>
      <c r="Q108" s="198">
        <v>450</v>
      </c>
      <c r="R108" s="198">
        <v>92</v>
      </c>
      <c r="S108" s="198">
        <v>466</v>
      </c>
      <c r="T108" s="198">
        <v>268</v>
      </c>
      <c r="U108" s="198">
        <v>236</v>
      </c>
      <c r="V108" s="198">
        <v>3603</v>
      </c>
      <c r="W108" s="198">
        <v>821</v>
      </c>
      <c r="X108" s="198">
        <v>465</v>
      </c>
      <c r="Y108" s="198">
        <v>261</v>
      </c>
      <c r="Z108" s="198">
        <v>1165</v>
      </c>
      <c r="AA108" s="198">
        <v>5332</v>
      </c>
      <c r="AB108" s="198">
        <v>0</v>
      </c>
      <c r="AC108" s="198">
        <v>165</v>
      </c>
      <c r="AD108" s="198">
        <v>712.36</v>
      </c>
      <c r="AE108" s="198">
        <v>9.352013027121119</v>
      </c>
      <c r="AF108" s="198">
        <v>1547</v>
      </c>
      <c r="AG108" s="198">
        <v>6500087.650218196</v>
      </c>
      <c r="AH108" s="198">
        <v>3887958.5633468265</v>
      </c>
      <c r="AI108" s="198">
        <v>1908658.4006922871</v>
      </c>
      <c r="AJ108" s="198">
        <v>703470.6861790827</v>
      </c>
      <c r="AK108" s="198">
        <v>163</v>
      </c>
      <c r="AL108" s="198">
        <v>3113</v>
      </c>
      <c r="AM108" s="198">
        <v>0.4200362525614688</v>
      </c>
      <c r="AN108" s="198">
        <v>165</v>
      </c>
      <c r="AO108" s="198">
        <v>0.024767337135995198</v>
      </c>
      <c r="AP108" s="198">
        <v>0.023043793530341975</v>
      </c>
      <c r="AQ108" s="198">
        <v>3</v>
      </c>
      <c r="AR108" s="198">
        <v>5332</v>
      </c>
      <c r="AS108" s="198">
        <v>0</v>
      </c>
      <c r="AT108" s="198">
        <v>0</v>
      </c>
      <c r="AU108" s="198">
        <v>712.36</v>
      </c>
      <c r="AV108" s="198">
        <v>9.352013027121119</v>
      </c>
      <c r="AW108" s="198">
        <v>1.9249814172277766</v>
      </c>
      <c r="AX108" s="198">
        <v>280</v>
      </c>
      <c r="AY108" s="198">
        <v>1971</v>
      </c>
      <c r="AZ108" s="198">
        <v>0.14205986808726534</v>
      </c>
      <c r="BA108" s="198">
        <v>0.07837100939161316</v>
      </c>
      <c r="BB108" s="198">
        <v>0</v>
      </c>
      <c r="BC108" s="198">
        <v>2549</v>
      </c>
      <c r="BD108" s="198">
        <v>2922</v>
      </c>
      <c r="BE108" s="198">
        <v>0.8723477070499658</v>
      </c>
      <c r="BF108" s="198">
        <v>0.44270885275357724</v>
      </c>
      <c r="BG108" s="198">
        <v>0</v>
      </c>
      <c r="BH108" s="198">
        <v>0</v>
      </c>
      <c r="BI108" s="198">
        <v>-666.2</v>
      </c>
      <c r="BJ108" s="198">
        <v>-1598.8799999999999</v>
      </c>
      <c r="BK108" s="198">
        <v>-27314.199999999997</v>
      </c>
      <c r="BL108" s="198">
        <v>-2464.94</v>
      </c>
      <c r="BM108" s="198">
        <v>-35508.46</v>
      </c>
      <c r="BN108" s="198">
        <v>-799.4399999999999</v>
      </c>
      <c r="BO108" s="198">
        <v>-32538</v>
      </c>
      <c r="BP108" s="198">
        <v>-40340.352658394724</v>
      </c>
      <c r="BQ108" s="198">
        <v>575682</v>
      </c>
      <c r="BR108" s="198">
        <v>200208</v>
      </c>
      <c r="BS108" s="198">
        <v>498934.73935790296</v>
      </c>
      <c r="BT108" s="198">
        <v>26028.434395778844</v>
      </c>
      <c r="BU108" s="198">
        <v>65840.18374348737</v>
      </c>
      <c r="BV108" s="198">
        <v>210501.86059898874</v>
      </c>
      <c r="BW108" s="198">
        <v>387049.0462516721</v>
      </c>
      <c r="BX108" s="198">
        <v>599.5799999999999</v>
      </c>
      <c r="BY108" s="198">
        <v>-76083.51905566148</v>
      </c>
      <c r="BZ108" s="198">
        <v>1815881.972633774</v>
      </c>
      <c r="CA108" s="198">
        <v>1689770.312633774</v>
      </c>
      <c r="CB108" s="198">
        <v>95405.72015516275</v>
      </c>
      <c r="CC108" s="232">
        <v>3475246.5952000003</v>
      </c>
      <c r="CD108" s="198">
        <v>-342423</v>
      </c>
      <c r="CE108" s="198">
        <v>-298982.6042</v>
      </c>
      <c r="CH108" s="198">
        <v>6682</v>
      </c>
    </row>
    <row r="109" spans="1:86" ht="11.25">
      <c r="A109" s="198">
        <v>290</v>
      </c>
      <c r="B109" s="198" t="s">
        <v>185</v>
      </c>
      <c r="C109" s="198">
        <v>8950</v>
      </c>
      <c r="D109" s="198">
        <v>31143733.809999995</v>
      </c>
      <c r="E109" s="198">
        <v>15478320.94781232</v>
      </c>
      <c r="F109" s="198">
        <v>5247647.696661776</v>
      </c>
      <c r="G109" s="198">
        <v>51869702.45447409</v>
      </c>
      <c r="H109" s="198">
        <v>3642.26</v>
      </c>
      <c r="I109" s="198">
        <v>32598227.000000004</v>
      </c>
      <c r="J109" s="198">
        <v>19271475.454474088</v>
      </c>
      <c r="K109" s="198">
        <v>3807563.0257447422</v>
      </c>
      <c r="L109" s="198">
        <v>3363225.632506559</v>
      </c>
      <c r="M109" s="198">
        <v>298404.38558814686</v>
      </c>
      <c r="N109" s="198">
        <v>26740668.49831354</v>
      </c>
      <c r="O109" s="198">
        <v>6258993.019162791</v>
      </c>
      <c r="P109" s="198">
        <v>32999661.517476328</v>
      </c>
      <c r="Q109" s="198">
        <v>393</v>
      </c>
      <c r="R109" s="198">
        <v>63</v>
      </c>
      <c r="S109" s="198">
        <v>467</v>
      </c>
      <c r="T109" s="198">
        <v>259</v>
      </c>
      <c r="U109" s="198">
        <v>246</v>
      </c>
      <c r="V109" s="198">
        <v>4870</v>
      </c>
      <c r="W109" s="198">
        <v>1436</v>
      </c>
      <c r="X109" s="198">
        <v>935</v>
      </c>
      <c r="Y109" s="198">
        <v>281</v>
      </c>
      <c r="Z109" s="198">
        <v>8776</v>
      </c>
      <c r="AA109" s="198">
        <v>6</v>
      </c>
      <c r="AB109" s="198">
        <v>1</v>
      </c>
      <c r="AC109" s="198">
        <v>167</v>
      </c>
      <c r="AD109" s="198">
        <v>4806.69</v>
      </c>
      <c r="AE109" s="198">
        <v>1.8619881872972879</v>
      </c>
      <c r="AF109" s="198">
        <v>2652</v>
      </c>
      <c r="AG109" s="198">
        <v>15478320.94781232</v>
      </c>
      <c r="AH109" s="198">
        <v>9465301.718290467</v>
      </c>
      <c r="AI109" s="198">
        <v>4241315.2791449055</v>
      </c>
      <c r="AJ109" s="198">
        <v>1771703.950376949</v>
      </c>
      <c r="AK109" s="198">
        <v>771</v>
      </c>
      <c r="AL109" s="198">
        <v>3932</v>
      </c>
      <c r="AM109" s="198">
        <v>1.5729653661425058</v>
      </c>
      <c r="AN109" s="198">
        <v>167</v>
      </c>
      <c r="AO109" s="198">
        <v>0.018659217877094972</v>
      </c>
      <c r="AP109" s="198">
        <v>0.01693567427144175</v>
      </c>
      <c r="AQ109" s="198">
        <v>0</v>
      </c>
      <c r="AR109" s="198">
        <v>6</v>
      </c>
      <c r="AS109" s="198">
        <v>1</v>
      </c>
      <c r="AT109" s="198">
        <v>0</v>
      </c>
      <c r="AU109" s="198">
        <v>4806.69</v>
      </c>
      <c r="AV109" s="198">
        <v>1.8619881872972879</v>
      </c>
      <c r="AW109" s="198">
        <v>9.668402524621357</v>
      </c>
      <c r="AX109" s="198">
        <v>325</v>
      </c>
      <c r="AY109" s="198">
        <v>2392</v>
      </c>
      <c r="AZ109" s="198">
        <v>0.1358695652173913</v>
      </c>
      <c r="BA109" s="198">
        <v>0.07218070652173912</v>
      </c>
      <c r="BB109" s="198">
        <v>1.2567333333333335</v>
      </c>
      <c r="BC109" s="198">
        <v>2862</v>
      </c>
      <c r="BD109" s="198">
        <v>3005</v>
      </c>
      <c r="BE109" s="198">
        <v>0.9524126455906822</v>
      </c>
      <c r="BF109" s="198">
        <v>0.5227737912942936</v>
      </c>
      <c r="BG109" s="198">
        <v>0</v>
      </c>
      <c r="BH109" s="198">
        <v>1</v>
      </c>
      <c r="BI109" s="198">
        <v>-895</v>
      </c>
      <c r="BJ109" s="198">
        <v>-2148</v>
      </c>
      <c r="BK109" s="198">
        <v>-36695</v>
      </c>
      <c r="BL109" s="198">
        <v>-3311.5</v>
      </c>
      <c r="BM109" s="198">
        <v>-47703.5</v>
      </c>
      <c r="BN109" s="198">
        <v>-1074</v>
      </c>
      <c r="BO109" s="198">
        <v>576522</v>
      </c>
      <c r="BP109" s="198">
        <v>45840.17907136306</v>
      </c>
      <c r="BQ109" s="198">
        <v>879743</v>
      </c>
      <c r="BR109" s="198">
        <v>272146</v>
      </c>
      <c r="BS109" s="198">
        <v>703979.2439260354</v>
      </c>
      <c r="BT109" s="198">
        <v>36783.39677402133</v>
      </c>
      <c r="BU109" s="198">
        <v>141222.52031815654</v>
      </c>
      <c r="BV109" s="198">
        <v>373179.4735321675</v>
      </c>
      <c r="BW109" s="198">
        <v>464916.2250756411</v>
      </c>
      <c r="BX109" s="198">
        <v>805.5</v>
      </c>
      <c r="BY109" s="198">
        <v>37511.5938091742</v>
      </c>
      <c r="BZ109" s="198">
        <v>3532649.132506559</v>
      </c>
      <c r="CA109" s="198">
        <v>3363225.632506559</v>
      </c>
      <c r="CB109" s="198">
        <v>298404.38558814686</v>
      </c>
      <c r="CC109" s="232">
        <v>6258993.019162791</v>
      </c>
      <c r="CD109" s="198">
        <v>-562264</v>
      </c>
      <c r="CE109" s="198">
        <v>-38602.50200000001</v>
      </c>
      <c r="CH109" s="198">
        <v>9104</v>
      </c>
    </row>
    <row r="110" spans="1:86" ht="11.25">
      <c r="A110" s="198">
        <v>291</v>
      </c>
      <c r="B110" s="198" t="s">
        <v>186</v>
      </c>
      <c r="C110" s="198">
        <v>2374</v>
      </c>
      <c r="D110" s="198">
        <v>9603439.27</v>
      </c>
      <c r="E110" s="198">
        <v>4273745.318128715</v>
      </c>
      <c r="F110" s="198">
        <v>864899.2007429276</v>
      </c>
      <c r="G110" s="198">
        <v>14742083.788871644</v>
      </c>
      <c r="H110" s="198">
        <v>3642.26</v>
      </c>
      <c r="I110" s="198">
        <v>8646725.24</v>
      </c>
      <c r="J110" s="198">
        <v>6095358.548871644</v>
      </c>
      <c r="K110" s="198">
        <v>396321.13131540816</v>
      </c>
      <c r="L110" s="198">
        <v>760534.9341527267</v>
      </c>
      <c r="M110" s="198">
        <v>489445.88662265433</v>
      </c>
      <c r="N110" s="198">
        <v>7741660.500962433</v>
      </c>
      <c r="O110" s="198">
        <v>1857756.7679999997</v>
      </c>
      <c r="P110" s="198">
        <v>9599417.268962434</v>
      </c>
      <c r="Q110" s="198">
        <v>70</v>
      </c>
      <c r="R110" s="198">
        <v>15</v>
      </c>
      <c r="S110" s="198">
        <v>88</v>
      </c>
      <c r="T110" s="198">
        <v>66</v>
      </c>
      <c r="U110" s="198">
        <v>48</v>
      </c>
      <c r="V110" s="198">
        <v>1131</v>
      </c>
      <c r="W110" s="198">
        <v>481</v>
      </c>
      <c r="X110" s="198">
        <v>322</v>
      </c>
      <c r="Y110" s="198">
        <v>153</v>
      </c>
      <c r="Z110" s="198">
        <v>2341</v>
      </c>
      <c r="AA110" s="198">
        <v>5</v>
      </c>
      <c r="AB110" s="198">
        <v>0</v>
      </c>
      <c r="AC110" s="198">
        <v>28</v>
      </c>
      <c r="AD110" s="198">
        <v>660.96</v>
      </c>
      <c r="AE110" s="198">
        <v>3.591745340111353</v>
      </c>
      <c r="AF110" s="198">
        <v>956</v>
      </c>
      <c r="AG110" s="198">
        <v>4273745.318128715</v>
      </c>
      <c r="AH110" s="198">
        <v>2266407.271753797</v>
      </c>
      <c r="AI110" s="198">
        <v>1651260.2916422968</v>
      </c>
      <c r="AJ110" s="198">
        <v>356077.75473262207</v>
      </c>
      <c r="AK110" s="198">
        <v>144</v>
      </c>
      <c r="AL110" s="198">
        <v>914</v>
      </c>
      <c r="AM110" s="198">
        <v>1.2638472500586295</v>
      </c>
      <c r="AN110" s="198">
        <v>28</v>
      </c>
      <c r="AO110" s="198">
        <v>0.011794439764111205</v>
      </c>
      <c r="AP110" s="198">
        <v>0.010070896158457982</v>
      </c>
      <c r="AQ110" s="198">
        <v>0</v>
      </c>
      <c r="AR110" s="198">
        <v>5</v>
      </c>
      <c r="AS110" s="198">
        <v>0</v>
      </c>
      <c r="AT110" s="198">
        <v>1</v>
      </c>
      <c r="AU110" s="198">
        <v>660.96</v>
      </c>
      <c r="AV110" s="198">
        <v>3.591745340111353</v>
      </c>
      <c r="AW110" s="198">
        <v>5.012173633201434</v>
      </c>
      <c r="AX110" s="198">
        <v>75</v>
      </c>
      <c r="AY110" s="198">
        <v>528</v>
      </c>
      <c r="AZ110" s="198">
        <v>0.14204545454545456</v>
      </c>
      <c r="BA110" s="198">
        <v>0.07835659584980238</v>
      </c>
      <c r="BB110" s="198">
        <v>0.6464666666666666</v>
      </c>
      <c r="BC110" s="198">
        <v>700</v>
      </c>
      <c r="BD110" s="198">
        <v>743</v>
      </c>
      <c r="BE110" s="198">
        <v>0.9421265141318977</v>
      </c>
      <c r="BF110" s="198">
        <v>0.5124876598355093</v>
      </c>
      <c r="BG110" s="198">
        <v>0</v>
      </c>
      <c r="BH110" s="198">
        <v>0</v>
      </c>
      <c r="BI110" s="198">
        <v>-237.4</v>
      </c>
      <c r="BJ110" s="198">
        <v>-569.76</v>
      </c>
      <c r="BK110" s="198">
        <v>-9733.4</v>
      </c>
      <c r="BL110" s="198">
        <v>-878.38</v>
      </c>
      <c r="BM110" s="198">
        <v>-12653.42</v>
      </c>
      <c r="BN110" s="198">
        <v>-284.88</v>
      </c>
      <c r="BO110" s="198">
        <v>41818</v>
      </c>
      <c r="BP110" s="198">
        <v>7533.050449972972</v>
      </c>
      <c r="BQ110" s="198">
        <v>263880</v>
      </c>
      <c r="BR110" s="198">
        <v>73319</v>
      </c>
      <c r="BS110" s="198">
        <v>170391.72029912568</v>
      </c>
      <c r="BT110" s="198">
        <v>10287.71598803778</v>
      </c>
      <c r="BU110" s="198">
        <v>30345.713254875387</v>
      </c>
      <c r="BV110" s="198">
        <v>102649.1409805688</v>
      </c>
      <c r="BW110" s="198">
        <v>115877.47630091819</v>
      </c>
      <c r="BX110" s="198">
        <v>213.66</v>
      </c>
      <c r="BY110" s="198">
        <v>-10840.723120772134</v>
      </c>
      <c r="BZ110" s="198">
        <v>805474.7541527266</v>
      </c>
      <c r="CA110" s="198">
        <v>760534.9341527267</v>
      </c>
      <c r="CB110" s="198">
        <v>489445.88662265433</v>
      </c>
      <c r="CC110" s="232">
        <v>1857756.7679999997</v>
      </c>
      <c r="CD110" s="198">
        <v>-355198</v>
      </c>
      <c r="CE110" s="198">
        <v>22414.356</v>
      </c>
      <c r="CH110" s="198">
        <v>2409</v>
      </c>
    </row>
    <row r="111" spans="1:86" ht="11.25">
      <c r="A111" s="198">
        <v>297</v>
      </c>
      <c r="B111" s="198" t="s">
        <v>187</v>
      </c>
      <c r="C111" s="198">
        <v>111289</v>
      </c>
      <c r="D111" s="198">
        <v>367199194.90999997</v>
      </c>
      <c r="E111" s="198">
        <v>156336405.08572516</v>
      </c>
      <c r="F111" s="198">
        <v>20142778.87489193</v>
      </c>
      <c r="G111" s="198">
        <v>543678378.870617</v>
      </c>
      <c r="H111" s="198">
        <v>3642.26</v>
      </c>
      <c r="I111" s="198">
        <v>405343473.14000005</v>
      </c>
      <c r="J111" s="198">
        <v>138334905.730617</v>
      </c>
      <c r="K111" s="198">
        <v>4511518.322748751</v>
      </c>
      <c r="L111" s="198">
        <v>25093071.65859947</v>
      </c>
      <c r="M111" s="198">
        <v>-3555913.009172262</v>
      </c>
      <c r="N111" s="198">
        <v>164383582.70279294</v>
      </c>
      <c r="O111" s="198">
        <v>23694595.454048727</v>
      </c>
      <c r="P111" s="198">
        <v>188078178.15684167</v>
      </c>
      <c r="Q111" s="198">
        <v>7001</v>
      </c>
      <c r="R111" s="198">
        <v>1100</v>
      </c>
      <c r="S111" s="198">
        <v>6607</v>
      </c>
      <c r="T111" s="198">
        <v>3397</v>
      </c>
      <c r="U111" s="198">
        <v>3675</v>
      </c>
      <c r="V111" s="198">
        <v>68720</v>
      </c>
      <c r="W111" s="198">
        <v>11560</v>
      </c>
      <c r="X111" s="198">
        <v>6628</v>
      </c>
      <c r="Y111" s="198">
        <v>2601</v>
      </c>
      <c r="Z111" s="198">
        <v>107571</v>
      </c>
      <c r="AA111" s="198">
        <v>118</v>
      </c>
      <c r="AB111" s="198">
        <v>3</v>
      </c>
      <c r="AC111" s="198">
        <v>3597</v>
      </c>
      <c r="AD111" s="198">
        <v>2775.67</v>
      </c>
      <c r="AE111" s="198">
        <v>40.094463679039656</v>
      </c>
      <c r="AF111" s="198">
        <v>20789</v>
      </c>
      <c r="AG111" s="198">
        <v>156336405.08572516</v>
      </c>
      <c r="AH111" s="198">
        <v>94688431.83185047</v>
      </c>
      <c r="AI111" s="198">
        <v>40535167.84521606</v>
      </c>
      <c r="AJ111" s="198">
        <v>21112805.408658635</v>
      </c>
      <c r="AK111" s="198">
        <v>6375</v>
      </c>
      <c r="AL111" s="198">
        <v>52511</v>
      </c>
      <c r="AM111" s="198">
        <v>0.9738861545780778</v>
      </c>
      <c r="AN111" s="198">
        <v>3597</v>
      </c>
      <c r="AO111" s="198">
        <v>0.03232125367286973</v>
      </c>
      <c r="AP111" s="198">
        <v>0.03059771006721651</v>
      </c>
      <c r="AQ111" s="198">
        <v>0</v>
      </c>
      <c r="AR111" s="198">
        <v>118</v>
      </c>
      <c r="AS111" s="198">
        <v>3</v>
      </c>
      <c r="AT111" s="198">
        <v>1</v>
      </c>
      <c r="AU111" s="198">
        <v>2775.67</v>
      </c>
      <c r="AV111" s="198">
        <v>40.094463679039656</v>
      </c>
      <c r="AW111" s="198">
        <v>0.4490009252896293</v>
      </c>
      <c r="AX111" s="198">
        <v>3440</v>
      </c>
      <c r="AY111" s="198">
        <v>34308</v>
      </c>
      <c r="AZ111" s="198">
        <v>0.10026815902996386</v>
      </c>
      <c r="BA111" s="198">
        <v>0.036579300334311685</v>
      </c>
      <c r="BB111" s="198">
        <v>0</v>
      </c>
      <c r="BC111" s="198">
        <v>49997</v>
      </c>
      <c r="BD111" s="198">
        <v>46666</v>
      </c>
      <c r="BE111" s="198">
        <v>1.0713795911370163</v>
      </c>
      <c r="BF111" s="198">
        <v>0.6417407368406278</v>
      </c>
      <c r="BG111" s="198">
        <v>0</v>
      </c>
      <c r="BH111" s="198">
        <v>3</v>
      </c>
      <c r="BI111" s="198">
        <v>-11128.900000000001</v>
      </c>
      <c r="BJ111" s="198">
        <v>-26709.36</v>
      </c>
      <c r="BK111" s="198">
        <v>-456284.89999999997</v>
      </c>
      <c r="BL111" s="198">
        <v>-41176.93</v>
      </c>
      <c r="BM111" s="198">
        <v>-593170.37</v>
      </c>
      <c r="BN111" s="198">
        <v>-13354.68</v>
      </c>
      <c r="BO111" s="198">
        <v>208125</v>
      </c>
      <c r="BP111" s="198">
        <v>455124.4716792684</v>
      </c>
      <c r="BQ111" s="198">
        <v>7721422</v>
      </c>
      <c r="BR111" s="198">
        <v>2632102</v>
      </c>
      <c r="BS111" s="198">
        <v>6311285.251131396</v>
      </c>
      <c r="BT111" s="198">
        <v>254129.22840507558</v>
      </c>
      <c r="BU111" s="198">
        <v>480264.39178538753</v>
      </c>
      <c r="BV111" s="198">
        <v>2824157.10669633</v>
      </c>
      <c r="BW111" s="198">
        <v>5602034.382405377</v>
      </c>
      <c r="BX111" s="198">
        <v>10016.01</v>
      </c>
      <c r="BY111" s="198">
        <v>701112.5864966308</v>
      </c>
      <c r="BZ111" s="198">
        <v>27199772.42859947</v>
      </c>
      <c r="CA111" s="198">
        <v>25093071.65859947</v>
      </c>
      <c r="CB111" s="198">
        <v>-3555913.009172262</v>
      </c>
      <c r="CC111" s="232">
        <v>23694595.454048727</v>
      </c>
      <c r="CD111" s="198">
        <v>-8131914</v>
      </c>
      <c r="CE111" s="198">
        <v>-2310481.7784159984</v>
      </c>
      <c r="CH111" s="198">
        <v>110113</v>
      </c>
    </row>
    <row r="112" spans="1:86" ht="11.25">
      <c r="A112" s="198">
        <v>300</v>
      </c>
      <c r="B112" s="198" t="s">
        <v>188</v>
      </c>
      <c r="C112" s="198">
        <v>3727</v>
      </c>
      <c r="D112" s="198">
        <v>14719351.309999999</v>
      </c>
      <c r="E112" s="198">
        <v>6539655.8491473915</v>
      </c>
      <c r="F112" s="198">
        <v>723930.2509862554</v>
      </c>
      <c r="G112" s="198">
        <v>21982937.410133645</v>
      </c>
      <c r="H112" s="198">
        <v>3642.26</v>
      </c>
      <c r="I112" s="198">
        <v>13574703.020000001</v>
      </c>
      <c r="J112" s="198">
        <v>8408234.390133644</v>
      </c>
      <c r="K112" s="198">
        <v>108688.5703164534</v>
      </c>
      <c r="L112" s="198">
        <v>1140584.4793481682</v>
      </c>
      <c r="M112" s="198">
        <v>0</v>
      </c>
      <c r="N112" s="198">
        <v>9657507.439798264</v>
      </c>
      <c r="O112" s="198">
        <v>3257830.2159999986</v>
      </c>
      <c r="P112" s="198">
        <v>12915337.655798262</v>
      </c>
      <c r="Q112" s="198">
        <v>198</v>
      </c>
      <c r="R112" s="198">
        <v>44</v>
      </c>
      <c r="S112" s="198">
        <v>252</v>
      </c>
      <c r="T112" s="198">
        <v>128</v>
      </c>
      <c r="U112" s="198">
        <v>115</v>
      </c>
      <c r="V112" s="198">
        <v>1925</v>
      </c>
      <c r="W112" s="198">
        <v>515</v>
      </c>
      <c r="X112" s="198">
        <v>391</v>
      </c>
      <c r="Y112" s="198">
        <v>159</v>
      </c>
      <c r="Z112" s="198">
        <v>3670</v>
      </c>
      <c r="AA112" s="198">
        <v>2</v>
      </c>
      <c r="AB112" s="198">
        <v>0</v>
      </c>
      <c r="AC112" s="198">
        <v>55</v>
      </c>
      <c r="AD112" s="198">
        <v>462.17</v>
      </c>
      <c r="AE112" s="198">
        <v>8.064132245710452</v>
      </c>
      <c r="AF112" s="198">
        <v>1065</v>
      </c>
      <c r="AG112" s="198">
        <v>6539655.8491473915</v>
      </c>
      <c r="AH112" s="198">
        <v>3433755.5139936158</v>
      </c>
      <c r="AI112" s="198">
        <v>2497962.7051224695</v>
      </c>
      <c r="AJ112" s="198">
        <v>607937.630031306</v>
      </c>
      <c r="AK112" s="198">
        <v>123</v>
      </c>
      <c r="AL112" s="198">
        <v>1632</v>
      </c>
      <c r="AM112" s="198">
        <v>0.6045931863855326</v>
      </c>
      <c r="AN112" s="198">
        <v>55</v>
      </c>
      <c r="AO112" s="198">
        <v>0.014757177354440569</v>
      </c>
      <c r="AP112" s="198">
        <v>0.013033633748787346</v>
      </c>
      <c r="AQ112" s="198">
        <v>0</v>
      </c>
      <c r="AR112" s="198">
        <v>2</v>
      </c>
      <c r="AS112" s="198">
        <v>0</v>
      </c>
      <c r="AT112" s="198">
        <v>0</v>
      </c>
      <c r="AU112" s="198">
        <v>462.17</v>
      </c>
      <c r="AV112" s="198">
        <v>8.064132245710452</v>
      </c>
      <c r="AW112" s="198">
        <v>2.2324102262157557</v>
      </c>
      <c r="AX112" s="198">
        <v>133</v>
      </c>
      <c r="AY112" s="198">
        <v>1058</v>
      </c>
      <c r="AZ112" s="198">
        <v>0.12570888468809074</v>
      </c>
      <c r="BA112" s="198">
        <v>0.06202002599243857</v>
      </c>
      <c r="BB112" s="198">
        <v>0</v>
      </c>
      <c r="BC112" s="198">
        <v>1320</v>
      </c>
      <c r="BD112" s="198">
        <v>1481</v>
      </c>
      <c r="BE112" s="198">
        <v>0.8912896691424713</v>
      </c>
      <c r="BF112" s="198">
        <v>0.4616508148460828</v>
      </c>
      <c r="BG112" s="198">
        <v>0</v>
      </c>
      <c r="BH112" s="198">
        <v>0</v>
      </c>
      <c r="BI112" s="198">
        <v>-372.70000000000005</v>
      </c>
      <c r="BJ112" s="198">
        <v>-894.48</v>
      </c>
      <c r="BK112" s="198">
        <v>-15280.699999999999</v>
      </c>
      <c r="BL112" s="198">
        <v>-1378.99</v>
      </c>
      <c r="BM112" s="198">
        <v>-19864.91</v>
      </c>
      <c r="BN112" s="198">
        <v>-447.24</v>
      </c>
      <c r="BO112" s="198">
        <v>-28763</v>
      </c>
      <c r="BP112" s="198">
        <v>43572.96139998175</v>
      </c>
      <c r="BQ112" s="198">
        <v>402441</v>
      </c>
      <c r="BR112" s="198">
        <v>120659</v>
      </c>
      <c r="BS112" s="198">
        <v>305156.2929916715</v>
      </c>
      <c r="BT112" s="198">
        <v>18450.74644536792</v>
      </c>
      <c r="BU112" s="198">
        <v>1795.9278249640176</v>
      </c>
      <c r="BV112" s="198">
        <v>137432.4563507495</v>
      </c>
      <c r="BW112" s="198">
        <v>220644.95483986958</v>
      </c>
      <c r="BX112" s="198">
        <v>335.43</v>
      </c>
      <c r="BY112" s="198">
        <v>-10589.180504435826</v>
      </c>
      <c r="BZ112" s="198">
        <v>1211136.5893481683</v>
      </c>
      <c r="CA112" s="198">
        <v>1140584.4793481682</v>
      </c>
      <c r="CB112" s="198">
        <v>0</v>
      </c>
      <c r="CC112" s="232">
        <v>3257830.2159999986</v>
      </c>
      <c r="CD112" s="198">
        <v>323147</v>
      </c>
      <c r="CE112" s="198">
        <v>77267.26610000001</v>
      </c>
      <c r="CH112" s="198">
        <v>3819</v>
      </c>
    </row>
    <row r="113" spans="1:86" ht="11.25">
      <c r="A113" s="198">
        <v>301</v>
      </c>
      <c r="B113" s="198" t="s">
        <v>189</v>
      </c>
      <c r="C113" s="198">
        <v>14188</v>
      </c>
      <c r="D113" s="198">
        <v>51745586.01</v>
      </c>
      <c r="E113" s="198">
        <v>21517317.40706353</v>
      </c>
      <c r="F113" s="198">
        <v>2678169.6246729763</v>
      </c>
      <c r="G113" s="198">
        <v>75941073.04173651</v>
      </c>
      <c r="H113" s="198">
        <v>3642.26</v>
      </c>
      <c r="I113" s="198">
        <v>51676384.88</v>
      </c>
      <c r="J113" s="198">
        <v>24264688.16173651</v>
      </c>
      <c r="K113" s="198">
        <v>369984.06695432746</v>
      </c>
      <c r="L113" s="198">
        <v>3785824.7838209975</v>
      </c>
      <c r="M113" s="198">
        <v>0</v>
      </c>
      <c r="N113" s="198">
        <v>28420497.012511835</v>
      </c>
      <c r="O113" s="198">
        <v>10863047.82936842</v>
      </c>
      <c r="P113" s="198">
        <v>39283544.841880254</v>
      </c>
      <c r="Q113" s="198">
        <v>822</v>
      </c>
      <c r="R113" s="198">
        <v>136</v>
      </c>
      <c r="S113" s="198">
        <v>935</v>
      </c>
      <c r="T113" s="198">
        <v>454</v>
      </c>
      <c r="U113" s="198">
        <v>502</v>
      </c>
      <c r="V113" s="198">
        <v>7806</v>
      </c>
      <c r="W113" s="198">
        <v>1921</v>
      </c>
      <c r="X113" s="198">
        <v>1139</v>
      </c>
      <c r="Y113" s="198">
        <v>473</v>
      </c>
      <c r="Z113" s="198">
        <v>13898</v>
      </c>
      <c r="AA113" s="198">
        <v>51</v>
      </c>
      <c r="AB113" s="198">
        <v>0</v>
      </c>
      <c r="AC113" s="198">
        <v>239</v>
      </c>
      <c r="AD113" s="198">
        <v>905.62</v>
      </c>
      <c r="AE113" s="198">
        <v>15.666615136591506</v>
      </c>
      <c r="AF113" s="198">
        <v>3533</v>
      </c>
      <c r="AG113" s="198">
        <v>21517317.40706353</v>
      </c>
      <c r="AH113" s="198">
        <v>12465142.299062584</v>
      </c>
      <c r="AI113" s="198">
        <v>6724642.4673096575</v>
      </c>
      <c r="AJ113" s="198">
        <v>2327532.640691286</v>
      </c>
      <c r="AK113" s="198">
        <v>762</v>
      </c>
      <c r="AL113" s="198">
        <v>6417</v>
      </c>
      <c r="AM113" s="198">
        <v>0.952579483483362</v>
      </c>
      <c r="AN113" s="198">
        <v>239</v>
      </c>
      <c r="AO113" s="198">
        <v>0.0168452213137863</v>
      </c>
      <c r="AP113" s="198">
        <v>0.015121677708133077</v>
      </c>
      <c r="AQ113" s="198">
        <v>0</v>
      </c>
      <c r="AR113" s="198">
        <v>51</v>
      </c>
      <c r="AS113" s="198">
        <v>0</v>
      </c>
      <c r="AT113" s="198">
        <v>0</v>
      </c>
      <c r="AU113" s="198">
        <v>905.62</v>
      </c>
      <c r="AV113" s="198">
        <v>15.666615136591506</v>
      </c>
      <c r="AW113" s="198">
        <v>1.1490964151428646</v>
      </c>
      <c r="AX113" s="198">
        <v>508</v>
      </c>
      <c r="AY113" s="198">
        <v>3920</v>
      </c>
      <c r="AZ113" s="198">
        <v>0.12959183673469388</v>
      </c>
      <c r="BA113" s="198">
        <v>0.0659029780390417</v>
      </c>
      <c r="BB113" s="198">
        <v>0</v>
      </c>
      <c r="BC113" s="198">
        <v>4636</v>
      </c>
      <c r="BD113" s="198">
        <v>5503</v>
      </c>
      <c r="BE113" s="198">
        <v>0.8424495729602035</v>
      </c>
      <c r="BF113" s="198">
        <v>0.41281071866381497</v>
      </c>
      <c r="BG113" s="198">
        <v>0</v>
      </c>
      <c r="BH113" s="198">
        <v>0</v>
      </c>
      <c r="BI113" s="198">
        <v>-1418.8000000000002</v>
      </c>
      <c r="BJ113" s="198">
        <v>-3405.12</v>
      </c>
      <c r="BK113" s="198">
        <v>-58170.799999999996</v>
      </c>
      <c r="BL113" s="198">
        <v>-5249.5599999999995</v>
      </c>
      <c r="BM113" s="198">
        <v>-75622.04000000001</v>
      </c>
      <c r="BN113" s="198">
        <v>-1702.56</v>
      </c>
      <c r="BO113" s="198">
        <v>-157213</v>
      </c>
      <c r="BP113" s="198">
        <v>72008.12821538001</v>
      </c>
      <c r="BQ113" s="198">
        <v>1274482</v>
      </c>
      <c r="BR113" s="198">
        <v>429874</v>
      </c>
      <c r="BS113" s="198">
        <v>1003988.5942681136</v>
      </c>
      <c r="BT113" s="198">
        <v>49231.460922712686</v>
      </c>
      <c r="BU113" s="198">
        <v>84277.39252685483</v>
      </c>
      <c r="BV113" s="198">
        <v>437182.1893675609</v>
      </c>
      <c r="BW113" s="198">
        <v>810599.7854510754</v>
      </c>
      <c r="BX113" s="198">
        <v>1276.9199999999998</v>
      </c>
      <c r="BY113" s="198">
        <v>48696.15306930056</v>
      </c>
      <c r="BZ113" s="198">
        <v>4054403.6238209973</v>
      </c>
      <c r="CA113" s="198">
        <v>3785824.7838209975</v>
      </c>
      <c r="CB113" s="198">
        <v>0</v>
      </c>
      <c r="CC113" s="232">
        <v>10863047.82936842</v>
      </c>
      <c r="CD113" s="198">
        <v>-1915120</v>
      </c>
      <c r="CE113" s="198">
        <v>164322.13432</v>
      </c>
      <c r="CH113" s="198">
        <v>14322</v>
      </c>
    </row>
    <row r="114" spans="1:86" ht="11.25">
      <c r="A114" s="198">
        <v>304</v>
      </c>
      <c r="B114" s="198" t="s">
        <v>190</v>
      </c>
      <c r="C114" s="198">
        <v>892</v>
      </c>
      <c r="D114" s="198">
        <v>3142563.63</v>
      </c>
      <c r="E114" s="198">
        <v>1221401.6564386622</v>
      </c>
      <c r="F114" s="198">
        <v>616946.6782971815</v>
      </c>
      <c r="G114" s="198">
        <v>4980911.964735844</v>
      </c>
      <c r="H114" s="198">
        <v>3642.26</v>
      </c>
      <c r="I114" s="198">
        <v>3248895.9200000004</v>
      </c>
      <c r="J114" s="198">
        <v>1732016.0447358438</v>
      </c>
      <c r="K114" s="198">
        <v>124623.83743103837</v>
      </c>
      <c r="L114" s="198">
        <v>325657.3856463176</v>
      </c>
      <c r="M114" s="198">
        <v>62612.47707986784</v>
      </c>
      <c r="N114" s="198">
        <v>2244909.7448930675</v>
      </c>
      <c r="O114" s="198">
        <v>417923.28810389625</v>
      </c>
      <c r="P114" s="198">
        <v>2662833.0329969637</v>
      </c>
      <c r="Q114" s="198">
        <v>28</v>
      </c>
      <c r="R114" s="198">
        <v>4</v>
      </c>
      <c r="S114" s="198">
        <v>30</v>
      </c>
      <c r="T114" s="198">
        <v>22</v>
      </c>
      <c r="U114" s="198">
        <v>27</v>
      </c>
      <c r="V114" s="198">
        <v>468</v>
      </c>
      <c r="W114" s="198">
        <v>189</v>
      </c>
      <c r="X114" s="198">
        <v>80</v>
      </c>
      <c r="Y114" s="198">
        <v>44</v>
      </c>
      <c r="Z114" s="198">
        <v>858</v>
      </c>
      <c r="AA114" s="198">
        <v>10</v>
      </c>
      <c r="AB114" s="198">
        <v>0</v>
      </c>
      <c r="AC114" s="198">
        <v>24</v>
      </c>
      <c r="AD114" s="198">
        <v>165.83</v>
      </c>
      <c r="AE114" s="198">
        <v>5.379002593016945</v>
      </c>
      <c r="AF114" s="198">
        <v>313</v>
      </c>
      <c r="AG114" s="198">
        <v>1221401.6564386622</v>
      </c>
      <c r="AH114" s="198">
        <v>767349.9590202108</v>
      </c>
      <c r="AI114" s="198">
        <v>323779.34812602884</v>
      </c>
      <c r="AJ114" s="198">
        <v>130272.34929242269</v>
      </c>
      <c r="AK114" s="198">
        <v>38</v>
      </c>
      <c r="AL114" s="198">
        <v>369</v>
      </c>
      <c r="AM114" s="198">
        <v>0.8261055158279946</v>
      </c>
      <c r="AN114" s="198">
        <v>24</v>
      </c>
      <c r="AO114" s="198">
        <v>0.026905829596412557</v>
      </c>
      <c r="AP114" s="198">
        <v>0.025182285990759334</v>
      </c>
      <c r="AQ114" s="198">
        <v>0</v>
      </c>
      <c r="AR114" s="198">
        <v>10</v>
      </c>
      <c r="AS114" s="198">
        <v>0</v>
      </c>
      <c r="AT114" s="198">
        <v>2</v>
      </c>
      <c r="AU114" s="198">
        <v>165.83</v>
      </c>
      <c r="AV114" s="198">
        <v>5.379002593016945</v>
      </c>
      <c r="AW114" s="198">
        <v>3.3468010062406623</v>
      </c>
      <c r="AX114" s="198">
        <v>41</v>
      </c>
      <c r="AY114" s="198">
        <v>218</v>
      </c>
      <c r="AZ114" s="198">
        <v>0.18807339449541285</v>
      </c>
      <c r="BA114" s="198">
        <v>0.12438453579976068</v>
      </c>
      <c r="BB114" s="198">
        <v>0.5266666666666666</v>
      </c>
      <c r="BC114" s="198">
        <v>279</v>
      </c>
      <c r="BD114" s="198">
        <v>308</v>
      </c>
      <c r="BE114" s="198">
        <v>0.9058441558441559</v>
      </c>
      <c r="BF114" s="198">
        <v>0.47620530154776736</v>
      </c>
      <c r="BG114" s="198">
        <v>0</v>
      </c>
      <c r="BH114" s="198">
        <v>0</v>
      </c>
      <c r="BI114" s="198">
        <v>-89.2</v>
      </c>
      <c r="BJ114" s="198">
        <v>-214.07999999999998</v>
      </c>
      <c r="BK114" s="198">
        <v>-3657.2</v>
      </c>
      <c r="BL114" s="198">
        <v>-330.04</v>
      </c>
      <c r="BM114" s="198">
        <v>-4754.36</v>
      </c>
      <c r="BN114" s="198">
        <v>-107.03999999999999</v>
      </c>
      <c r="BO114" s="198">
        <v>14097</v>
      </c>
      <c r="BP114" s="198">
        <v>44742.655345892534</v>
      </c>
      <c r="BQ114" s="198">
        <v>85842</v>
      </c>
      <c r="BR114" s="198">
        <v>32620</v>
      </c>
      <c r="BS114" s="198">
        <v>75487.32994316822</v>
      </c>
      <c r="BT114" s="198">
        <v>4273.189155356878</v>
      </c>
      <c r="BU114" s="198">
        <v>8143.4788131842</v>
      </c>
      <c r="BV114" s="198">
        <v>29434.574132182515</v>
      </c>
      <c r="BW114" s="198">
        <v>52110.84202803976</v>
      </c>
      <c r="BX114" s="198">
        <v>80.28</v>
      </c>
      <c r="BY114" s="198">
        <v>-4288.403771506481</v>
      </c>
      <c r="BZ114" s="198">
        <v>342542.9456463176</v>
      </c>
      <c r="CA114" s="198">
        <v>325657.3856463176</v>
      </c>
      <c r="CB114" s="198">
        <v>62612.47707986784</v>
      </c>
      <c r="CC114" s="232">
        <v>417923.28810389625</v>
      </c>
      <c r="CD114" s="198">
        <v>-209941</v>
      </c>
      <c r="CE114" s="198">
        <v>-259010.336</v>
      </c>
      <c r="CH114" s="198">
        <v>869</v>
      </c>
    </row>
    <row r="115" spans="1:86" ht="11.25">
      <c r="A115" s="198">
        <v>305</v>
      </c>
      <c r="B115" s="198" t="s">
        <v>191</v>
      </c>
      <c r="C115" s="198">
        <v>15823</v>
      </c>
      <c r="D115" s="198">
        <v>55527115.99</v>
      </c>
      <c r="E115" s="198">
        <v>26849728.404513877</v>
      </c>
      <c r="F115" s="198">
        <v>5836179.971563319</v>
      </c>
      <c r="G115" s="198">
        <v>88213024.3660772</v>
      </c>
      <c r="H115" s="198">
        <v>3642.26</v>
      </c>
      <c r="I115" s="198">
        <v>57631479.980000004</v>
      </c>
      <c r="J115" s="198">
        <v>30581544.386077195</v>
      </c>
      <c r="K115" s="198">
        <v>2933892.298468546</v>
      </c>
      <c r="L115" s="198">
        <v>3786848.7705525756</v>
      </c>
      <c r="M115" s="198">
        <v>0</v>
      </c>
      <c r="N115" s="198">
        <v>37302285.455098316</v>
      </c>
      <c r="O115" s="198">
        <v>10663146.902999997</v>
      </c>
      <c r="P115" s="198">
        <v>47965432.35809831</v>
      </c>
      <c r="Q115" s="198">
        <v>952</v>
      </c>
      <c r="R115" s="198">
        <v>167</v>
      </c>
      <c r="S115" s="198">
        <v>1008</v>
      </c>
      <c r="T115" s="198">
        <v>529</v>
      </c>
      <c r="U115" s="198">
        <v>625</v>
      </c>
      <c r="V115" s="198">
        <v>8961</v>
      </c>
      <c r="W115" s="198">
        <v>1933</v>
      </c>
      <c r="X115" s="198">
        <v>1255</v>
      </c>
      <c r="Y115" s="198">
        <v>393</v>
      </c>
      <c r="Z115" s="198">
        <v>15594</v>
      </c>
      <c r="AA115" s="198">
        <v>30</v>
      </c>
      <c r="AB115" s="198">
        <v>5</v>
      </c>
      <c r="AC115" s="198">
        <v>194</v>
      </c>
      <c r="AD115" s="198">
        <v>4977.86</v>
      </c>
      <c r="AE115" s="198">
        <v>3.1786751736690064</v>
      </c>
      <c r="AF115" s="198">
        <v>3581</v>
      </c>
      <c r="AG115" s="198">
        <v>26849728.404513877</v>
      </c>
      <c r="AH115" s="198">
        <v>17110176.502586033</v>
      </c>
      <c r="AI115" s="198">
        <v>5961653.772447586</v>
      </c>
      <c r="AJ115" s="198">
        <v>3777898.1294802576</v>
      </c>
      <c r="AK115" s="198">
        <v>1069</v>
      </c>
      <c r="AL115" s="198">
        <v>7053</v>
      </c>
      <c r="AM115" s="198">
        <v>1.2158559175230643</v>
      </c>
      <c r="AN115" s="198">
        <v>194</v>
      </c>
      <c r="AO115" s="198">
        <v>0.012260633255387727</v>
      </c>
      <c r="AP115" s="198">
        <v>0.010537089649734504</v>
      </c>
      <c r="AQ115" s="198">
        <v>0</v>
      </c>
      <c r="AR115" s="198">
        <v>30</v>
      </c>
      <c r="AS115" s="198">
        <v>5</v>
      </c>
      <c r="AT115" s="198">
        <v>0</v>
      </c>
      <c r="AU115" s="198">
        <v>4977.86</v>
      </c>
      <c r="AV115" s="198">
        <v>3.1786751736690064</v>
      </c>
      <c r="AW115" s="198">
        <v>5.663507690249707</v>
      </c>
      <c r="AX115" s="198">
        <v>471</v>
      </c>
      <c r="AY115" s="198">
        <v>4698</v>
      </c>
      <c r="AZ115" s="198">
        <v>0.10025542784163474</v>
      </c>
      <c r="BA115" s="198">
        <v>0.036566569145982566</v>
      </c>
      <c r="BB115" s="198">
        <v>0.7109333333333334</v>
      </c>
      <c r="BC115" s="198">
        <v>6034</v>
      </c>
      <c r="BD115" s="198">
        <v>5903</v>
      </c>
      <c r="BE115" s="198">
        <v>1.0221921057089616</v>
      </c>
      <c r="BF115" s="198">
        <v>0.5925532514125731</v>
      </c>
      <c r="BG115" s="198">
        <v>0</v>
      </c>
      <c r="BH115" s="198">
        <v>5</v>
      </c>
      <c r="BI115" s="198">
        <v>-1582.3000000000002</v>
      </c>
      <c r="BJ115" s="198">
        <v>-3797.52</v>
      </c>
      <c r="BK115" s="198">
        <v>-64874.299999999996</v>
      </c>
      <c r="BL115" s="198">
        <v>-5854.51</v>
      </c>
      <c r="BM115" s="198">
        <v>-84336.59</v>
      </c>
      <c r="BN115" s="198">
        <v>-1898.76</v>
      </c>
      <c r="BO115" s="198">
        <v>250403</v>
      </c>
      <c r="BP115" s="198">
        <v>-579082.7256268188</v>
      </c>
      <c r="BQ115" s="198">
        <v>1313963</v>
      </c>
      <c r="BR115" s="198">
        <v>435634</v>
      </c>
      <c r="BS115" s="198">
        <v>1098414.486511707</v>
      </c>
      <c r="BT115" s="198">
        <v>52714.551751714826</v>
      </c>
      <c r="BU115" s="198">
        <v>141116.00218029704</v>
      </c>
      <c r="BV115" s="198">
        <v>546955.3250817208</v>
      </c>
      <c r="BW115" s="198">
        <v>822490.5355652934</v>
      </c>
      <c r="BX115" s="198">
        <v>1424.07</v>
      </c>
      <c r="BY115" s="198">
        <v>2345.9150886613643</v>
      </c>
      <c r="BZ115" s="198">
        <v>4086378.1605525757</v>
      </c>
      <c r="CA115" s="198">
        <v>3786848.7705525756</v>
      </c>
      <c r="CB115" s="198">
        <v>0</v>
      </c>
      <c r="CC115" s="232">
        <v>10663146.902999997</v>
      </c>
      <c r="CD115" s="198">
        <v>-2142948</v>
      </c>
      <c r="CE115" s="198">
        <v>-24369.385940000022</v>
      </c>
      <c r="CH115" s="198">
        <v>15952</v>
      </c>
    </row>
    <row r="116" spans="1:86" ht="11.25">
      <c r="A116" s="198">
        <v>312</v>
      </c>
      <c r="B116" s="198" t="s">
        <v>192</v>
      </c>
      <c r="C116" s="198">
        <v>1399</v>
      </c>
      <c r="D116" s="198">
        <v>5329503.6899999995</v>
      </c>
      <c r="E116" s="198">
        <v>2190380.636656511</v>
      </c>
      <c r="F116" s="198">
        <v>521700.44525467436</v>
      </c>
      <c r="G116" s="198">
        <v>8041584.771911185</v>
      </c>
      <c r="H116" s="198">
        <v>3642.26</v>
      </c>
      <c r="I116" s="198">
        <v>5095521.74</v>
      </c>
      <c r="J116" s="198">
        <v>2946063.031911185</v>
      </c>
      <c r="K116" s="198">
        <v>288050.56408357684</v>
      </c>
      <c r="L116" s="198">
        <v>430678.09416801936</v>
      </c>
      <c r="M116" s="198">
        <v>0</v>
      </c>
      <c r="N116" s="198">
        <v>3664791.690162781</v>
      </c>
      <c r="O116" s="198">
        <v>911484.6434146344</v>
      </c>
      <c r="P116" s="198">
        <v>4576276.333577416</v>
      </c>
      <c r="Q116" s="198">
        <v>91</v>
      </c>
      <c r="R116" s="198">
        <v>12</v>
      </c>
      <c r="S116" s="198">
        <v>83</v>
      </c>
      <c r="T116" s="198">
        <v>48</v>
      </c>
      <c r="U116" s="198">
        <v>40</v>
      </c>
      <c r="V116" s="198">
        <v>722</v>
      </c>
      <c r="W116" s="198">
        <v>208</v>
      </c>
      <c r="X116" s="198">
        <v>147</v>
      </c>
      <c r="Y116" s="198">
        <v>48</v>
      </c>
      <c r="Z116" s="198">
        <v>1391</v>
      </c>
      <c r="AA116" s="198">
        <v>1</v>
      </c>
      <c r="AB116" s="198">
        <v>0</v>
      </c>
      <c r="AC116" s="198">
        <v>7</v>
      </c>
      <c r="AD116" s="198">
        <v>448.22</v>
      </c>
      <c r="AE116" s="198">
        <v>3.121235107759582</v>
      </c>
      <c r="AF116" s="198">
        <v>403</v>
      </c>
      <c r="AG116" s="198">
        <v>2190380.636656511</v>
      </c>
      <c r="AH116" s="198">
        <v>1314770.8774376672</v>
      </c>
      <c r="AI116" s="198">
        <v>675858.8236371293</v>
      </c>
      <c r="AJ116" s="198">
        <v>199750.93558171482</v>
      </c>
      <c r="AK116" s="198">
        <v>77</v>
      </c>
      <c r="AL116" s="198">
        <v>604</v>
      </c>
      <c r="AM116" s="198">
        <v>1.0226619040266998</v>
      </c>
      <c r="AN116" s="198">
        <v>7</v>
      </c>
      <c r="AO116" s="198">
        <v>0.005003573981415297</v>
      </c>
      <c r="AP116" s="198">
        <v>0.003280030375762074</v>
      </c>
      <c r="AQ116" s="198">
        <v>0</v>
      </c>
      <c r="AR116" s="198">
        <v>1</v>
      </c>
      <c r="AS116" s="198">
        <v>0</v>
      </c>
      <c r="AT116" s="198">
        <v>0</v>
      </c>
      <c r="AU116" s="198">
        <v>448.22</v>
      </c>
      <c r="AV116" s="198">
        <v>3.121235107759582</v>
      </c>
      <c r="AW116" s="198">
        <v>5.767733179126764</v>
      </c>
      <c r="AX116" s="198">
        <v>60</v>
      </c>
      <c r="AY116" s="198">
        <v>343</v>
      </c>
      <c r="AZ116" s="198">
        <v>0.1749271137026239</v>
      </c>
      <c r="BA116" s="198">
        <v>0.11123825500697172</v>
      </c>
      <c r="BB116" s="198">
        <v>0.7863166666666667</v>
      </c>
      <c r="BC116" s="198">
        <v>538</v>
      </c>
      <c r="BD116" s="198">
        <v>490</v>
      </c>
      <c r="BE116" s="198">
        <v>1.0979591836734695</v>
      </c>
      <c r="BF116" s="198">
        <v>0.668320329377081</v>
      </c>
      <c r="BG116" s="198">
        <v>0</v>
      </c>
      <c r="BH116" s="198">
        <v>0</v>
      </c>
      <c r="BI116" s="198">
        <v>-139.9</v>
      </c>
      <c r="BJ116" s="198">
        <v>-335.76</v>
      </c>
      <c r="BK116" s="198">
        <v>-5735.9</v>
      </c>
      <c r="BL116" s="198">
        <v>-517.63</v>
      </c>
      <c r="BM116" s="198">
        <v>-7456.67</v>
      </c>
      <c r="BN116" s="198">
        <v>-167.88</v>
      </c>
      <c r="BO116" s="198">
        <v>11212</v>
      </c>
      <c r="BP116" s="198">
        <v>-17635.270867861807</v>
      </c>
      <c r="BQ116" s="198">
        <v>144901</v>
      </c>
      <c r="BR116" s="198">
        <v>45985</v>
      </c>
      <c r="BS116" s="198">
        <v>129179.66506163221</v>
      </c>
      <c r="BT116" s="198">
        <v>6978.775756307908</v>
      </c>
      <c r="BU116" s="198">
        <v>17248.587342765153</v>
      </c>
      <c r="BV116" s="198">
        <v>61124.31556323072</v>
      </c>
      <c r="BW116" s="198">
        <v>71919.84689272415</v>
      </c>
      <c r="BX116" s="198">
        <v>125.91</v>
      </c>
      <c r="BY116" s="198">
        <v>-13878.66558077902</v>
      </c>
      <c r="BZ116" s="198">
        <v>457161.1641680194</v>
      </c>
      <c r="CA116" s="198">
        <v>430678.09416801936</v>
      </c>
      <c r="CB116" s="198">
        <v>0</v>
      </c>
      <c r="CC116" s="232">
        <v>911484.6434146344</v>
      </c>
      <c r="CD116" s="198">
        <v>-393561</v>
      </c>
      <c r="CE116" s="198">
        <v>-13697.662000000004</v>
      </c>
      <c r="CH116" s="198">
        <v>1431</v>
      </c>
    </row>
    <row r="117" spans="1:86" ht="11.25">
      <c r="A117" s="198">
        <v>316</v>
      </c>
      <c r="B117" s="198" t="s">
        <v>193</v>
      </c>
      <c r="C117" s="198">
        <v>4647</v>
      </c>
      <c r="D117" s="198">
        <v>15892425.040000001</v>
      </c>
      <c r="E117" s="198">
        <v>5316505.991627898</v>
      </c>
      <c r="F117" s="198">
        <v>1072222.723717194</v>
      </c>
      <c r="G117" s="198">
        <v>22281153.755345095</v>
      </c>
      <c r="H117" s="198">
        <v>3642.26</v>
      </c>
      <c r="I117" s="198">
        <v>16925582.220000003</v>
      </c>
      <c r="J117" s="198">
        <v>5355571.535345092</v>
      </c>
      <c r="K117" s="198">
        <v>140337.64481047238</v>
      </c>
      <c r="L117" s="198">
        <v>1169512.0953126336</v>
      </c>
      <c r="M117" s="198">
        <v>0</v>
      </c>
      <c r="N117" s="198">
        <v>6665421.275468199</v>
      </c>
      <c r="O117" s="198">
        <v>2895916.3403809546</v>
      </c>
      <c r="P117" s="198">
        <v>9561337.615849152</v>
      </c>
      <c r="Q117" s="198">
        <v>266</v>
      </c>
      <c r="R117" s="198">
        <v>46</v>
      </c>
      <c r="S117" s="198">
        <v>307</v>
      </c>
      <c r="T117" s="198">
        <v>153</v>
      </c>
      <c r="U117" s="198">
        <v>161</v>
      </c>
      <c r="V117" s="198">
        <v>2640</v>
      </c>
      <c r="W117" s="198">
        <v>662</v>
      </c>
      <c r="X117" s="198">
        <v>298</v>
      </c>
      <c r="Y117" s="198">
        <v>114</v>
      </c>
      <c r="Z117" s="198">
        <v>4485</v>
      </c>
      <c r="AA117" s="198">
        <v>22</v>
      </c>
      <c r="AB117" s="198">
        <v>0</v>
      </c>
      <c r="AC117" s="198">
        <v>140</v>
      </c>
      <c r="AD117" s="198">
        <v>256.47</v>
      </c>
      <c r="AE117" s="198">
        <v>18.119078254766638</v>
      </c>
      <c r="AF117" s="198">
        <v>1074</v>
      </c>
      <c r="AG117" s="198">
        <v>5316505.991627898</v>
      </c>
      <c r="AH117" s="198">
        <v>3174634.2618908375</v>
      </c>
      <c r="AI117" s="198">
        <v>1394976.9271271697</v>
      </c>
      <c r="AJ117" s="198">
        <v>746894.8026098902</v>
      </c>
      <c r="AK117" s="198">
        <v>232</v>
      </c>
      <c r="AL117" s="198">
        <v>2257</v>
      </c>
      <c r="AM117" s="198">
        <v>0.8245836461885009</v>
      </c>
      <c r="AN117" s="198">
        <v>140</v>
      </c>
      <c r="AO117" s="198">
        <v>0.030126963632451043</v>
      </c>
      <c r="AP117" s="198">
        <v>0.02840342002679782</v>
      </c>
      <c r="AQ117" s="198">
        <v>0</v>
      </c>
      <c r="AR117" s="198">
        <v>22</v>
      </c>
      <c r="AS117" s="198">
        <v>0</v>
      </c>
      <c r="AT117" s="198">
        <v>0</v>
      </c>
      <c r="AU117" s="198">
        <v>256.47</v>
      </c>
      <c r="AV117" s="198">
        <v>18.119078254766638</v>
      </c>
      <c r="AW117" s="198">
        <v>0.9935633059117831</v>
      </c>
      <c r="AX117" s="198">
        <v>312</v>
      </c>
      <c r="AY117" s="198">
        <v>1492</v>
      </c>
      <c r="AZ117" s="198">
        <v>0.20911528150134048</v>
      </c>
      <c r="BA117" s="198">
        <v>0.1454264228056883</v>
      </c>
      <c r="BB117" s="198">
        <v>0</v>
      </c>
      <c r="BC117" s="198">
        <v>1790</v>
      </c>
      <c r="BD117" s="198">
        <v>1972</v>
      </c>
      <c r="BE117" s="198">
        <v>0.907707910750507</v>
      </c>
      <c r="BF117" s="198">
        <v>0.4780690564541185</v>
      </c>
      <c r="BG117" s="198">
        <v>0</v>
      </c>
      <c r="BH117" s="198">
        <v>0</v>
      </c>
      <c r="BI117" s="198">
        <v>-464.70000000000005</v>
      </c>
      <c r="BJ117" s="198">
        <v>-1115.28</v>
      </c>
      <c r="BK117" s="198">
        <v>-19052.699999999997</v>
      </c>
      <c r="BL117" s="198">
        <v>-1719.3899999999999</v>
      </c>
      <c r="BM117" s="198">
        <v>-24768.510000000002</v>
      </c>
      <c r="BN117" s="198">
        <v>-557.64</v>
      </c>
      <c r="BO117" s="198">
        <v>7835</v>
      </c>
      <c r="BP117" s="198">
        <v>-35237.641212861985</v>
      </c>
      <c r="BQ117" s="198">
        <v>389680</v>
      </c>
      <c r="BR117" s="198">
        <v>123884</v>
      </c>
      <c r="BS117" s="198">
        <v>273763.615764534</v>
      </c>
      <c r="BT117" s="198">
        <v>13590.197081574734</v>
      </c>
      <c r="BU117" s="198">
        <v>61909.680832856684</v>
      </c>
      <c r="BV117" s="198">
        <v>128987.01462709896</v>
      </c>
      <c r="BW117" s="198">
        <v>261266.43930919206</v>
      </c>
      <c r="BX117" s="198">
        <v>418.22999999999996</v>
      </c>
      <c r="BY117" s="198">
        <v>31383.268910239327</v>
      </c>
      <c r="BZ117" s="198">
        <v>1257479.8053126335</v>
      </c>
      <c r="CA117" s="198">
        <v>1169512.0953126336</v>
      </c>
      <c r="CB117" s="198">
        <v>0</v>
      </c>
      <c r="CC117" s="232">
        <v>2895916.3403809546</v>
      </c>
      <c r="CD117" s="198">
        <v>-1084480</v>
      </c>
      <c r="CE117" s="198">
        <v>-3696401.2576400004</v>
      </c>
      <c r="CH117" s="198">
        <v>4755</v>
      </c>
    </row>
    <row r="118" spans="1:86" ht="11.25">
      <c r="A118" s="198">
        <v>317</v>
      </c>
      <c r="B118" s="198" t="s">
        <v>194</v>
      </c>
      <c r="C118" s="198">
        <v>2696</v>
      </c>
      <c r="D118" s="198">
        <v>10383989.309999999</v>
      </c>
      <c r="E118" s="198">
        <v>5156985.425146548</v>
      </c>
      <c r="F118" s="198">
        <v>847910.1047953176</v>
      </c>
      <c r="G118" s="198">
        <v>16388884.839941865</v>
      </c>
      <c r="H118" s="198">
        <v>3642.26</v>
      </c>
      <c r="I118" s="198">
        <v>9819532.96</v>
      </c>
      <c r="J118" s="198">
        <v>6569351.879941864</v>
      </c>
      <c r="K118" s="198">
        <v>559990.8836027252</v>
      </c>
      <c r="L118" s="198">
        <v>1039222.424714556</v>
      </c>
      <c r="M118" s="198">
        <v>114817.39191071501</v>
      </c>
      <c r="N118" s="198">
        <v>8283382.58016986</v>
      </c>
      <c r="O118" s="198">
        <v>3060460.4641860477</v>
      </c>
      <c r="P118" s="198">
        <v>11343843.044355908</v>
      </c>
      <c r="Q118" s="198">
        <v>192</v>
      </c>
      <c r="R118" s="198">
        <v>35</v>
      </c>
      <c r="S118" s="198">
        <v>212</v>
      </c>
      <c r="T118" s="198">
        <v>111</v>
      </c>
      <c r="U118" s="198">
        <v>90</v>
      </c>
      <c r="V118" s="198">
        <v>1401</v>
      </c>
      <c r="W118" s="198">
        <v>352</v>
      </c>
      <c r="X118" s="198">
        <v>232</v>
      </c>
      <c r="Y118" s="198">
        <v>71</v>
      </c>
      <c r="Z118" s="198">
        <v>2672</v>
      </c>
      <c r="AA118" s="198">
        <v>2</v>
      </c>
      <c r="AB118" s="198">
        <v>0</v>
      </c>
      <c r="AC118" s="198">
        <v>22</v>
      </c>
      <c r="AD118" s="198">
        <v>695.94</v>
      </c>
      <c r="AE118" s="198">
        <v>3.873897175043825</v>
      </c>
      <c r="AF118" s="198">
        <v>655</v>
      </c>
      <c r="AG118" s="198">
        <v>5156985.425146548</v>
      </c>
      <c r="AH118" s="198">
        <v>2936240.756044616</v>
      </c>
      <c r="AI118" s="198">
        <v>1534643.6294951723</v>
      </c>
      <c r="AJ118" s="198">
        <v>686101.0396067596</v>
      </c>
      <c r="AK118" s="198">
        <v>130</v>
      </c>
      <c r="AL118" s="198">
        <v>1124</v>
      </c>
      <c r="AM118" s="198">
        <v>0.9278020601767396</v>
      </c>
      <c r="AN118" s="198">
        <v>22</v>
      </c>
      <c r="AO118" s="198">
        <v>0.008160237388724036</v>
      </c>
      <c r="AP118" s="198">
        <v>0.006436693783070813</v>
      </c>
      <c r="AQ118" s="198">
        <v>0</v>
      </c>
      <c r="AR118" s="198">
        <v>2</v>
      </c>
      <c r="AS118" s="198">
        <v>0</v>
      </c>
      <c r="AT118" s="198">
        <v>0</v>
      </c>
      <c r="AU118" s="198">
        <v>695.94</v>
      </c>
      <c r="AV118" s="198">
        <v>3.873897175043825</v>
      </c>
      <c r="AW118" s="198">
        <v>4.6471164508068235</v>
      </c>
      <c r="AX118" s="198">
        <v>106</v>
      </c>
      <c r="AY118" s="198">
        <v>722</v>
      </c>
      <c r="AZ118" s="198">
        <v>0.14681440443213298</v>
      </c>
      <c r="BA118" s="198">
        <v>0.0831255457364808</v>
      </c>
      <c r="BB118" s="198">
        <v>0.8543666666666667</v>
      </c>
      <c r="BC118" s="198">
        <v>851</v>
      </c>
      <c r="BD118" s="198">
        <v>943</v>
      </c>
      <c r="BE118" s="198">
        <v>0.9024390243902439</v>
      </c>
      <c r="BF118" s="198">
        <v>0.4728001700938554</v>
      </c>
      <c r="BG118" s="198">
        <v>0</v>
      </c>
      <c r="BH118" s="198">
        <v>0</v>
      </c>
      <c r="BI118" s="198">
        <v>-269.6</v>
      </c>
      <c r="BJ118" s="198">
        <v>-647.04</v>
      </c>
      <c r="BK118" s="198">
        <v>-11053.599999999999</v>
      </c>
      <c r="BL118" s="198">
        <v>-997.52</v>
      </c>
      <c r="BM118" s="198">
        <v>-14369.68</v>
      </c>
      <c r="BN118" s="198">
        <v>-323.52</v>
      </c>
      <c r="BO118" s="198">
        <v>60418</v>
      </c>
      <c r="BP118" s="198">
        <v>49000.51558020711</v>
      </c>
      <c r="BQ118" s="198">
        <v>296680</v>
      </c>
      <c r="BR118" s="198">
        <v>93301</v>
      </c>
      <c r="BS118" s="198">
        <v>241156.9708270324</v>
      </c>
      <c r="BT118" s="198">
        <v>12942.928733045273</v>
      </c>
      <c r="BU118" s="198">
        <v>34878.62628951513</v>
      </c>
      <c r="BV118" s="198">
        <v>119431.05590188224</v>
      </c>
      <c r="BW118" s="198">
        <v>167718.73168177708</v>
      </c>
      <c r="BX118" s="198">
        <v>242.64</v>
      </c>
      <c r="BY118" s="198">
        <v>14487.235701096903</v>
      </c>
      <c r="BZ118" s="198">
        <v>1090257.704714556</v>
      </c>
      <c r="CA118" s="198">
        <v>1039222.424714556</v>
      </c>
      <c r="CB118" s="198">
        <v>114817.39191071501</v>
      </c>
      <c r="CC118" s="232">
        <v>3060460.4641860477</v>
      </c>
      <c r="CD118" s="198">
        <v>-91812</v>
      </c>
      <c r="CE118" s="198">
        <v>85983.96010000001</v>
      </c>
      <c r="CH118" s="198">
        <v>2721</v>
      </c>
    </row>
    <row r="119" spans="1:86" ht="11.25">
      <c r="A119" s="198">
        <v>319</v>
      </c>
      <c r="B119" s="198" t="s">
        <v>195</v>
      </c>
      <c r="C119" s="198">
        <v>2647</v>
      </c>
      <c r="D119" s="198">
        <v>9558261.8</v>
      </c>
      <c r="E119" s="198">
        <v>2834419.6857941383</v>
      </c>
      <c r="F119" s="198">
        <v>501996.84636206663</v>
      </c>
      <c r="G119" s="198">
        <v>12894678.332156206</v>
      </c>
      <c r="H119" s="198">
        <v>3642.26</v>
      </c>
      <c r="I119" s="198">
        <v>9641062.22</v>
      </c>
      <c r="J119" s="198">
        <v>3253616.112156205</v>
      </c>
      <c r="K119" s="198">
        <v>27703.812723182775</v>
      </c>
      <c r="L119" s="198">
        <v>630630.2060921002</v>
      </c>
      <c r="M119" s="198">
        <v>413177.38042121567</v>
      </c>
      <c r="N119" s="198">
        <v>4325127.511392703</v>
      </c>
      <c r="O119" s="198">
        <v>1224468.1983414635</v>
      </c>
      <c r="P119" s="198">
        <v>5549595.709734167</v>
      </c>
      <c r="Q119" s="198">
        <v>127</v>
      </c>
      <c r="R119" s="198">
        <v>22</v>
      </c>
      <c r="S119" s="198">
        <v>153</v>
      </c>
      <c r="T119" s="198">
        <v>88</v>
      </c>
      <c r="U119" s="198">
        <v>93</v>
      </c>
      <c r="V119" s="198">
        <v>1468</v>
      </c>
      <c r="W119" s="198">
        <v>380</v>
      </c>
      <c r="X119" s="198">
        <v>218</v>
      </c>
      <c r="Y119" s="198">
        <v>98</v>
      </c>
      <c r="Z119" s="198">
        <v>2608</v>
      </c>
      <c r="AA119" s="198">
        <v>4</v>
      </c>
      <c r="AB119" s="198">
        <v>0</v>
      </c>
      <c r="AC119" s="198">
        <v>35</v>
      </c>
      <c r="AD119" s="198">
        <v>246.06</v>
      </c>
      <c r="AE119" s="198">
        <v>10.75753881167195</v>
      </c>
      <c r="AF119" s="198">
        <v>696</v>
      </c>
      <c r="AG119" s="198">
        <v>2834419.6857941383</v>
      </c>
      <c r="AH119" s="198">
        <v>1663430.1316337711</v>
      </c>
      <c r="AI119" s="198">
        <v>849651.0925723909</v>
      </c>
      <c r="AJ119" s="198">
        <v>321338.46158797597</v>
      </c>
      <c r="AK119" s="198">
        <v>106</v>
      </c>
      <c r="AL119" s="198">
        <v>1265</v>
      </c>
      <c r="AM119" s="198">
        <v>0.672192451551824</v>
      </c>
      <c r="AN119" s="198">
        <v>35</v>
      </c>
      <c r="AO119" s="198">
        <v>0.013222516055912353</v>
      </c>
      <c r="AP119" s="198">
        <v>0.01149897245025913</v>
      </c>
      <c r="AQ119" s="198">
        <v>0</v>
      </c>
      <c r="AR119" s="198">
        <v>4</v>
      </c>
      <c r="AS119" s="198">
        <v>0</v>
      </c>
      <c r="AT119" s="198">
        <v>0</v>
      </c>
      <c r="AU119" s="198">
        <v>246.06</v>
      </c>
      <c r="AV119" s="198">
        <v>10.75753881167195</v>
      </c>
      <c r="AW119" s="198">
        <v>1.6734730504850746</v>
      </c>
      <c r="AX119" s="198">
        <v>126</v>
      </c>
      <c r="AY119" s="198">
        <v>790</v>
      </c>
      <c r="AZ119" s="198">
        <v>0.15949367088607594</v>
      </c>
      <c r="BA119" s="198">
        <v>0.09580481219042376</v>
      </c>
      <c r="BB119" s="198">
        <v>0</v>
      </c>
      <c r="BC119" s="198">
        <v>687</v>
      </c>
      <c r="BD119" s="198">
        <v>1154</v>
      </c>
      <c r="BE119" s="198">
        <v>0.5953206239168111</v>
      </c>
      <c r="BF119" s="198">
        <v>0.16568176962042253</v>
      </c>
      <c r="BG119" s="198">
        <v>0</v>
      </c>
      <c r="BH119" s="198">
        <v>0</v>
      </c>
      <c r="BI119" s="198">
        <v>-264.7</v>
      </c>
      <c r="BJ119" s="198">
        <v>-635.28</v>
      </c>
      <c r="BK119" s="198">
        <v>-10852.699999999999</v>
      </c>
      <c r="BL119" s="198">
        <v>-979.39</v>
      </c>
      <c r="BM119" s="198">
        <v>-14108.51</v>
      </c>
      <c r="BN119" s="198">
        <v>-317.64</v>
      </c>
      <c r="BO119" s="198">
        <v>-24351</v>
      </c>
      <c r="BP119" s="198">
        <v>-70271.1558063794</v>
      </c>
      <c r="BQ119" s="198">
        <v>241113</v>
      </c>
      <c r="BR119" s="198">
        <v>79733</v>
      </c>
      <c r="BS119" s="198">
        <v>192369.96399743934</v>
      </c>
      <c r="BT119" s="198">
        <v>10513.369356321531</v>
      </c>
      <c r="BU119" s="198">
        <v>19231.929743155146</v>
      </c>
      <c r="BV119" s="198">
        <v>81692.74936305794</v>
      </c>
      <c r="BW119" s="198">
        <v>150047.71230681948</v>
      </c>
      <c r="BX119" s="198">
        <v>238.23</v>
      </c>
      <c r="BY119" s="198">
        <v>420.1171316862019</v>
      </c>
      <c r="BZ119" s="198">
        <v>680737.9160921002</v>
      </c>
      <c r="CA119" s="198">
        <v>630630.2060921002</v>
      </c>
      <c r="CB119" s="198">
        <v>413177.38042121567</v>
      </c>
      <c r="CC119" s="232">
        <v>1224468.1983414635</v>
      </c>
      <c r="CD119" s="198">
        <v>-793859</v>
      </c>
      <c r="CE119" s="198">
        <v>-175703.64620000002</v>
      </c>
      <c r="CH119" s="198">
        <v>2688</v>
      </c>
    </row>
    <row r="120" spans="1:86" ht="11.25">
      <c r="A120" s="198">
        <v>398</v>
      </c>
      <c r="B120" s="198" t="s">
        <v>196</v>
      </c>
      <c r="C120" s="198">
        <v>103754</v>
      </c>
      <c r="D120" s="198">
        <v>344166634.45000005</v>
      </c>
      <c r="E120" s="198">
        <v>127881077.37039743</v>
      </c>
      <c r="F120" s="198">
        <v>29070952.03219768</v>
      </c>
      <c r="G120" s="198">
        <v>501118663.85259515</v>
      </c>
      <c r="H120" s="198">
        <v>3642.26</v>
      </c>
      <c r="I120" s="198">
        <v>377899044.04</v>
      </c>
      <c r="J120" s="198">
        <v>123219619.81259513</v>
      </c>
      <c r="K120" s="198">
        <v>4582542.0687200185</v>
      </c>
      <c r="L120" s="198">
        <v>26197901.631697863</v>
      </c>
      <c r="M120" s="198">
        <v>0</v>
      </c>
      <c r="N120" s="198">
        <v>154000063.513013</v>
      </c>
      <c r="O120" s="198">
        <v>20320620.742518526</v>
      </c>
      <c r="P120" s="198">
        <v>174320684.25553152</v>
      </c>
      <c r="Q120" s="198">
        <v>6128</v>
      </c>
      <c r="R120" s="198">
        <v>1019</v>
      </c>
      <c r="S120" s="198">
        <v>5830</v>
      </c>
      <c r="T120" s="198">
        <v>3010</v>
      </c>
      <c r="U120" s="198">
        <v>3342</v>
      </c>
      <c r="V120" s="198">
        <v>61746</v>
      </c>
      <c r="W120" s="198">
        <v>13062</v>
      </c>
      <c r="X120" s="198">
        <v>7068</v>
      </c>
      <c r="Y120" s="198">
        <v>2549</v>
      </c>
      <c r="Z120" s="198">
        <v>97296</v>
      </c>
      <c r="AA120" s="198">
        <v>354</v>
      </c>
      <c r="AB120" s="198">
        <v>12</v>
      </c>
      <c r="AC120" s="198">
        <v>6092</v>
      </c>
      <c r="AD120" s="198">
        <v>135.05</v>
      </c>
      <c r="AE120" s="198">
        <v>768.2636060718252</v>
      </c>
      <c r="AF120" s="198">
        <v>22679</v>
      </c>
      <c r="AG120" s="198">
        <v>127881077.37039743</v>
      </c>
      <c r="AH120" s="198">
        <v>75756411.80931172</v>
      </c>
      <c r="AI120" s="198">
        <v>36057742.48168693</v>
      </c>
      <c r="AJ120" s="198">
        <v>16066923.0793988</v>
      </c>
      <c r="AK120" s="198">
        <v>8788</v>
      </c>
      <c r="AL120" s="198">
        <v>49868</v>
      </c>
      <c r="AM120" s="198">
        <v>1.4136646197395746</v>
      </c>
      <c r="AN120" s="198">
        <v>6092</v>
      </c>
      <c r="AO120" s="198">
        <v>0.05871580854714035</v>
      </c>
      <c r="AP120" s="198">
        <v>0.056992264941487125</v>
      </c>
      <c r="AQ120" s="198">
        <v>0</v>
      </c>
      <c r="AR120" s="198">
        <v>354</v>
      </c>
      <c r="AS120" s="198">
        <v>12</v>
      </c>
      <c r="AT120" s="198">
        <v>0</v>
      </c>
      <c r="AU120" s="198">
        <v>135.05</v>
      </c>
      <c r="AV120" s="198">
        <v>768.2636060718252</v>
      </c>
      <c r="AW120" s="198">
        <v>0.02343264883121014</v>
      </c>
      <c r="AX120" s="198">
        <v>4985</v>
      </c>
      <c r="AY120" s="198">
        <v>31486</v>
      </c>
      <c r="AZ120" s="198">
        <v>0.15832433462491266</v>
      </c>
      <c r="BA120" s="198">
        <v>0.09463547592926048</v>
      </c>
      <c r="BB120" s="198">
        <v>0</v>
      </c>
      <c r="BC120" s="198">
        <v>46337</v>
      </c>
      <c r="BD120" s="198">
        <v>41049</v>
      </c>
      <c r="BE120" s="198">
        <v>1.1288216521717946</v>
      </c>
      <c r="BF120" s="198">
        <v>0.6991827978754062</v>
      </c>
      <c r="BG120" s="198">
        <v>0</v>
      </c>
      <c r="BH120" s="198">
        <v>12</v>
      </c>
      <c r="BI120" s="198">
        <v>-10375.400000000001</v>
      </c>
      <c r="BJ120" s="198">
        <v>-24900.96</v>
      </c>
      <c r="BK120" s="198">
        <v>-425391.39999999997</v>
      </c>
      <c r="BL120" s="198">
        <v>-38388.979999999996</v>
      </c>
      <c r="BM120" s="198">
        <v>-553008.8200000001</v>
      </c>
      <c r="BN120" s="198">
        <v>-12450.48</v>
      </c>
      <c r="BO120" s="198">
        <v>3882860</v>
      </c>
      <c r="BP120" s="198">
        <v>-109895.07826721668</v>
      </c>
      <c r="BQ120" s="198">
        <v>6955129</v>
      </c>
      <c r="BR120" s="198">
        <v>2396584</v>
      </c>
      <c r="BS120" s="198">
        <v>5721365.256854566</v>
      </c>
      <c r="BT120" s="198">
        <v>240852.8112835668</v>
      </c>
      <c r="BU120" s="198">
        <v>36633.551856618404</v>
      </c>
      <c r="BV120" s="198">
        <v>2639899.31223328</v>
      </c>
      <c r="BW120" s="198">
        <v>4995046.582612825</v>
      </c>
      <c r="BX120" s="198">
        <v>9337.859999999999</v>
      </c>
      <c r="BY120" s="198">
        <v>1394151.5551242277</v>
      </c>
      <c r="BZ120" s="198">
        <v>28161964.851697862</v>
      </c>
      <c r="CA120" s="198">
        <v>26197901.631697863</v>
      </c>
      <c r="CB120" s="198">
        <v>0</v>
      </c>
      <c r="CC120" s="232">
        <v>20320620.742518526</v>
      </c>
      <c r="CD120" s="198">
        <v>-5207628</v>
      </c>
      <c r="CE120" s="198">
        <v>-3867524.9037639983</v>
      </c>
      <c r="CH120" s="198">
        <v>103364</v>
      </c>
    </row>
    <row r="121" spans="1:86" ht="11.25">
      <c r="A121" s="198">
        <v>399</v>
      </c>
      <c r="B121" s="198" t="s">
        <v>197</v>
      </c>
      <c r="C121" s="198">
        <v>8068</v>
      </c>
      <c r="D121" s="198">
        <v>30691175.749999993</v>
      </c>
      <c r="E121" s="198">
        <v>9288658.148591993</v>
      </c>
      <c r="F121" s="198">
        <v>1106125.6404734796</v>
      </c>
      <c r="G121" s="198">
        <v>41085959.539065465</v>
      </c>
      <c r="H121" s="198">
        <v>3642.26</v>
      </c>
      <c r="I121" s="198">
        <v>29385753.680000003</v>
      </c>
      <c r="J121" s="198">
        <v>11700205.859065462</v>
      </c>
      <c r="K121" s="198">
        <v>54757.61677126352</v>
      </c>
      <c r="L121" s="198">
        <v>1648108.8003289802</v>
      </c>
      <c r="M121" s="198">
        <v>0</v>
      </c>
      <c r="N121" s="198">
        <v>13403072.276165705</v>
      </c>
      <c r="O121" s="198">
        <v>2403642.314313249</v>
      </c>
      <c r="P121" s="198">
        <v>15806714.590478955</v>
      </c>
      <c r="Q121" s="198">
        <v>718</v>
      </c>
      <c r="R121" s="198">
        <v>127</v>
      </c>
      <c r="S121" s="198">
        <v>614</v>
      </c>
      <c r="T121" s="198">
        <v>271</v>
      </c>
      <c r="U121" s="198">
        <v>258</v>
      </c>
      <c r="V121" s="198">
        <v>4464</v>
      </c>
      <c r="W121" s="198">
        <v>910</v>
      </c>
      <c r="X121" s="198">
        <v>467</v>
      </c>
      <c r="Y121" s="198">
        <v>239</v>
      </c>
      <c r="Z121" s="198">
        <v>7899</v>
      </c>
      <c r="AA121" s="198">
        <v>91</v>
      </c>
      <c r="AB121" s="198">
        <v>0</v>
      </c>
      <c r="AC121" s="198">
        <v>78</v>
      </c>
      <c r="AD121" s="198">
        <v>504.24</v>
      </c>
      <c r="AE121" s="198">
        <v>16.00031730921783</v>
      </c>
      <c r="AF121" s="198">
        <v>1616</v>
      </c>
      <c r="AG121" s="198">
        <v>9288658.148591993</v>
      </c>
      <c r="AH121" s="198">
        <v>5647065.23622453</v>
      </c>
      <c r="AI121" s="198">
        <v>2460456.9454494966</v>
      </c>
      <c r="AJ121" s="198">
        <v>1181135.966917966</v>
      </c>
      <c r="AK121" s="198">
        <v>328</v>
      </c>
      <c r="AL121" s="198">
        <v>3855</v>
      </c>
      <c r="AM121" s="198">
        <v>0.6825394415434081</v>
      </c>
      <c r="AN121" s="198">
        <v>78</v>
      </c>
      <c r="AO121" s="198">
        <v>0.009667823500247892</v>
      </c>
      <c r="AP121" s="198">
        <v>0.00794427989459467</v>
      </c>
      <c r="AQ121" s="198">
        <v>0</v>
      </c>
      <c r="AR121" s="198">
        <v>91</v>
      </c>
      <c r="AS121" s="198">
        <v>0</v>
      </c>
      <c r="AT121" s="198">
        <v>0</v>
      </c>
      <c r="AU121" s="198">
        <v>504.24</v>
      </c>
      <c r="AV121" s="198">
        <v>16.00031730921783</v>
      </c>
      <c r="AW121" s="198">
        <v>1.1251308922798033</v>
      </c>
      <c r="AX121" s="198">
        <v>261</v>
      </c>
      <c r="AY121" s="198">
        <v>2595</v>
      </c>
      <c r="AZ121" s="198">
        <v>0.10057803468208093</v>
      </c>
      <c r="BA121" s="198">
        <v>0.036889175986428754</v>
      </c>
      <c r="BB121" s="198">
        <v>0</v>
      </c>
      <c r="BC121" s="198">
        <v>1883</v>
      </c>
      <c r="BD121" s="198">
        <v>3506</v>
      </c>
      <c r="BE121" s="198">
        <v>0.5370792926411866</v>
      </c>
      <c r="BF121" s="198">
        <v>0.10744043834479805</v>
      </c>
      <c r="BG121" s="198">
        <v>0</v>
      </c>
      <c r="BH121" s="198">
        <v>0</v>
      </c>
      <c r="BI121" s="198">
        <v>-806.8000000000001</v>
      </c>
      <c r="BJ121" s="198">
        <v>-1936.32</v>
      </c>
      <c r="BK121" s="198">
        <v>-33078.799999999996</v>
      </c>
      <c r="BL121" s="198">
        <v>-2985.16</v>
      </c>
      <c r="BM121" s="198">
        <v>-43002.44</v>
      </c>
      <c r="BN121" s="198">
        <v>-968.16</v>
      </c>
      <c r="BO121" s="198">
        <v>-80765</v>
      </c>
      <c r="BP121" s="198">
        <v>-82669.05663659237</v>
      </c>
      <c r="BQ121" s="198">
        <v>630442</v>
      </c>
      <c r="BR121" s="198">
        <v>196494</v>
      </c>
      <c r="BS121" s="198">
        <v>488277.6115921374</v>
      </c>
      <c r="BT121" s="198">
        <v>13438.707080138607</v>
      </c>
      <c r="BU121" s="198">
        <v>56865.71957189152</v>
      </c>
      <c r="BV121" s="198">
        <v>183097.91458002324</v>
      </c>
      <c r="BW121" s="198">
        <v>407457.90535337344</v>
      </c>
      <c r="BX121" s="198">
        <v>726.12</v>
      </c>
      <c r="BY121" s="198">
        <v>-12529.881211991415</v>
      </c>
      <c r="BZ121" s="198">
        <v>1800836.0403289802</v>
      </c>
      <c r="CA121" s="198">
        <v>1648108.8003289802</v>
      </c>
      <c r="CB121" s="198">
        <v>0</v>
      </c>
      <c r="CC121" s="232">
        <v>2403642.314313249</v>
      </c>
      <c r="CD121" s="198">
        <v>-1045228</v>
      </c>
      <c r="CE121" s="198">
        <v>-117600.65448000003</v>
      </c>
      <c r="CH121" s="198">
        <v>8007</v>
      </c>
    </row>
    <row r="122" spans="1:86" ht="11.25">
      <c r="A122" s="198">
        <v>400</v>
      </c>
      <c r="B122" s="198" t="s">
        <v>198</v>
      </c>
      <c r="C122" s="198">
        <v>8542</v>
      </c>
      <c r="D122" s="198">
        <v>32047615.439999998</v>
      </c>
      <c r="E122" s="198">
        <v>10867326.457255881</v>
      </c>
      <c r="F122" s="198">
        <v>1739244.986970264</v>
      </c>
      <c r="G122" s="198">
        <v>44654186.88422614</v>
      </c>
      <c r="H122" s="198">
        <v>3642.26</v>
      </c>
      <c r="I122" s="198">
        <v>31112184.92</v>
      </c>
      <c r="J122" s="198">
        <v>13542001.964226142</v>
      </c>
      <c r="K122" s="198">
        <v>318197.14994203945</v>
      </c>
      <c r="L122" s="198">
        <v>2264111.7585939923</v>
      </c>
      <c r="M122" s="198">
        <v>0</v>
      </c>
      <c r="N122" s="198">
        <v>16124310.872762173</v>
      </c>
      <c r="O122" s="198">
        <v>4055894.897975307</v>
      </c>
      <c r="P122" s="198">
        <v>20180205.77073748</v>
      </c>
      <c r="Q122" s="198">
        <v>612</v>
      </c>
      <c r="R122" s="198">
        <v>103</v>
      </c>
      <c r="S122" s="198">
        <v>571</v>
      </c>
      <c r="T122" s="198">
        <v>317</v>
      </c>
      <c r="U122" s="198">
        <v>271</v>
      </c>
      <c r="V122" s="198">
        <v>4723</v>
      </c>
      <c r="W122" s="198">
        <v>1018</v>
      </c>
      <c r="X122" s="198">
        <v>662</v>
      </c>
      <c r="Y122" s="198">
        <v>265</v>
      </c>
      <c r="Z122" s="198">
        <v>8190</v>
      </c>
      <c r="AA122" s="198">
        <v>35</v>
      </c>
      <c r="AB122" s="198">
        <v>0</v>
      </c>
      <c r="AC122" s="198">
        <v>317</v>
      </c>
      <c r="AD122" s="198">
        <v>531.65</v>
      </c>
      <c r="AE122" s="198">
        <v>16.066961346750684</v>
      </c>
      <c r="AF122" s="198">
        <v>1945</v>
      </c>
      <c r="AG122" s="198">
        <v>10867326.457255881</v>
      </c>
      <c r="AH122" s="198">
        <v>6461243.944839285</v>
      </c>
      <c r="AI122" s="198">
        <v>2842814.3209075225</v>
      </c>
      <c r="AJ122" s="198">
        <v>1563268.1915090727</v>
      </c>
      <c r="AK122" s="198">
        <v>258</v>
      </c>
      <c r="AL122" s="198">
        <v>3919</v>
      </c>
      <c r="AM122" s="198">
        <v>0.5281079848367383</v>
      </c>
      <c r="AN122" s="198">
        <v>317</v>
      </c>
      <c r="AO122" s="198">
        <v>0.03711074689768204</v>
      </c>
      <c r="AP122" s="198">
        <v>0.03538720329202882</v>
      </c>
      <c r="AQ122" s="198">
        <v>0</v>
      </c>
      <c r="AR122" s="198">
        <v>35</v>
      </c>
      <c r="AS122" s="198">
        <v>0</v>
      </c>
      <c r="AT122" s="198">
        <v>0</v>
      </c>
      <c r="AU122" s="198">
        <v>531.65</v>
      </c>
      <c r="AV122" s="198">
        <v>16.066961346750684</v>
      </c>
      <c r="AW122" s="198">
        <v>1.1204639696554062</v>
      </c>
      <c r="AX122" s="198">
        <v>428</v>
      </c>
      <c r="AY122" s="198">
        <v>2606</v>
      </c>
      <c r="AZ122" s="198">
        <v>0.1642363775901765</v>
      </c>
      <c r="BA122" s="198">
        <v>0.10054751889452433</v>
      </c>
      <c r="BB122" s="198">
        <v>0</v>
      </c>
      <c r="BC122" s="198">
        <v>3691</v>
      </c>
      <c r="BD122" s="198">
        <v>3621</v>
      </c>
      <c r="BE122" s="198">
        <v>1.0193316763325049</v>
      </c>
      <c r="BF122" s="198">
        <v>0.5896928220361164</v>
      </c>
      <c r="BG122" s="198">
        <v>0</v>
      </c>
      <c r="BH122" s="198">
        <v>0</v>
      </c>
      <c r="BI122" s="198">
        <v>-854.2</v>
      </c>
      <c r="BJ122" s="198">
        <v>-2050.08</v>
      </c>
      <c r="BK122" s="198">
        <v>-35022.2</v>
      </c>
      <c r="BL122" s="198">
        <v>-3160.54</v>
      </c>
      <c r="BM122" s="198">
        <v>-45528.86</v>
      </c>
      <c r="BN122" s="198">
        <v>-1025.04</v>
      </c>
      <c r="BO122" s="198">
        <v>-34740</v>
      </c>
      <c r="BP122" s="198">
        <v>84422.16206699982</v>
      </c>
      <c r="BQ122" s="198">
        <v>739591</v>
      </c>
      <c r="BR122" s="198">
        <v>245424</v>
      </c>
      <c r="BS122" s="198">
        <v>599915.1630202786</v>
      </c>
      <c r="BT122" s="198">
        <v>28362.25053418359</v>
      </c>
      <c r="BU122" s="198">
        <v>66734.71021022498</v>
      </c>
      <c r="BV122" s="198">
        <v>271181.82292428904</v>
      </c>
      <c r="BW122" s="198">
        <v>492346.04520067724</v>
      </c>
      <c r="BX122" s="198">
        <v>768.78</v>
      </c>
      <c r="BY122" s="198">
        <v>-68194.11536266029</v>
      </c>
      <c r="BZ122" s="198">
        <v>2425811.8185939924</v>
      </c>
      <c r="CA122" s="198">
        <v>2264111.7585939923</v>
      </c>
      <c r="CB122" s="198">
        <v>0</v>
      </c>
      <c r="CC122" s="232">
        <v>4055894.897975307</v>
      </c>
      <c r="CD122" s="198">
        <v>-53156</v>
      </c>
      <c r="CE122" s="198">
        <v>303789.23832000006</v>
      </c>
      <c r="CH122" s="198">
        <v>8487</v>
      </c>
    </row>
    <row r="123" spans="1:86" ht="11.25">
      <c r="A123" s="198">
        <v>407</v>
      </c>
      <c r="B123" s="198" t="s">
        <v>199</v>
      </c>
      <c r="C123" s="198">
        <v>2779</v>
      </c>
      <c r="D123" s="198">
        <v>10244946.93</v>
      </c>
      <c r="E123" s="198">
        <v>3210693.1259417357</v>
      </c>
      <c r="F123" s="198">
        <v>1141244.663958681</v>
      </c>
      <c r="G123" s="198">
        <v>14596884.719900416</v>
      </c>
      <c r="H123" s="198">
        <v>3642.26</v>
      </c>
      <c r="I123" s="198">
        <v>10121840.540000001</v>
      </c>
      <c r="J123" s="198">
        <v>4475044.179900415</v>
      </c>
      <c r="K123" s="198">
        <v>66731.56677305861</v>
      </c>
      <c r="L123" s="198">
        <v>833705.6444595602</v>
      </c>
      <c r="M123" s="198">
        <v>93658.42981996949</v>
      </c>
      <c r="N123" s="198">
        <v>5469139.820953004</v>
      </c>
      <c r="O123" s="198">
        <v>1860494.6398048783</v>
      </c>
      <c r="P123" s="198">
        <v>7329634.460757882</v>
      </c>
      <c r="Q123" s="198">
        <v>132</v>
      </c>
      <c r="R123" s="198">
        <v>39</v>
      </c>
      <c r="S123" s="198">
        <v>168</v>
      </c>
      <c r="T123" s="198">
        <v>101</v>
      </c>
      <c r="U123" s="198">
        <v>79</v>
      </c>
      <c r="V123" s="198">
        <v>1521</v>
      </c>
      <c r="W123" s="198">
        <v>403</v>
      </c>
      <c r="X123" s="198">
        <v>235</v>
      </c>
      <c r="Y123" s="198">
        <v>101</v>
      </c>
      <c r="Z123" s="198">
        <v>1746</v>
      </c>
      <c r="AA123" s="198">
        <v>919</v>
      </c>
      <c r="AB123" s="198">
        <v>0</v>
      </c>
      <c r="AC123" s="198">
        <v>114</v>
      </c>
      <c r="AD123" s="198">
        <v>329.87</v>
      </c>
      <c r="AE123" s="198">
        <v>8.424530875799558</v>
      </c>
      <c r="AF123" s="198">
        <v>739</v>
      </c>
      <c r="AG123" s="198">
        <v>3210693.1259417357</v>
      </c>
      <c r="AH123" s="198">
        <v>1921818.6668618086</v>
      </c>
      <c r="AI123" s="198">
        <v>828578.8249133669</v>
      </c>
      <c r="AJ123" s="198">
        <v>460295.6341665602</v>
      </c>
      <c r="AK123" s="198">
        <v>134</v>
      </c>
      <c r="AL123" s="198">
        <v>1305</v>
      </c>
      <c r="AM123" s="198">
        <v>0.8237066613355721</v>
      </c>
      <c r="AN123" s="198">
        <v>114</v>
      </c>
      <c r="AO123" s="198">
        <v>0.041021950341849585</v>
      </c>
      <c r="AP123" s="198">
        <v>0.03929840673619636</v>
      </c>
      <c r="AQ123" s="198">
        <v>1</v>
      </c>
      <c r="AR123" s="198">
        <v>919</v>
      </c>
      <c r="AS123" s="198">
        <v>0</v>
      </c>
      <c r="AT123" s="198">
        <v>0</v>
      </c>
      <c r="AU123" s="198">
        <v>329.87</v>
      </c>
      <c r="AV123" s="198">
        <v>8.424530875799558</v>
      </c>
      <c r="AW123" s="198">
        <v>2.136908458914237</v>
      </c>
      <c r="AX123" s="198">
        <v>188</v>
      </c>
      <c r="AY123" s="198">
        <v>820</v>
      </c>
      <c r="AZ123" s="198">
        <v>0.22926829268292684</v>
      </c>
      <c r="BA123" s="198">
        <v>0.16557943398727465</v>
      </c>
      <c r="BB123" s="198">
        <v>0</v>
      </c>
      <c r="BC123" s="198">
        <v>945</v>
      </c>
      <c r="BD123" s="198">
        <v>1167</v>
      </c>
      <c r="BE123" s="198">
        <v>0.8097686375321337</v>
      </c>
      <c r="BF123" s="198">
        <v>0.38012978323574514</v>
      </c>
      <c r="BG123" s="198">
        <v>0</v>
      </c>
      <c r="BH123" s="198">
        <v>0</v>
      </c>
      <c r="BI123" s="198">
        <v>-277.90000000000003</v>
      </c>
      <c r="BJ123" s="198">
        <v>-666.9599999999999</v>
      </c>
      <c r="BK123" s="198">
        <v>-11393.9</v>
      </c>
      <c r="BL123" s="198">
        <v>-1028.23</v>
      </c>
      <c r="BM123" s="198">
        <v>-14812.07</v>
      </c>
      <c r="BN123" s="198">
        <v>-333.47999999999996</v>
      </c>
      <c r="BO123" s="198">
        <v>-44318</v>
      </c>
      <c r="BP123" s="198">
        <v>28807.877030804753</v>
      </c>
      <c r="BQ123" s="198">
        <v>266070</v>
      </c>
      <c r="BR123" s="198">
        <v>86843</v>
      </c>
      <c r="BS123" s="198">
        <v>215737.08744909434</v>
      </c>
      <c r="BT123" s="198">
        <v>10073.129408609553</v>
      </c>
      <c r="BU123" s="198">
        <v>43753.06037410913</v>
      </c>
      <c r="BV123" s="198">
        <v>86084.27444925872</v>
      </c>
      <c r="BW123" s="198">
        <v>168997.18868092215</v>
      </c>
      <c r="BX123" s="198">
        <v>250.10999999999999</v>
      </c>
      <c r="BY123" s="198">
        <v>24014.387066761647</v>
      </c>
      <c r="BZ123" s="198">
        <v>886312.1144595601</v>
      </c>
      <c r="CA123" s="198">
        <v>833705.6444595602</v>
      </c>
      <c r="CB123" s="198">
        <v>93658.42981996949</v>
      </c>
      <c r="CC123" s="232">
        <v>1860494.6398048783</v>
      </c>
      <c r="CD123" s="198">
        <v>-263469</v>
      </c>
      <c r="CE123" s="198">
        <v>-311833.50164000003</v>
      </c>
      <c r="CH123" s="198">
        <v>2820</v>
      </c>
    </row>
    <row r="124" spans="1:86" ht="11.25">
      <c r="A124" s="198">
        <v>402</v>
      </c>
      <c r="B124" s="198" t="s">
        <v>200</v>
      </c>
      <c r="C124" s="198">
        <v>10093</v>
      </c>
      <c r="D124" s="198">
        <v>37618483.760000005</v>
      </c>
      <c r="E124" s="198">
        <v>17733616.622900598</v>
      </c>
      <c r="F124" s="198">
        <v>2428824.5454249927</v>
      </c>
      <c r="G124" s="198">
        <v>57780924.92832559</v>
      </c>
      <c r="H124" s="198">
        <v>3642.26</v>
      </c>
      <c r="I124" s="198">
        <v>36761330.18</v>
      </c>
      <c r="J124" s="198">
        <v>21019594.748325594</v>
      </c>
      <c r="K124" s="198">
        <v>260533.3181425938</v>
      </c>
      <c r="L124" s="198">
        <v>2967066.527384513</v>
      </c>
      <c r="M124" s="198">
        <v>-269400.57192377746</v>
      </c>
      <c r="N124" s="198">
        <v>23977794.02192892</v>
      </c>
      <c r="O124" s="198">
        <v>7964572.834461541</v>
      </c>
      <c r="P124" s="198">
        <v>31942366.85639046</v>
      </c>
      <c r="Q124" s="198">
        <v>590</v>
      </c>
      <c r="R124" s="198">
        <v>119</v>
      </c>
      <c r="S124" s="198">
        <v>658</v>
      </c>
      <c r="T124" s="198">
        <v>370</v>
      </c>
      <c r="U124" s="198">
        <v>336</v>
      </c>
      <c r="V124" s="198">
        <v>5600</v>
      </c>
      <c r="W124" s="198">
        <v>1276</v>
      </c>
      <c r="X124" s="198">
        <v>789</v>
      </c>
      <c r="Y124" s="198">
        <v>355</v>
      </c>
      <c r="Z124" s="198">
        <v>9894</v>
      </c>
      <c r="AA124" s="198">
        <v>11</v>
      </c>
      <c r="AB124" s="198">
        <v>0</v>
      </c>
      <c r="AC124" s="198">
        <v>188</v>
      </c>
      <c r="AD124" s="198">
        <v>1096.51</v>
      </c>
      <c r="AE124" s="198">
        <v>9.204658416247915</v>
      </c>
      <c r="AF124" s="198">
        <v>2420</v>
      </c>
      <c r="AG124" s="198">
        <v>17733616.622900598</v>
      </c>
      <c r="AH124" s="198">
        <v>9812039.626015028</v>
      </c>
      <c r="AI124" s="198">
        <v>6045655.167074684</v>
      </c>
      <c r="AJ124" s="198">
        <v>1875921.829810887</v>
      </c>
      <c r="AK124" s="198">
        <v>586</v>
      </c>
      <c r="AL124" s="198">
        <v>4500</v>
      </c>
      <c r="AM124" s="198">
        <v>1.0446321643833367</v>
      </c>
      <c r="AN124" s="198">
        <v>188</v>
      </c>
      <c r="AO124" s="198">
        <v>0.018626771029426337</v>
      </c>
      <c r="AP124" s="198">
        <v>0.016903227423773114</v>
      </c>
      <c r="AQ124" s="198">
        <v>0</v>
      </c>
      <c r="AR124" s="198">
        <v>11</v>
      </c>
      <c r="AS124" s="198">
        <v>0</v>
      </c>
      <c r="AT124" s="198">
        <v>0</v>
      </c>
      <c r="AU124" s="198">
        <v>1096.51</v>
      </c>
      <c r="AV124" s="198">
        <v>9.204658416247915</v>
      </c>
      <c r="AW124" s="198">
        <v>1.9557978663393532</v>
      </c>
      <c r="AX124" s="198">
        <v>436</v>
      </c>
      <c r="AY124" s="198">
        <v>2921</v>
      </c>
      <c r="AZ124" s="198">
        <v>0.14926395070181445</v>
      </c>
      <c r="BA124" s="198">
        <v>0.08557509200616227</v>
      </c>
      <c r="BB124" s="198">
        <v>0</v>
      </c>
      <c r="BC124" s="198">
        <v>3141</v>
      </c>
      <c r="BD124" s="198">
        <v>3747</v>
      </c>
      <c r="BE124" s="198">
        <v>0.8382706164931946</v>
      </c>
      <c r="BF124" s="198">
        <v>0.408631762196806</v>
      </c>
      <c r="BG124" s="198">
        <v>0</v>
      </c>
      <c r="BH124" s="198">
        <v>0</v>
      </c>
      <c r="BI124" s="198">
        <v>-1009.3000000000001</v>
      </c>
      <c r="BJ124" s="198">
        <v>-2422.3199999999997</v>
      </c>
      <c r="BK124" s="198">
        <v>-41381.299999999996</v>
      </c>
      <c r="BL124" s="198">
        <v>-3734.41</v>
      </c>
      <c r="BM124" s="198">
        <v>-53795.69</v>
      </c>
      <c r="BN124" s="198">
        <v>-1211.1599999999999</v>
      </c>
      <c r="BO124" s="198">
        <v>244217</v>
      </c>
      <c r="BP124" s="198">
        <v>-103708.25441498868</v>
      </c>
      <c r="BQ124" s="198">
        <v>958412</v>
      </c>
      <c r="BR124" s="198">
        <v>288726</v>
      </c>
      <c r="BS124" s="198">
        <v>687361.0736377841</v>
      </c>
      <c r="BT124" s="198">
        <v>29107.534124884838</v>
      </c>
      <c r="BU124" s="198">
        <v>88418.25418264151</v>
      </c>
      <c r="BV124" s="198">
        <v>332831.1518768048</v>
      </c>
      <c r="BW124" s="198">
        <v>528989.7627208434</v>
      </c>
      <c r="BX124" s="198">
        <v>908.37</v>
      </c>
      <c r="BY124" s="198">
        <v>102864.12525654309</v>
      </c>
      <c r="BZ124" s="198">
        <v>3158127.017384513</v>
      </c>
      <c r="CA124" s="198">
        <v>2967066.527384513</v>
      </c>
      <c r="CB124" s="198">
        <v>-269400.57192377746</v>
      </c>
      <c r="CC124" s="232">
        <v>7964572.834461541</v>
      </c>
      <c r="CD124" s="198">
        <v>-790109</v>
      </c>
      <c r="CE124" s="198">
        <v>1905.2202600000019</v>
      </c>
      <c r="CH124" s="198">
        <v>10176</v>
      </c>
    </row>
    <row r="125" spans="1:86" ht="11.25">
      <c r="A125" s="198">
        <v>403</v>
      </c>
      <c r="B125" s="198" t="s">
        <v>201</v>
      </c>
      <c r="C125" s="198">
        <v>3259</v>
      </c>
      <c r="D125" s="198">
        <v>12235707.100000001</v>
      </c>
      <c r="E125" s="198">
        <v>6066297.292478236</v>
      </c>
      <c r="F125" s="198">
        <v>735225.5705789769</v>
      </c>
      <c r="G125" s="198">
        <v>19037229.963057216</v>
      </c>
      <c r="H125" s="198">
        <v>3642.26</v>
      </c>
      <c r="I125" s="198">
        <v>11870125.34</v>
      </c>
      <c r="J125" s="198">
        <v>7167104.623057216</v>
      </c>
      <c r="K125" s="198">
        <v>100223.57780705889</v>
      </c>
      <c r="L125" s="198">
        <v>1031989.7138190739</v>
      </c>
      <c r="M125" s="198">
        <v>-106232.96469970231</v>
      </c>
      <c r="N125" s="198">
        <v>8193084.949983646</v>
      </c>
      <c r="O125" s="198">
        <v>2573772.44904762</v>
      </c>
      <c r="P125" s="198">
        <v>10766857.399031267</v>
      </c>
      <c r="Q125" s="198">
        <v>164</v>
      </c>
      <c r="R125" s="198">
        <v>28</v>
      </c>
      <c r="S125" s="198">
        <v>165</v>
      </c>
      <c r="T125" s="198">
        <v>91</v>
      </c>
      <c r="U125" s="198">
        <v>120</v>
      </c>
      <c r="V125" s="198">
        <v>1699</v>
      </c>
      <c r="W125" s="198">
        <v>497</v>
      </c>
      <c r="X125" s="198">
        <v>360</v>
      </c>
      <c r="Y125" s="198">
        <v>135</v>
      </c>
      <c r="Z125" s="198">
        <v>3130</v>
      </c>
      <c r="AA125" s="198">
        <v>18</v>
      </c>
      <c r="AB125" s="198">
        <v>0</v>
      </c>
      <c r="AC125" s="198">
        <v>111</v>
      </c>
      <c r="AD125" s="198">
        <v>420.89</v>
      </c>
      <c r="AE125" s="198">
        <v>7.743115778469434</v>
      </c>
      <c r="AF125" s="198">
        <v>992</v>
      </c>
      <c r="AG125" s="198">
        <v>6066297.292478236</v>
      </c>
      <c r="AH125" s="198">
        <v>3398878.190755954</v>
      </c>
      <c r="AI125" s="198">
        <v>2189753.820983399</v>
      </c>
      <c r="AJ125" s="198">
        <v>477665.28073888324</v>
      </c>
      <c r="AK125" s="198">
        <v>108</v>
      </c>
      <c r="AL125" s="198">
        <v>1393</v>
      </c>
      <c r="AM125" s="198">
        <v>0.6219434959908045</v>
      </c>
      <c r="AN125" s="198">
        <v>111</v>
      </c>
      <c r="AO125" s="198">
        <v>0.03405952746241178</v>
      </c>
      <c r="AP125" s="198">
        <v>0.03233598385675856</v>
      </c>
      <c r="AQ125" s="198">
        <v>0</v>
      </c>
      <c r="AR125" s="198">
        <v>18</v>
      </c>
      <c r="AS125" s="198">
        <v>0</v>
      </c>
      <c r="AT125" s="198">
        <v>0</v>
      </c>
      <c r="AU125" s="198">
        <v>420.89</v>
      </c>
      <c r="AV125" s="198">
        <v>7.743115778469434</v>
      </c>
      <c r="AW125" s="198">
        <v>2.32496217361724</v>
      </c>
      <c r="AX125" s="198">
        <v>74</v>
      </c>
      <c r="AY125" s="198">
        <v>753</v>
      </c>
      <c r="AZ125" s="198">
        <v>0.09827357237715803</v>
      </c>
      <c r="BA125" s="198">
        <v>0.034584713681505855</v>
      </c>
      <c r="BB125" s="198">
        <v>0</v>
      </c>
      <c r="BC125" s="198">
        <v>1141</v>
      </c>
      <c r="BD125" s="198">
        <v>1245</v>
      </c>
      <c r="BE125" s="198">
        <v>0.9164658634538153</v>
      </c>
      <c r="BF125" s="198">
        <v>0.48682700915742677</v>
      </c>
      <c r="BG125" s="198">
        <v>0</v>
      </c>
      <c r="BH125" s="198">
        <v>0</v>
      </c>
      <c r="BI125" s="198">
        <v>-325.90000000000003</v>
      </c>
      <c r="BJ125" s="198">
        <v>-782.16</v>
      </c>
      <c r="BK125" s="198">
        <v>-13361.9</v>
      </c>
      <c r="BL125" s="198">
        <v>-1205.83</v>
      </c>
      <c r="BM125" s="198">
        <v>-17370.47</v>
      </c>
      <c r="BN125" s="198">
        <v>-391.08</v>
      </c>
      <c r="BO125" s="198">
        <v>-43921</v>
      </c>
      <c r="BP125" s="198">
        <v>48930.923893926665</v>
      </c>
      <c r="BQ125" s="198">
        <v>344633</v>
      </c>
      <c r="BR125" s="198">
        <v>101443</v>
      </c>
      <c r="BS125" s="198">
        <v>292774.96621069574</v>
      </c>
      <c r="BT125" s="198">
        <v>17263.521425798896</v>
      </c>
      <c r="BU125" s="198">
        <v>43252.75609648673</v>
      </c>
      <c r="BV125" s="198">
        <v>132095.14889464315</v>
      </c>
      <c r="BW125" s="198">
        <v>192886.84860274656</v>
      </c>
      <c r="BX125" s="198">
        <v>293.31</v>
      </c>
      <c r="BY125" s="198">
        <v>-35969.89130522375</v>
      </c>
      <c r="BZ125" s="198">
        <v>1093682.5838190739</v>
      </c>
      <c r="CA125" s="198">
        <v>1031989.7138190739</v>
      </c>
      <c r="CB125" s="198">
        <v>-106232.96469970231</v>
      </c>
      <c r="CC125" s="232">
        <v>2573772.44904762</v>
      </c>
      <c r="CD125" s="198">
        <v>-217932</v>
      </c>
      <c r="CE125" s="198">
        <v>-31131.05</v>
      </c>
      <c r="CH125" s="198">
        <v>3317</v>
      </c>
    </row>
    <row r="126" spans="1:86" ht="11.25">
      <c r="A126" s="198">
        <v>405</v>
      </c>
      <c r="B126" s="198" t="s">
        <v>202</v>
      </c>
      <c r="C126" s="198">
        <v>72794</v>
      </c>
      <c r="D126" s="198">
        <v>246189325.45999998</v>
      </c>
      <c r="E126" s="198">
        <v>86659905.91735572</v>
      </c>
      <c r="F126" s="198">
        <v>19235552.998166956</v>
      </c>
      <c r="G126" s="198">
        <v>352084784.3755227</v>
      </c>
      <c r="H126" s="198">
        <v>3642.26</v>
      </c>
      <c r="I126" s="198">
        <v>265134674.44000003</v>
      </c>
      <c r="J126" s="198">
        <v>86950109.93552265</v>
      </c>
      <c r="K126" s="198">
        <v>2982424.7844338794</v>
      </c>
      <c r="L126" s="198">
        <v>17079441.075792715</v>
      </c>
      <c r="M126" s="198">
        <v>0</v>
      </c>
      <c r="N126" s="198">
        <v>107011975.79574925</v>
      </c>
      <c r="O126" s="198">
        <v>8222864.469619036</v>
      </c>
      <c r="P126" s="198">
        <v>115234840.26536828</v>
      </c>
      <c r="Q126" s="198">
        <v>4281</v>
      </c>
      <c r="R126" s="198">
        <v>742</v>
      </c>
      <c r="S126" s="198">
        <v>4234</v>
      </c>
      <c r="T126" s="198">
        <v>2194</v>
      </c>
      <c r="U126" s="198">
        <v>2352</v>
      </c>
      <c r="V126" s="198">
        <v>43543</v>
      </c>
      <c r="W126" s="198">
        <v>8490</v>
      </c>
      <c r="X126" s="198">
        <v>4992</v>
      </c>
      <c r="Y126" s="198">
        <v>1966</v>
      </c>
      <c r="Z126" s="198">
        <v>68059</v>
      </c>
      <c r="AA126" s="198">
        <v>130</v>
      </c>
      <c r="AB126" s="198">
        <v>1</v>
      </c>
      <c r="AC126" s="198">
        <v>4604</v>
      </c>
      <c r="AD126" s="198">
        <v>1433.35</v>
      </c>
      <c r="AE126" s="198">
        <v>50.78592109394077</v>
      </c>
      <c r="AF126" s="198">
        <v>15448</v>
      </c>
      <c r="AG126" s="198">
        <v>86659905.91735572</v>
      </c>
      <c r="AH126" s="198">
        <v>49851792.87635065</v>
      </c>
      <c r="AI126" s="198">
        <v>26151834.868884876</v>
      </c>
      <c r="AJ126" s="198">
        <v>10656278.172120178</v>
      </c>
      <c r="AK126" s="198">
        <v>4983</v>
      </c>
      <c r="AL126" s="198">
        <v>34801</v>
      </c>
      <c r="AM126" s="198">
        <v>1.148622859296134</v>
      </c>
      <c r="AN126" s="198">
        <v>4604</v>
      </c>
      <c r="AO126" s="198">
        <v>0.0632469709041954</v>
      </c>
      <c r="AP126" s="198">
        <v>0.061523427298542176</v>
      </c>
      <c r="AQ126" s="198">
        <v>0</v>
      </c>
      <c r="AR126" s="198">
        <v>130</v>
      </c>
      <c r="AS126" s="198">
        <v>1</v>
      </c>
      <c r="AT126" s="198">
        <v>0</v>
      </c>
      <c r="AU126" s="198">
        <v>1433.35</v>
      </c>
      <c r="AV126" s="198">
        <v>50.78592109394077</v>
      </c>
      <c r="AW126" s="198">
        <v>0.35447720358522944</v>
      </c>
      <c r="AX126" s="198">
        <v>2807</v>
      </c>
      <c r="AY126" s="198">
        <v>22367</v>
      </c>
      <c r="AZ126" s="198">
        <v>0.1254973845397237</v>
      </c>
      <c r="BA126" s="198">
        <v>0.061808525844071524</v>
      </c>
      <c r="BB126" s="198">
        <v>0</v>
      </c>
      <c r="BC126" s="198">
        <v>32215</v>
      </c>
      <c r="BD126" s="198">
        <v>29878</v>
      </c>
      <c r="BE126" s="198">
        <v>1.0782180868866724</v>
      </c>
      <c r="BF126" s="198">
        <v>0.6485792325902839</v>
      </c>
      <c r="BG126" s="198">
        <v>0</v>
      </c>
      <c r="BH126" s="198">
        <v>1</v>
      </c>
      <c r="BI126" s="198">
        <v>-7279.400000000001</v>
      </c>
      <c r="BJ126" s="198">
        <v>-17470.559999999998</v>
      </c>
      <c r="BK126" s="198">
        <v>-298455.39999999997</v>
      </c>
      <c r="BL126" s="198">
        <v>-26933.78</v>
      </c>
      <c r="BM126" s="198">
        <v>-387992.02</v>
      </c>
      <c r="BN126" s="198">
        <v>-8735.279999999999</v>
      </c>
      <c r="BO126" s="198">
        <v>339710</v>
      </c>
      <c r="BP126" s="198">
        <v>997030.4585953057</v>
      </c>
      <c r="BQ126" s="198">
        <v>5098431</v>
      </c>
      <c r="BR126" s="198">
        <v>1727824</v>
      </c>
      <c r="BS126" s="198">
        <v>4014176.8117610975</v>
      </c>
      <c r="BT126" s="198">
        <v>165037.3374035371</v>
      </c>
      <c r="BU126" s="198">
        <v>403872.2532490542</v>
      </c>
      <c r="BV126" s="198">
        <v>1978357.3557773354</v>
      </c>
      <c r="BW126" s="198">
        <v>3573977.4172223797</v>
      </c>
      <c r="BX126" s="198">
        <v>6551.46</v>
      </c>
      <c r="BY126" s="198">
        <v>152463.40178400092</v>
      </c>
      <c r="BZ126" s="198">
        <v>18457431.495792717</v>
      </c>
      <c r="CA126" s="198">
        <v>17079441.075792715</v>
      </c>
      <c r="CB126" s="198">
        <v>0</v>
      </c>
      <c r="CC126" s="232">
        <v>8222864.469619036</v>
      </c>
      <c r="CD126" s="198">
        <v>-8486457</v>
      </c>
      <c r="CE126" s="198">
        <v>-2233984.071872</v>
      </c>
      <c r="CH126" s="198">
        <v>72658</v>
      </c>
    </row>
    <row r="127" spans="1:86" ht="11.25">
      <c r="A127" s="198">
        <v>408</v>
      </c>
      <c r="B127" s="198" t="s">
        <v>203</v>
      </c>
      <c r="C127" s="198">
        <v>14733</v>
      </c>
      <c r="D127" s="198">
        <v>56805693.56000001</v>
      </c>
      <c r="E127" s="198">
        <v>19751898.088888045</v>
      </c>
      <c r="F127" s="198">
        <v>2375574.202226112</v>
      </c>
      <c r="G127" s="198">
        <v>78933165.85111417</v>
      </c>
      <c r="H127" s="198">
        <v>3642.26</v>
      </c>
      <c r="I127" s="198">
        <v>53661416.580000006</v>
      </c>
      <c r="J127" s="198">
        <v>25271749.271114163</v>
      </c>
      <c r="K127" s="198">
        <v>359002.4599481214</v>
      </c>
      <c r="L127" s="198">
        <v>3633927.583409734</v>
      </c>
      <c r="M127" s="198">
        <v>0</v>
      </c>
      <c r="N127" s="198">
        <v>29264679.31447202</v>
      </c>
      <c r="O127" s="198">
        <v>8425073.737142859</v>
      </c>
      <c r="P127" s="198">
        <v>37689753.05161488</v>
      </c>
      <c r="Q127" s="198">
        <v>1135</v>
      </c>
      <c r="R127" s="198">
        <v>192</v>
      </c>
      <c r="S127" s="198">
        <v>1117</v>
      </c>
      <c r="T127" s="198">
        <v>554</v>
      </c>
      <c r="U127" s="198">
        <v>507</v>
      </c>
      <c r="V127" s="198">
        <v>8075</v>
      </c>
      <c r="W127" s="198">
        <v>1653</v>
      </c>
      <c r="X127" s="198">
        <v>1018</v>
      </c>
      <c r="Y127" s="198">
        <v>482</v>
      </c>
      <c r="Z127" s="198">
        <v>14367</v>
      </c>
      <c r="AA127" s="198">
        <v>15</v>
      </c>
      <c r="AB127" s="198">
        <v>0</v>
      </c>
      <c r="AC127" s="198">
        <v>351</v>
      </c>
      <c r="AD127" s="198">
        <v>737.15</v>
      </c>
      <c r="AE127" s="198">
        <v>19.986434239978294</v>
      </c>
      <c r="AF127" s="198">
        <v>3153</v>
      </c>
      <c r="AG127" s="198">
        <v>19751898.088888045</v>
      </c>
      <c r="AH127" s="198">
        <v>11843521.585129708</v>
      </c>
      <c r="AI127" s="198">
        <v>5563474.216494729</v>
      </c>
      <c r="AJ127" s="198">
        <v>2344902.287263609</v>
      </c>
      <c r="AK127" s="198">
        <v>557</v>
      </c>
      <c r="AL127" s="198">
        <v>6593</v>
      </c>
      <c r="AM127" s="198">
        <v>0.677720169656315</v>
      </c>
      <c r="AN127" s="198">
        <v>351</v>
      </c>
      <c r="AO127" s="198">
        <v>0.023824068417837508</v>
      </c>
      <c r="AP127" s="198">
        <v>0.022100524812184285</v>
      </c>
      <c r="AQ127" s="198">
        <v>0</v>
      </c>
      <c r="AR127" s="198">
        <v>15</v>
      </c>
      <c r="AS127" s="198">
        <v>0</v>
      </c>
      <c r="AT127" s="198">
        <v>0</v>
      </c>
      <c r="AU127" s="198">
        <v>737.15</v>
      </c>
      <c r="AV127" s="198">
        <v>19.986434239978294</v>
      </c>
      <c r="AW127" s="198">
        <v>0.9007335212836741</v>
      </c>
      <c r="AX127" s="198">
        <v>514</v>
      </c>
      <c r="AY127" s="198">
        <v>4506</v>
      </c>
      <c r="AZ127" s="198">
        <v>0.11407012871726586</v>
      </c>
      <c r="BA127" s="198">
        <v>0.05038127002161369</v>
      </c>
      <c r="BB127" s="198">
        <v>0</v>
      </c>
      <c r="BC127" s="198">
        <v>4867</v>
      </c>
      <c r="BD127" s="198">
        <v>5969</v>
      </c>
      <c r="BE127" s="198">
        <v>0.8153794605461552</v>
      </c>
      <c r="BF127" s="198">
        <v>0.38574060624976664</v>
      </c>
      <c r="BG127" s="198">
        <v>0</v>
      </c>
      <c r="BH127" s="198">
        <v>0</v>
      </c>
      <c r="BI127" s="198">
        <v>-1473.3000000000002</v>
      </c>
      <c r="BJ127" s="198">
        <v>-3535.92</v>
      </c>
      <c r="BK127" s="198">
        <v>-60405.299999999996</v>
      </c>
      <c r="BL127" s="198">
        <v>-5451.21</v>
      </c>
      <c r="BM127" s="198">
        <v>-78526.89</v>
      </c>
      <c r="BN127" s="198">
        <v>-1767.96</v>
      </c>
      <c r="BO127" s="198">
        <v>-265852</v>
      </c>
      <c r="BP127" s="198">
        <v>357807.1910356991</v>
      </c>
      <c r="BQ127" s="198">
        <v>1158445</v>
      </c>
      <c r="BR127" s="198">
        <v>386915</v>
      </c>
      <c r="BS127" s="198">
        <v>964292.5946574889</v>
      </c>
      <c r="BT127" s="198">
        <v>40385.642318928454</v>
      </c>
      <c r="BU127" s="198">
        <v>123093.3811491682</v>
      </c>
      <c r="BV127" s="198">
        <v>419128.21563631925</v>
      </c>
      <c r="BW127" s="198">
        <v>757182.7758038602</v>
      </c>
      <c r="BX127" s="198">
        <v>1325.97</v>
      </c>
      <c r="BY127" s="198">
        <v>-29900.497191731003</v>
      </c>
      <c r="BZ127" s="198">
        <v>3912823.273409734</v>
      </c>
      <c r="CA127" s="198">
        <v>3633927.583409734</v>
      </c>
      <c r="CB127" s="198">
        <v>0</v>
      </c>
      <c r="CC127" s="232">
        <v>8425073.737142859</v>
      </c>
      <c r="CD127" s="198">
        <v>-1427304</v>
      </c>
      <c r="CE127" s="198">
        <v>-71850.46340000001</v>
      </c>
      <c r="CH127" s="198">
        <v>14692</v>
      </c>
    </row>
    <row r="128" spans="1:86" ht="11.25">
      <c r="A128" s="198">
        <v>410</v>
      </c>
      <c r="B128" s="198" t="s">
        <v>204</v>
      </c>
      <c r="C128" s="198">
        <v>18709</v>
      </c>
      <c r="D128" s="198">
        <v>71015828.15</v>
      </c>
      <c r="E128" s="198">
        <v>18976054.632517587</v>
      </c>
      <c r="F128" s="198">
        <v>3000914.5496948175</v>
      </c>
      <c r="G128" s="198">
        <v>92992797.33221242</v>
      </c>
      <c r="H128" s="198">
        <v>3642.26</v>
      </c>
      <c r="I128" s="198">
        <v>68143042.34</v>
      </c>
      <c r="J128" s="198">
        <v>24849754.992212415</v>
      </c>
      <c r="K128" s="198">
        <v>364887.7177298061</v>
      </c>
      <c r="L128" s="198">
        <v>3762483.947560518</v>
      </c>
      <c r="M128" s="198">
        <v>0</v>
      </c>
      <c r="N128" s="198">
        <v>28977126.65750274</v>
      </c>
      <c r="O128" s="198">
        <v>9942722.599804878</v>
      </c>
      <c r="P128" s="198">
        <v>38919849.25730762</v>
      </c>
      <c r="Q128" s="198">
        <v>1731</v>
      </c>
      <c r="R128" s="198">
        <v>289</v>
      </c>
      <c r="S128" s="198">
        <v>1702</v>
      </c>
      <c r="T128" s="198">
        <v>745</v>
      </c>
      <c r="U128" s="198">
        <v>697</v>
      </c>
      <c r="V128" s="198">
        <v>10302</v>
      </c>
      <c r="W128" s="198">
        <v>1880</v>
      </c>
      <c r="X128" s="198">
        <v>990</v>
      </c>
      <c r="Y128" s="198">
        <v>373</v>
      </c>
      <c r="Z128" s="198">
        <v>18454</v>
      </c>
      <c r="AA128" s="198">
        <v>23</v>
      </c>
      <c r="AB128" s="198">
        <v>2</v>
      </c>
      <c r="AC128" s="198">
        <v>230</v>
      </c>
      <c r="AD128" s="198">
        <v>648.54</v>
      </c>
      <c r="AE128" s="198">
        <v>28.84787368550899</v>
      </c>
      <c r="AF128" s="198">
        <v>3243</v>
      </c>
      <c r="AG128" s="198">
        <v>18976054.632517587</v>
      </c>
      <c r="AH128" s="198">
        <v>11343222.503056692</v>
      </c>
      <c r="AI128" s="198">
        <v>5096863.729901733</v>
      </c>
      <c r="AJ128" s="198">
        <v>2535968.399559162</v>
      </c>
      <c r="AK128" s="198">
        <v>1173</v>
      </c>
      <c r="AL128" s="198">
        <v>8678</v>
      </c>
      <c r="AM128" s="198">
        <v>1.084317976354125</v>
      </c>
      <c r="AN128" s="198">
        <v>230</v>
      </c>
      <c r="AO128" s="198">
        <v>0.01229354855951681</v>
      </c>
      <c r="AP128" s="198">
        <v>0.010570004953863586</v>
      </c>
      <c r="AQ128" s="198">
        <v>0</v>
      </c>
      <c r="AR128" s="198">
        <v>23</v>
      </c>
      <c r="AS128" s="198">
        <v>2</v>
      </c>
      <c r="AT128" s="198">
        <v>0</v>
      </c>
      <c r="AU128" s="198">
        <v>648.54</v>
      </c>
      <c r="AV128" s="198">
        <v>28.84787368550899</v>
      </c>
      <c r="AW128" s="198">
        <v>0.6240477716707185</v>
      </c>
      <c r="AX128" s="198">
        <v>647</v>
      </c>
      <c r="AY128" s="198">
        <v>6201</v>
      </c>
      <c r="AZ128" s="198">
        <v>0.10433800999838735</v>
      </c>
      <c r="BA128" s="198">
        <v>0.04064915130273518</v>
      </c>
      <c r="BB128" s="198">
        <v>0</v>
      </c>
      <c r="BC128" s="198">
        <v>5450</v>
      </c>
      <c r="BD128" s="198">
        <v>7381</v>
      </c>
      <c r="BE128" s="198">
        <v>0.7383823330172063</v>
      </c>
      <c r="BF128" s="198">
        <v>0.3087434787208178</v>
      </c>
      <c r="BG128" s="198">
        <v>0</v>
      </c>
      <c r="BH128" s="198">
        <v>2</v>
      </c>
      <c r="BI128" s="198">
        <v>-1870.9</v>
      </c>
      <c r="BJ128" s="198">
        <v>-4490.16</v>
      </c>
      <c r="BK128" s="198">
        <v>-76706.9</v>
      </c>
      <c r="BL128" s="198">
        <v>-6922.33</v>
      </c>
      <c r="BM128" s="198">
        <v>-99718.97</v>
      </c>
      <c r="BN128" s="198">
        <v>-2245.08</v>
      </c>
      <c r="BO128" s="198">
        <v>194838</v>
      </c>
      <c r="BP128" s="198">
        <v>-78414.6230551675</v>
      </c>
      <c r="BQ128" s="198">
        <v>1303995</v>
      </c>
      <c r="BR128" s="198">
        <v>416357</v>
      </c>
      <c r="BS128" s="198">
        <v>855099.5997353231</v>
      </c>
      <c r="BT128" s="198">
        <v>20238.89504379743</v>
      </c>
      <c r="BU128" s="198">
        <v>20659.495845095145</v>
      </c>
      <c r="BV128" s="198">
        <v>443704.675469128</v>
      </c>
      <c r="BW128" s="198">
        <v>847037.4783938009</v>
      </c>
      <c r="BX128" s="198">
        <v>1683.81</v>
      </c>
      <c r="BY128" s="198">
        <v>91445.98612854056</v>
      </c>
      <c r="BZ128" s="198">
        <v>4116645.317560518</v>
      </c>
      <c r="CA128" s="198">
        <v>3762483.947560518</v>
      </c>
      <c r="CB128" s="198">
        <v>0</v>
      </c>
      <c r="CC128" s="232">
        <v>9942722.599804878</v>
      </c>
      <c r="CD128" s="198">
        <v>-3203710</v>
      </c>
      <c r="CE128" s="198">
        <v>-52221.71375399991</v>
      </c>
      <c r="CH128" s="198">
        <v>18588</v>
      </c>
    </row>
    <row r="129" spans="1:86" ht="11.25">
      <c r="A129" s="198">
        <v>416</v>
      </c>
      <c r="B129" s="198" t="s">
        <v>205</v>
      </c>
      <c r="C129" s="198">
        <v>3116</v>
      </c>
      <c r="D129" s="198">
        <v>11578786.53</v>
      </c>
      <c r="E129" s="198">
        <v>3259504.8407617975</v>
      </c>
      <c r="F129" s="198">
        <v>590350.688359643</v>
      </c>
      <c r="G129" s="198">
        <v>15428642.05912144</v>
      </c>
      <c r="H129" s="198">
        <v>3642.26</v>
      </c>
      <c r="I129" s="198">
        <v>11349282.16</v>
      </c>
      <c r="J129" s="198">
        <v>4079359.899121439</v>
      </c>
      <c r="K129" s="198">
        <v>3992.439484367114</v>
      </c>
      <c r="L129" s="198">
        <v>777311.2199518053</v>
      </c>
      <c r="M129" s="198">
        <v>156024.48305619785</v>
      </c>
      <c r="N129" s="198">
        <v>5016688.04161381</v>
      </c>
      <c r="O129" s="198">
        <v>1915225.565142856</v>
      </c>
      <c r="P129" s="198">
        <v>6931913.606756666</v>
      </c>
      <c r="Q129" s="198">
        <v>243</v>
      </c>
      <c r="R129" s="198">
        <v>35</v>
      </c>
      <c r="S129" s="198">
        <v>225</v>
      </c>
      <c r="T129" s="198">
        <v>108</v>
      </c>
      <c r="U129" s="198">
        <v>91</v>
      </c>
      <c r="V129" s="198">
        <v>1715</v>
      </c>
      <c r="W129" s="198">
        <v>381</v>
      </c>
      <c r="X129" s="198">
        <v>232</v>
      </c>
      <c r="Y129" s="198">
        <v>86</v>
      </c>
      <c r="Z129" s="198">
        <v>3054</v>
      </c>
      <c r="AA129" s="198">
        <v>3</v>
      </c>
      <c r="AB129" s="198">
        <v>0</v>
      </c>
      <c r="AC129" s="198">
        <v>59</v>
      </c>
      <c r="AD129" s="198">
        <v>217.77</v>
      </c>
      <c r="AE129" s="198">
        <v>14.308674289387886</v>
      </c>
      <c r="AF129" s="198">
        <v>699</v>
      </c>
      <c r="AG129" s="198">
        <v>3259504.8407617975</v>
      </c>
      <c r="AH129" s="198">
        <v>1935040.1358015756</v>
      </c>
      <c r="AI129" s="198">
        <v>1003126.2433722456</v>
      </c>
      <c r="AJ129" s="198">
        <v>321338.461587976</v>
      </c>
      <c r="AK129" s="198">
        <v>161</v>
      </c>
      <c r="AL129" s="198">
        <v>1414</v>
      </c>
      <c r="AM129" s="198">
        <v>0.9133868568046105</v>
      </c>
      <c r="AN129" s="198">
        <v>59</v>
      </c>
      <c r="AO129" s="198">
        <v>0.018934531450577663</v>
      </c>
      <c r="AP129" s="198">
        <v>0.01721098784492444</v>
      </c>
      <c r="AQ129" s="198">
        <v>0</v>
      </c>
      <c r="AR129" s="198">
        <v>3</v>
      </c>
      <c r="AS129" s="198">
        <v>0</v>
      </c>
      <c r="AT129" s="198">
        <v>0</v>
      </c>
      <c r="AU129" s="198">
        <v>217.77</v>
      </c>
      <c r="AV129" s="198">
        <v>14.308674289387886</v>
      </c>
      <c r="AW129" s="198">
        <v>1.2581494921742586</v>
      </c>
      <c r="AX129" s="198">
        <v>121</v>
      </c>
      <c r="AY129" s="198">
        <v>1010</v>
      </c>
      <c r="AZ129" s="198">
        <v>0.1198019801980198</v>
      </c>
      <c r="BA129" s="198">
        <v>0.05611312150236762</v>
      </c>
      <c r="BB129" s="198">
        <v>0</v>
      </c>
      <c r="BC129" s="198">
        <v>575</v>
      </c>
      <c r="BD129" s="198">
        <v>1278</v>
      </c>
      <c r="BE129" s="198">
        <v>0.44992175273865415</v>
      </c>
      <c r="BF129" s="198">
        <v>0.020282898442265607</v>
      </c>
      <c r="BG129" s="198">
        <v>0</v>
      </c>
      <c r="BH129" s="198">
        <v>0</v>
      </c>
      <c r="BI129" s="198">
        <v>-311.6</v>
      </c>
      <c r="BJ129" s="198">
        <v>-747.8399999999999</v>
      </c>
      <c r="BK129" s="198">
        <v>-12775.599999999999</v>
      </c>
      <c r="BL129" s="198">
        <v>-1152.92</v>
      </c>
      <c r="BM129" s="198">
        <v>-16608.28</v>
      </c>
      <c r="BN129" s="198">
        <v>-373.91999999999996</v>
      </c>
      <c r="BO129" s="198">
        <v>34956</v>
      </c>
      <c r="BP129" s="198">
        <v>-11455.423512226902</v>
      </c>
      <c r="BQ129" s="198">
        <v>279320</v>
      </c>
      <c r="BR129" s="198">
        <v>82236</v>
      </c>
      <c r="BS129" s="198">
        <v>190087.50948810115</v>
      </c>
      <c r="BT129" s="198">
        <v>5433.9903436895065</v>
      </c>
      <c r="BU129" s="198">
        <v>12855.739432420762</v>
      </c>
      <c r="BV129" s="198">
        <v>85809.04218262987</v>
      </c>
      <c r="BW129" s="198">
        <v>149983.25030858768</v>
      </c>
      <c r="BX129" s="198">
        <v>280.44</v>
      </c>
      <c r="BY129" s="198">
        <v>6790.5517086032305</v>
      </c>
      <c r="BZ129" s="198">
        <v>836297.0999518053</v>
      </c>
      <c r="CA129" s="198">
        <v>777311.2199518053</v>
      </c>
      <c r="CB129" s="198">
        <v>156024.48305619785</v>
      </c>
      <c r="CC129" s="232">
        <v>1915225.565142856</v>
      </c>
      <c r="CD129" s="198">
        <v>-819899</v>
      </c>
      <c r="CE129" s="198">
        <v>-117774.98836000002</v>
      </c>
      <c r="CH129" s="198">
        <v>3130</v>
      </c>
    </row>
    <row r="130" spans="1:86" ht="11.25">
      <c r="A130" s="198">
        <v>418</v>
      </c>
      <c r="B130" s="198" t="s">
        <v>206</v>
      </c>
      <c r="C130" s="198">
        <v>22233</v>
      </c>
      <c r="D130" s="198">
        <v>83458369.91000001</v>
      </c>
      <c r="E130" s="198">
        <v>17447969.083407708</v>
      </c>
      <c r="F130" s="198">
        <v>2959732.2220353573</v>
      </c>
      <c r="G130" s="198">
        <v>103866071.21544309</v>
      </c>
      <c r="H130" s="198">
        <v>3642.26</v>
      </c>
      <c r="I130" s="198">
        <v>80978366.58</v>
      </c>
      <c r="J130" s="198">
        <v>22887704.63544309</v>
      </c>
      <c r="K130" s="198">
        <v>371545.58185801783</v>
      </c>
      <c r="L130" s="198">
        <v>3851977.1256064507</v>
      </c>
      <c r="M130" s="198">
        <v>1631502.3011490998</v>
      </c>
      <c r="N130" s="198">
        <v>28742729.64405666</v>
      </c>
      <c r="O130" s="198">
        <v>700877.3788292692</v>
      </c>
      <c r="P130" s="198">
        <v>29443607.02288593</v>
      </c>
      <c r="Q130" s="198">
        <v>2175</v>
      </c>
      <c r="R130" s="198">
        <v>401</v>
      </c>
      <c r="S130" s="198">
        <v>2103</v>
      </c>
      <c r="T130" s="198">
        <v>903</v>
      </c>
      <c r="U130" s="198">
        <v>838</v>
      </c>
      <c r="V130" s="198">
        <v>12559</v>
      </c>
      <c r="W130" s="198">
        <v>1944</v>
      </c>
      <c r="X130" s="198">
        <v>956</v>
      </c>
      <c r="Y130" s="198">
        <v>354</v>
      </c>
      <c r="Z130" s="198">
        <v>21697</v>
      </c>
      <c r="AA130" s="198">
        <v>60</v>
      </c>
      <c r="AB130" s="198">
        <v>0</v>
      </c>
      <c r="AC130" s="198">
        <v>476</v>
      </c>
      <c r="AD130" s="198">
        <v>269.52</v>
      </c>
      <c r="AE130" s="198">
        <v>82.49109528049867</v>
      </c>
      <c r="AF130" s="198">
        <v>3254</v>
      </c>
      <c r="AG130" s="198">
        <v>17447969.083407708</v>
      </c>
      <c r="AH130" s="198">
        <v>11070619.260458684</v>
      </c>
      <c r="AI130" s="198">
        <v>3989023.419254609</v>
      </c>
      <c r="AJ130" s="198">
        <v>2388326.4036944164</v>
      </c>
      <c r="AK130" s="198">
        <v>1129</v>
      </c>
      <c r="AL130" s="198">
        <v>10509</v>
      </c>
      <c r="AM130" s="198">
        <v>0.8618086352035558</v>
      </c>
      <c r="AN130" s="198">
        <v>476</v>
      </c>
      <c r="AO130" s="198">
        <v>0.021409616336077002</v>
      </c>
      <c r="AP130" s="198">
        <v>0.01968607273042378</v>
      </c>
      <c r="AQ130" s="198">
        <v>0</v>
      </c>
      <c r="AR130" s="198">
        <v>60</v>
      </c>
      <c r="AS130" s="198">
        <v>0</v>
      </c>
      <c r="AT130" s="198">
        <v>0</v>
      </c>
      <c r="AU130" s="198">
        <v>269.52</v>
      </c>
      <c r="AV130" s="198">
        <v>82.49109528049867</v>
      </c>
      <c r="AW130" s="198">
        <v>0.21823508621949544</v>
      </c>
      <c r="AX130" s="198">
        <v>660</v>
      </c>
      <c r="AY130" s="198">
        <v>7953</v>
      </c>
      <c r="AZ130" s="198">
        <v>0.08298755186721991</v>
      </c>
      <c r="BA130" s="198">
        <v>0.019298693171567738</v>
      </c>
      <c r="BB130" s="198">
        <v>0</v>
      </c>
      <c r="BC130" s="198">
        <v>6567</v>
      </c>
      <c r="BD130" s="198">
        <v>9460</v>
      </c>
      <c r="BE130" s="198">
        <v>0.6941860465116279</v>
      </c>
      <c r="BF130" s="198">
        <v>0.2645471922152393</v>
      </c>
      <c r="BG130" s="198">
        <v>0</v>
      </c>
      <c r="BH130" s="198">
        <v>0</v>
      </c>
      <c r="BI130" s="198">
        <v>-2223.3</v>
      </c>
      <c r="BJ130" s="198">
        <v>-5335.92</v>
      </c>
      <c r="BK130" s="198">
        <v>-91155.29999999999</v>
      </c>
      <c r="BL130" s="198">
        <v>-8226.21</v>
      </c>
      <c r="BM130" s="198">
        <v>-118501.89</v>
      </c>
      <c r="BN130" s="198">
        <v>-2667.96</v>
      </c>
      <c r="BO130" s="198">
        <v>343408</v>
      </c>
      <c r="BP130" s="198">
        <v>-22639.194855719805</v>
      </c>
      <c r="BQ130" s="198">
        <v>1342222</v>
      </c>
      <c r="BR130" s="198">
        <v>425216</v>
      </c>
      <c r="BS130" s="198">
        <v>845415.0618822824</v>
      </c>
      <c r="BT130" s="198">
        <v>8296.370292491418</v>
      </c>
      <c r="BU130" s="198">
        <v>-22793.950664415817</v>
      </c>
      <c r="BV130" s="198">
        <v>436658.97893666575</v>
      </c>
      <c r="BW130" s="198">
        <v>886799.0865130713</v>
      </c>
      <c r="BX130" s="198">
        <v>2000.97</v>
      </c>
      <c r="BY130" s="198">
        <v>28264.493502075667</v>
      </c>
      <c r="BZ130" s="198">
        <v>4272847.815606451</v>
      </c>
      <c r="CA130" s="198">
        <v>3851977.1256064507</v>
      </c>
      <c r="CB130" s="198">
        <v>1631502.3011490998</v>
      </c>
      <c r="CC130" s="232">
        <v>700877.3788292692</v>
      </c>
      <c r="CD130" s="198">
        <v>-3410583</v>
      </c>
      <c r="CE130" s="198">
        <v>-462632.30784</v>
      </c>
      <c r="CH130" s="198">
        <v>21829</v>
      </c>
    </row>
    <row r="131" spans="1:86" ht="11.25">
      <c r="A131" s="198">
        <v>420</v>
      </c>
      <c r="B131" s="198" t="s">
        <v>207</v>
      </c>
      <c r="C131" s="198">
        <v>10015</v>
      </c>
      <c r="D131" s="198">
        <v>36317514.61</v>
      </c>
      <c r="E131" s="198">
        <v>17171017.045378428</v>
      </c>
      <c r="F131" s="198">
        <v>2216034.8810377927</v>
      </c>
      <c r="G131" s="198">
        <v>55704566.536416225</v>
      </c>
      <c r="H131" s="198">
        <v>3642.26</v>
      </c>
      <c r="I131" s="198">
        <v>36477233.9</v>
      </c>
      <c r="J131" s="198">
        <v>19227332.636416227</v>
      </c>
      <c r="K131" s="198">
        <v>211490.18399453026</v>
      </c>
      <c r="L131" s="198">
        <v>2460156.867784261</v>
      </c>
      <c r="M131" s="198">
        <v>0</v>
      </c>
      <c r="N131" s="198">
        <v>21898979.68819502</v>
      </c>
      <c r="O131" s="198">
        <v>5329747.518400004</v>
      </c>
      <c r="P131" s="198">
        <v>27228727.206595026</v>
      </c>
      <c r="Q131" s="198">
        <v>518</v>
      </c>
      <c r="R131" s="198">
        <v>95</v>
      </c>
      <c r="S131" s="198">
        <v>601</v>
      </c>
      <c r="T131" s="198">
        <v>348</v>
      </c>
      <c r="U131" s="198">
        <v>332</v>
      </c>
      <c r="V131" s="198">
        <v>5484</v>
      </c>
      <c r="W131" s="198">
        <v>1384</v>
      </c>
      <c r="X131" s="198">
        <v>933</v>
      </c>
      <c r="Y131" s="198">
        <v>320</v>
      </c>
      <c r="Z131" s="198">
        <v>9858</v>
      </c>
      <c r="AA131" s="198">
        <v>8</v>
      </c>
      <c r="AB131" s="198">
        <v>0</v>
      </c>
      <c r="AC131" s="198">
        <v>149</v>
      </c>
      <c r="AD131" s="198">
        <v>1136.03</v>
      </c>
      <c r="AE131" s="198">
        <v>8.815788315449415</v>
      </c>
      <c r="AF131" s="198">
        <v>2637</v>
      </c>
      <c r="AG131" s="198">
        <v>17171017.045378428</v>
      </c>
      <c r="AH131" s="198">
        <v>9889154.006432192</v>
      </c>
      <c r="AI131" s="198">
        <v>5067233.100975051</v>
      </c>
      <c r="AJ131" s="198">
        <v>2214629.9379711854</v>
      </c>
      <c r="AK131" s="198">
        <v>575</v>
      </c>
      <c r="AL131" s="198">
        <v>4464</v>
      </c>
      <c r="AM131" s="198">
        <v>1.0332893429353232</v>
      </c>
      <c r="AN131" s="198">
        <v>149</v>
      </c>
      <c r="AO131" s="198">
        <v>0.014877683474787818</v>
      </c>
      <c r="AP131" s="198">
        <v>0.013154139869134595</v>
      </c>
      <c r="AQ131" s="198">
        <v>0</v>
      </c>
      <c r="AR131" s="198">
        <v>8</v>
      </c>
      <c r="AS131" s="198">
        <v>0</v>
      </c>
      <c r="AT131" s="198">
        <v>0</v>
      </c>
      <c r="AU131" s="198">
        <v>1136.03</v>
      </c>
      <c r="AV131" s="198">
        <v>8.815788315449415</v>
      </c>
      <c r="AW131" s="198">
        <v>2.0420693699429537</v>
      </c>
      <c r="AX131" s="198">
        <v>348</v>
      </c>
      <c r="AY131" s="198">
        <v>3020</v>
      </c>
      <c r="AZ131" s="198">
        <v>0.1152317880794702</v>
      </c>
      <c r="BA131" s="198">
        <v>0.05154292938381802</v>
      </c>
      <c r="BB131" s="198">
        <v>0</v>
      </c>
      <c r="BC131" s="198">
        <v>2906</v>
      </c>
      <c r="BD131" s="198">
        <v>3804</v>
      </c>
      <c r="BE131" s="198">
        <v>0.7639327024185069</v>
      </c>
      <c r="BF131" s="198">
        <v>0.3342938481221183</v>
      </c>
      <c r="BG131" s="198">
        <v>0</v>
      </c>
      <c r="BH131" s="198">
        <v>0</v>
      </c>
      <c r="BI131" s="198">
        <v>-1001.5</v>
      </c>
      <c r="BJ131" s="198">
        <v>-2403.6</v>
      </c>
      <c r="BK131" s="198">
        <v>-41061.5</v>
      </c>
      <c r="BL131" s="198">
        <v>-3705.55</v>
      </c>
      <c r="BM131" s="198">
        <v>-53379.95</v>
      </c>
      <c r="BN131" s="198">
        <v>-1201.8</v>
      </c>
      <c r="BO131" s="198">
        <v>13462</v>
      </c>
      <c r="BP131" s="198">
        <v>-162756.96273579448</v>
      </c>
      <c r="BQ131" s="198">
        <v>916807</v>
      </c>
      <c r="BR131" s="198">
        <v>274888</v>
      </c>
      <c r="BS131" s="198">
        <v>642507.6030536001</v>
      </c>
      <c r="BT131" s="198">
        <v>26076.26417859702</v>
      </c>
      <c r="BU131" s="198">
        <v>100966.89511105619</v>
      </c>
      <c r="BV131" s="198">
        <v>316588.37062268355</v>
      </c>
      <c r="BW131" s="198">
        <v>488790.32959158125</v>
      </c>
      <c r="BX131" s="198">
        <v>901.35</v>
      </c>
      <c r="BY131" s="198">
        <v>31509.96796253744</v>
      </c>
      <c r="BZ131" s="198">
        <v>2649740.817784261</v>
      </c>
      <c r="CA131" s="198">
        <v>2460156.867784261</v>
      </c>
      <c r="CB131" s="198">
        <v>0</v>
      </c>
      <c r="CC131" s="232">
        <v>5329747.518400004</v>
      </c>
      <c r="CD131" s="198">
        <v>-1435851</v>
      </c>
      <c r="CE131" s="198">
        <v>-224330.3463</v>
      </c>
      <c r="CH131" s="198">
        <v>10170</v>
      </c>
    </row>
    <row r="132" spans="1:86" ht="11.25">
      <c r="A132" s="198">
        <v>421</v>
      </c>
      <c r="B132" s="198" t="s">
        <v>208</v>
      </c>
      <c r="C132" s="198">
        <v>817</v>
      </c>
      <c r="D132" s="198">
        <v>3130094.21</v>
      </c>
      <c r="E132" s="198">
        <v>1386052.3286180666</v>
      </c>
      <c r="F132" s="198">
        <v>456693.7586317683</v>
      </c>
      <c r="G132" s="198">
        <v>4972840.297249835</v>
      </c>
      <c r="H132" s="198">
        <v>3642.26</v>
      </c>
      <c r="I132" s="198">
        <v>2975726.4200000004</v>
      </c>
      <c r="J132" s="198">
        <v>1997113.8772498346</v>
      </c>
      <c r="K132" s="198">
        <v>169333.4756517286</v>
      </c>
      <c r="L132" s="198">
        <v>321143.4352625954</v>
      </c>
      <c r="M132" s="198">
        <v>84592.73002406675</v>
      </c>
      <c r="N132" s="198">
        <v>2572183.518188225</v>
      </c>
      <c r="O132" s="198">
        <v>699275.8779000001</v>
      </c>
      <c r="P132" s="198">
        <v>3271459.3960882253</v>
      </c>
      <c r="Q132" s="198">
        <v>44</v>
      </c>
      <c r="R132" s="198">
        <v>8</v>
      </c>
      <c r="S132" s="198">
        <v>52</v>
      </c>
      <c r="T132" s="198">
        <v>29</v>
      </c>
      <c r="U132" s="198">
        <v>21</v>
      </c>
      <c r="V132" s="198">
        <v>448</v>
      </c>
      <c r="W132" s="198">
        <v>107</v>
      </c>
      <c r="X132" s="198">
        <v>73</v>
      </c>
      <c r="Y132" s="198">
        <v>35</v>
      </c>
      <c r="Z132" s="198">
        <v>804</v>
      </c>
      <c r="AA132" s="198">
        <v>1</v>
      </c>
      <c r="AB132" s="198">
        <v>0</v>
      </c>
      <c r="AC132" s="198">
        <v>12</v>
      </c>
      <c r="AD132" s="198">
        <v>480.69</v>
      </c>
      <c r="AE132" s="198">
        <v>1.6996401006885935</v>
      </c>
      <c r="AF132" s="198">
        <v>215</v>
      </c>
      <c r="AG132" s="198">
        <v>1386052.3286180666</v>
      </c>
      <c r="AH132" s="198">
        <v>871477.1682194861</v>
      </c>
      <c r="AI132" s="198">
        <v>332193.8713891887</v>
      </c>
      <c r="AJ132" s="198">
        <v>182381.2890093918</v>
      </c>
      <c r="AK132" s="198">
        <v>32</v>
      </c>
      <c r="AL132" s="198">
        <v>342</v>
      </c>
      <c r="AM132" s="198">
        <v>0.7505889451290366</v>
      </c>
      <c r="AN132" s="198">
        <v>12</v>
      </c>
      <c r="AO132" s="198">
        <v>0.014687882496940025</v>
      </c>
      <c r="AP132" s="198">
        <v>0.012964338891286802</v>
      </c>
      <c r="AQ132" s="198">
        <v>0</v>
      </c>
      <c r="AR132" s="198">
        <v>1</v>
      </c>
      <c r="AS132" s="198">
        <v>0</v>
      </c>
      <c r="AT132" s="198">
        <v>0</v>
      </c>
      <c r="AU132" s="198">
        <v>480.69</v>
      </c>
      <c r="AV132" s="198">
        <v>1.6996401006885935</v>
      </c>
      <c r="AW132" s="198">
        <v>10.591919597323406</v>
      </c>
      <c r="AX132" s="198">
        <v>38</v>
      </c>
      <c r="AY132" s="198">
        <v>212</v>
      </c>
      <c r="AZ132" s="198">
        <v>0.1792452830188679</v>
      </c>
      <c r="BA132" s="198">
        <v>0.11555642432321574</v>
      </c>
      <c r="BB132" s="198">
        <v>0.8113999999999999</v>
      </c>
      <c r="BC132" s="198">
        <v>309</v>
      </c>
      <c r="BD132" s="198">
        <v>298</v>
      </c>
      <c r="BE132" s="198">
        <v>1.0369127516778522</v>
      </c>
      <c r="BF132" s="198">
        <v>0.6072738973814638</v>
      </c>
      <c r="BG132" s="198">
        <v>0</v>
      </c>
      <c r="BH132" s="198">
        <v>0</v>
      </c>
      <c r="BI132" s="198">
        <v>-81.7</v>
      </c>
      <c r="BJ132" s="198">
        <v>-196.07999999999998</v>
      </c>
      <c r="BK132" s="198">
        <v>-3349.7</v>
      </c>
      <c r="BL132" s="198">
        <v>-302.29</v>
      </c>
      <c r="BM132" s="198">
        <v>-4354.61</v>
      </c>
      <c r="BN132" s="198">
        <v>-98.03999999999999</v>
      </c>
      <c r="BO132" s="198">
        <v>18127</v>
      </c>
      <c r="BP132" s="198">
        <v>39125.340264778584</v>
      </c>
      <c r="BQ132" s="198">
        <v>87058</v>
      </c>
      <c r="BR132" s="198">
        <v>27619</v>
      </c>
      <c r="BS132" s="198">
        <v>77405.55972526678</v>
      </c>
      <c r="BT132" s="198">
        <v>3950.5922864278295</v>
      </c>
      <c r="BU132" s="198">
        <v>13927.977188081828</v>
      </c>
      <c r="BV132" s="198">
        <v>33393.64252528982</v>
      </c>
      <c r="BW132" s="198">
        <v>46600.195507204764</v>
      </c>
      <c r="BX132" s="198">
        <v>73.53</v>
      </c>
      <c r="BY132" s="198">
        <v>-10671.592234454174</v>
      </c>
      <c r="BZ132" s="198">
        <v>336609.2452625954</v>
      </c>
      <c r="CA132" s="198">
        <v>321143.4352625954</v>
      </c>
      <c r="CB132" s="198">
        <v>84592.73002406675</v>
      </c>
      <c r="CC132" s="232">
        <v>699275.8779000001</v>
      </c>
      <c r="CD132" s="198">
        <v>-168274</v>
      </c>
      <c r="CE132" s="198">
        <v>23659.598000000005</v>
      </c>
      <c r="CH132" s="198">
        <v>818</v>
      </c>
    </row>
    <row r="133" spans="1:86" ht="11.25">
      <c r="A133" s="198">
        <v>422</v>
      </c>
      <c r="B133" s="198" t="s">
        <v>209</v>
      </c>
      <c r="C133" s="198">
        <v>12117</v>
      </c>
      <c r="D133" s="198">
        <v>42777049.160000004</v>
      </c>
      <c r="E133" s="198">
        <v>22534701.478893477</v>
      </c>
      <c r="F133" s="198">
        <v>5854412.298583722</v>
      </c>
      <c r="G133" s="198">
        <v>71166162.9374772</v>
      </c>
      <c r="H133" s="198">
        <v>3642.26</v>
      </c>
      <c r="I133" s="198">
        <v>44133264.42</v>
      </c>
      <c r="J133" s="198">
        <v>27032898.5174772</v>
      </c>
      <c r="K133" s="198">
        <v>2455449.8134309114</v>
      </c>
      <c r="L133" s="198">
        <v>3663648.5058962144</v>
      </c>
      <c r="M133" s="198">
        <v>0</v>
      </c>
      <c r="N133" s="198">
        <v>33151996.836804327</v>
      </c>
      <c r="O133" s="198">
        <v>7451160.366095239</v>
      </c>
      <c r="P133" s="198">
        <v>40603157.20289957</v>
      </c>
      <c r="Q133" s="198">
        <v>523</v>
      </c>
      <c r="R133" s="198">
        <v>105</v>
      </c>
      <c r="S133" s="198">
        <v>535</v>
      </c>
      <c r="T133" s="198">
        <v>318</v>
      </c>
      <c r="U133" s="198">
        <v>338</v>
      </c>
      <c r="V133" s="198">
        <v>6554</v>
      </c>
      <c r="W133" s="198">
        <v>1997</v>
      </c>
      <c r="X133" s="198">
        <v>1296</v>
      </c>
      <c r="Y133" s="198">
        <v>451</v>
      </c>
      <c r="Z133" s="198">
        <v>11485</v>
      </c>
      <c r="AA133" s="198">
        <v>9</v>
      </c>
      <c r="AB133" s="198">
        <v>0</v>
      </c>
      <c r="AC133" s="198">
        <v>623</v>
      </c>
      <c r="AD133" s="198">
        <v>3418.35</v>
      </c>
      <c r="AE133" s="198">
        <v>3.5446926148580458</v>
      </c>
      <c r="AF133" s="198">
        <v>3744</v>
      </c>
      <c r="AG133" s="198">
        <v>22534701.478893477</v>
      </c>
      <c r="AH133" s="198">
        <v>12933299.534230303</v>
      </c>
      <c r="AI133" s="198">
        <v>7282554.127258049</v>
      </c>
      <c r="AJ133" s="198">
        <v>2318847.8174051237</v>
      </c>
      <c r="AK133" s="198">
        <v>930</v>
      </c>
      <c r="AL133" s="198">
        <v>4963</v>
      </c>
      <c r="AM133" s="198">
        <v>1.5032006843626675</v>
      </c>
      <c r="AN133" s="198">
        <v>623</v>
      </c>
      <c r="AO133" s="198">
        <v>0.05141536683997689</v>
      </c>
      <c r="AP133" s="198">
        <v>0.04969182323432367</v>
      </c>
      <c r="AQ133" s="198">
        <v>0</v>
      </c>
      <c r="AR133" s="198">
        <v>9</v>
      </c>
      <c r="AS133" s="198">
        <v>0</v>
      </c>
      <c r="AT133" s="198">
        <v>1</v>
      </c>
      <c r="AU133" s="198">
        <v>3418.35</v>
      </c>
      <c r="AV133" s="198">
        <v>3.5446926148580458</v>
      </c>
      <c r="AW133" s="198">
        <v>5.078705898339562</v>
      </c>
      <c r="AX133" s="198">
        <v>559</v>
      </c>
      <c r="AY133" s="198">
        <v>3065</v>
      </c>
      <c r="AZ133" s="198">
        <v>0.18238172920065251</v>
      </c>
      <c r="BA133" s="198">
        <v>0.11869287050500034</v>
      </c>
      <c r="BB133" s="198">
        <v>0.8024833333333333</v>
      </c>
      <c r="BC133" s="198">
        <v>3797</v>
      </c>
      <c r="BD133" s="198">
        <v>3823</v>
      </c>
      <c r="BE133" s="198">
        <v>0.9931990583311535</v>
      </c>
      <c r="BF133" s="198">
        <v>0.5635602040347649</v>
      </c>
      <c r="BG133" s="198">
        <v>0</v>
      </c>
      <c r="BH133" s="198">
        <v>0</v>
      </c>
      <c r="BI133" s="198">
        <v>-1211.7</v>
      </c>
      <c r="BJ133" s="198">
        <v>-2908.08</v>
      </c>
      <c r="BK133" s="198">
        <v>-49679.7</v>
      </c>
      <c r="BL133" s="198">
        <v>-4483.29</v>
      </c>
      <c r="BM133" s="198">
        <v>-64583.61</v>
      </c>
      <c r="BN133" s="198">
        <v>-1454.04</v>
      </c>
      <c r="BO133" s="198">
        <v>635429</v>
      </c>
      <c r="BP133" s="198">
        <v>-315981.70902796835</v>
      </c>
      <c r="BQ133" s="198">
        <v>1068144</v>
      </c>
      <c r="BR133" s="198">
        <v>308816</v>
      </c>
      <c r="BS133" s="198">
        <v>830643.1792137162</v>
      </c>
      <c r="BT133" s="198">
        <v>50258.222704215</v>
      </c>
      <c r="BU133" s="198">
        <v>160868.26536115995</v>
      </c>
      <c r="BV133" s="198">
        <v>477634.4870978819</v>
      </c>
      <c r="BW133" s="198">
        <v>567276.8019471708</v>
      </c>
      <c r="BX133" s="198">
        <v>1090.53</v>
      </c>
      <c r="BY133" s="198">
        <v>108844.53860003932</v>
      </c>
      <c r="BZ133" s="198">
        <v>3893023.3158962145</v>
      </c>
      <c r="CA133" s="198">
        <v>3663648.5058962144</v>
      </c>
      <c r="CB133" s="198">
        <v>0</v>
      </c>
      <c r="CC133" s="232">
        <v>7451160.366095239</v>
      </c>
      <c r="CD133" s="198">
        <v>-709925</v>
      </c>
      <c r="CE133" s="198">
        <v>48502.1759</v>
      </c>
      <c r="CH133" s="198">
        <v>12303</v>
      </c>
    </row>
    <row r="134" spans="1:86" ht="11.25">
      <c r="A134" s="198">
        <v>423</v>
      </c>
      <c r="B134" s="198" t="s">
        <v>210</v>
      </c>
      <c r="C134" s="198">
        <v>19209</v>
      </c>
      <c r="D134" s="198">
        <v>70705827.16000001</v>
      </c>
      <c r="E134" s="198">
        <v>15938062.886897478</v>
      </c>
      <c r="F134" s="198">
        <v>2463295.678431176</v>
      </c>
      <c r="G134" s="198">
        <v>89107185.72532867</v>
      </c>
      <c r="H134" s="198">
        <v>3642.26</v>
      </c>
      <c r="I134" s="198">
        <v>69964172.34</v>
      </c>
      <c r="J134" s="198">
        <v>19143013.385328665</v>
      </c>
      <c r="K134" s="198">
        <v>279249.73592351354</v>
      </c>
      <c r="L134" s="198">
        <v>2979719.720402295</v>
      </c>
      <c r="M134" s="198">
        <v>975673.221082203</v>
      </c>
      <c r="N134" s="198">
        <v>23377656.062736675</v>
      </c>
      <c r="O134" s="198">
        <v>42125.75664160993</v>
      </c>
      <c r="P134" s="198">
        <v>23419781.819378287</v>
      </c>
      <c r="Q134" s="198">
        <v>1599</v>
      </c>
      <c r="R134" s="198">
        <v>273</v>
      </c>
      <c r="S134" s="198">
        <v>1646</v>
      </c>
      <c r="T134" s="198">
        <v>793</v>
      </c>
      <c r="U134" s="198">
        <v>800</v>
      </c>
      <c r="V134" s="198">
        <v>10819</v>
      </c>
      <c r="W134" s="198">
        <v>1922</v>
      </c>
      <c r="X134" s="198">
        <v>1002</v>
      </c>
      <c r="Y134" s="198">
        <v>355</v>
      </c>
      <c r="Z134" s="198">
        <v>18509</v>
      </c>
      <c r="AA134" s="198">
        <v>247</v>
      </c>
      <c r="AB134" s="198">
        <v>0</v>
      </c>
      <c r="AC134" s="198">
        <v>453</v>
      </c>
      <c r="AD134" s="198">
        <v>300.46</v>
      </c>
      <c r="AE134" s="198">
        <v>63.93197097783399</v>
      </c>
      <c r="AF134" s="198">
        <v>3279</v>
      </c>
      <c r="AG134" s="198">
        <v>15938062.886897478</v>
      </c>
      <c r="AH134" s="198">
        <v>9883080.59767045</v>
      </c>
      <c r="AI134" s="198">
        <v>4048788.110123718</v>
      </c>
      <c r="AJ134" s="198">
        <v>2006194.1791033095</v>
      </c>
      <c r="AK134" s="198">
        <v>795</v>
      </c>
      <c r="AL134" s="198">
        <v>9375</v>
      </c>
      <c r="AM134" s="198">
        <v>0.6802587609704459</v>
      </c>
      <c r="AN134" s="198">
        <v>453</v>
      </c>
      <c r="AO134" s="198">
        <v>0.023582695611432142</v>
      </c>
      <c r="AP134" s="198">
        <v>0.02185915200577892</v>
      </c>
      <c r="AQ134" s="198">
        <v>0</v>
      </c>
      <c r="AR134" s="198">
        <v>247</v>
      </c>
      <c r="AS134" s="198">
        <v>0</v>
      </c>
      <c r="AT134" s="198">
        <v>0</v>
      </c>
      <c r="AU134" s="198">
        <v>300.46</v>
      </c>
      <c r="AV134" s="198">
        <v>63.93197097783399</v>
      </c>
      <c r="AW134" s="198">
        <v>0.2815876159538694</v>
      </c>
      <c r="AX134" s="198">
        <v>657</v>
      </c>
      <c r="AY134" s="198">
        <v>6971</v>
      </c>
      <c r="AZ134" s="198">
        <v>0.09424759718835174</v>
      </c>
      <c r="BA134" s="198">
        <v>0.030558738492699564</v>
      </c>
      <c r="BB134" s="198">
        <v>0</v>
      </c>
      <c r="BC134" s="198">
        <v>5645</v>
      </c>
      <c r="BD134" s="198">
        <v>8556</v>
      </c>
      <c r="BE134" s="198">
        <v>0.6597709209911173</v>
      </c>
      <c r="BF134" s="198">
        <v>0.2301320666947288</v>
      </c>
      <c r="BG134" s="198">
        <v>0</v>
      </c>
      <c r="BH134" s="198">
        <v>0</v>
      </c>
      <c r="BI134" s="198">
        <v>-1920.9</v>
      </c>
      <c r="BJ134" s="198">
        <v>-4610.16</v>
      </c>
      <c r="BK134" s="198">
        <v>-78756.9</v>
      </c>
      <c r="BL134" s="198">
        <v>-7107.33</v>
      </c>
      <c r="BM134" s="198">
        <v>-102383.97</v>
      </c>
      <c r="BN134" s="198">
        <v>-2305.08</v>
      </c>
      <c r="BO134" s="198">
        <v>13774</v>
      </c>
      <c r="BP134" s="198">
        <v>-70084.70936955605</v>
      </c>
      <c r="BQ134" s="198">
        <v>1240823</v>
      </c>
      <c r="BR134" s="198">
        <v>412341</v>
      </c>
      <c r="BS134" s="198">
        <v>713439.9012823217</v>
      </c>
      <c r="BT134" s="198">
        <v>8667.180460595026</v>
      </c>
      <c r="BU134" s="198">
        <v>-59692.6854276775</v>
      </c>
      <c r="BV134" s="198">
        <v>360453.8116336227</v>
      </c>
      <c r="BW134" s="198">
        <v>793133.28745806</v>
      </c>
      <c r="BX134" s="198">
        <v>1728.81</v>
      </c>
      <c r="BY134" s="198">
        <v>-71237.50563507101</v>
      </c>
      <c r="BZ134" s="198">
        <v>3343346.090402295</v>
      </c>
      <c r="CA134" s="198">
        <v>2979719.720402295</v>
      </c>
      <c r="CB134" s="198">
        <v>975673.221082203</v>
      </c>
      <c r="CC134" s="232">
        <v>42125.75664160993</v>
      </c>
      <c r="CD134" s="198">
        <v>-2278057</v>
      </c>
      <c r="CE134" s="198">
        <v>-329823.5128139998</v>
      </c>
      <c r="CH134" s="198">
        <v>19128</v>
      </c>
    </row>
    <row r="135" spans="1:86" ht="11.25">
      <c r="A135" s="198">
        <v>425</v>
      </c>
      <c r="B135" s="198" t="s">
        <v>211</v>
      </c>
      <c r="C135" s="198">
        <v>9740</v>
      </c>
      <c r="D135" s="198">
        <v>43288329.23</v>
      </c>
      <c r="E135" s="198">
        <v>6867645.170560831</v>
      </c>
      <c r="F135" s="198">
        <v>1319513.9903944544</v>
      </c>
      <c r="G135" s="198">
        <v>51475488.390955284</v>
      </c>
      <c r="H135" s="198">
        <v>3642.26</v>
      </c>
      <c r="I135" s="198">
        <v>35475612.4</v>
      </c>
      <c r="J135" s="198">
        <v>15999875.990955286</v>
      </c>
      <c r="K135" s="198">
        <v>91127.74269474545</v>
      </c>
      <c r="L135" s="198">
        <v>1313525.1274306187</v>
      </c>
      <c r="M135" s="198">
        <v>1650531.1698492242</v>
      </c>
      <c r="N135" s="198">
        <v>19055060.030929875</v>
      </c>
      <c r="O135" s="198">
        <v>6691513.139024392</v>
      </c>
      <c r="P135" s="198">
        <v>25746573.169954266</v>
      </c>
      <c r="Q135" s="198">
        <v>1350</v>
      </c>
      <c r="R135" s="198">
        <v>221</v>
      </c>
      <c r="S135" s="198">
        <v>1430</v>
      </c>
      <c r="T135" s="198">
        <v>562</v>
      </c>
      <c r="U135" s="198">
        <v>435</v>
      </c>
      <c r="V135" s="198">
        <v>4893</v>
      </c>
      <c r="W135" s="198">
        <v>487</v>
      </c>
      <c r="X135" s="198">
        <v>256</v>
      </c>
      <c r="Y135" s="198">
        <v>106</v>
      </c>
      <c r="Z135" s="198">
        <v>9681</v>
      </c>
      <c r="AA135" s="198">
        <v>11</v>
      </c>
      <c r="AB135" s="198">
        <v>1</v>
      </c>
      <c r="AC135" s="198">
        <v>47</v>
      </c>
      <c r="AD135" s="198">
        <v>637.16</v>
      </c>
      <c r="AE135" s="198">
        <v>15.286584217465002</v>
      </c>
      <c r="AF135" s="198">
        <v>849</v>
      </c>
      <c r="AG135" s="198">
        <v>6867645.170560831</v>
      </c>
      <c r="AH135" s="198">
        <v>4366243.573983186</v>
      </c>
      <c r="AI135" s="198">
        <v>1398429.0392351327</v>
      </c>
      <c r="AJ135" s="198">
        <v>1102972.5573425123</v>
      </c>
      <c r="AK135" s="198">
        <v>440</v>
      </c>
      <c r="AL135" s="198">
        <v>4047</v>
      </c>
      <c r="AM135" s="198">
        <v>0.8721632108893735</v>
      </c>
      <c r="AN135" s="198">
        <v>47</v>
      </c>
      <c r="AO135" s="198">
        <v>0.004825462012320329</v>
      </c>
      <c r="AP135" s="198">
        <v>0.0031019184066671058</v>
      </c>
      <c r="AQ135" s="198">
        <v>0</v>
      </c>
      <c r="AR135" s="198">
        <v>11</v>
      </c>
      <c r="AS135" s="198">
        <v>1</v>
      </c>
      <c r="AT135" s="198">
        <v>0</v>
      </c>
      <c r="AU135" s="198">
        <v>637.16</v>
      </c>
      <c r="AV135" s="198">
        <v>15.286584217465002</v>
      </c>
      <c r="AW135" s="198">
        <v>1.1776634357800055</v>
      </c>
      <c r="AX135" s="198">
        <v>245</v>
      </c>
      <c r="AY135" s="198">
        <v>3321</v>
      </c>
      <c r="AZ135" s="198">
        <v>0.07377295995182175</v>
      </c>
      <c r="BA135" s="198">
        <v>0.01008410125616957</v>
      </c>
      <c r="BB135" s="198">
        <v>0</v>
      </c>
      <c r="BC135" s="198">
        <v>2129</v>
      </c>
      <c r="BD135" s="198">
        <v>3685</v>
      </c>
      <c r="BE135" s="198">
        <v>0.5777476255088195</v>
      </c>
      <c r="BF135" s="198">
        <v>0.148108771212431</v>
      </c>
      <c r="BG135" s="198">
        <v>0</v>
      </c>
      <c r="BH135" s="198">
        <v>1</v>
      </c>
      <c r="BI135" s="198">
        <v>-974</v>
      </c>
      <c r="BJ135" s="198">
        <v>-2337.6</v>
      </c>
      <c r="BK135" s="198">
        <v>-39934</v>
      </c>
      <c r="BL135" s="198">
        <v>-3603.8</v>
      </c>
      <c r="BM135" s="198">
        <v>-51914.2</v>
      </c>
      <c r="BN135" s="198">
        <v>-1168.8</v>
      </c>
      <c r="BO135" s="198">
        <v>40867</v>
      </c>
      <c r="BP135" s="198">
        <v>-237163.8779362552</v>
      </c>
      <c r="BQ135" s="198">
        <v>593519</v>
      </c>
      <c r="BR135" s="198">
        <v>166010</v>
      </c>
      <c r="BS135" s="198">
        <v>333043.6696408922</v>
      </c>
      <c r="BT135" s="198">
        <v>-639.7687502854976</v>
      </c>
      <c r="BU135" s="198">
        <v>-12296.181836887137</v>
      </c>
      <c r="BV135" s="198">
        <v>206898.77974201023</v>
      </c>
      <c r="BW135" s="198">
        <v>368826.3197921899</v>
      </c>
      <c r="BX135" s="198">
        <v>876.6</v>
      </c>
      <c r="BY135" s="198">
        <v>37961.786778954076</v>
      </c>
      <c r="BZ135" s="198">
        <v>1497903.3274306187</v>
      </c>
      <c r="CA135" s="198">
        <v>1313525.1274306187</v>
      </c>
      <c r="CB135" s="198">
        <v>1650531.1698492242</v>
      </c>
      <c r="CC135" s="232">
        <v>6691513.139024392</v>
      </c>
      <c r="CD135" s="198">
        <v>-910234</v>
      </c>
      <c r="CE135" s="198">
        <v>-48427.46137999999</v>
      </c>
      <c r="CH135" s="198">
        <v>9577</v>
      </c>
    </row>
    <row r="136" spans="1:86" ht="11.25">
      <c r="A136" s="198">
        <v>426</v>
      </c>
      <c r="B136" s="198" t="s">
        <v>212</v>
      </c>
      <c r="C136" s="198">
        <v>12335</v>
      </c>
      <c r="D136" s="198">
        <v>44430793.62</v>
      </c>
      <c r="E136" s="198">
        <v>16663093.807723496</v>
      </c>
      <c r="F136" s="198">
        <v>2127930.7273742817</v>
      </c>
      <c r="G136" s="198">
        <v>63221818.15509778</v>
      </c>
      <c r="H136" s="198">
        <v>3642.26</v>
      </c>
      <c r="I136" s="198">
        <v>44927277.1</v>
      </c>
      <c r="J136" s="198">
        <v>18294541.05509778</v>
      </c>
      <c r="K136" s="198">
        <v>209537.10196327922</v>
      </c>
      <c r="L136" s="198">
        <v>3518786.92433291</v>
      </c>
      <c r="M136" s="198">
        <v>0</v>
      </c>
      <c r="N136" s="198">
        <v>22022865.08139397</v>
      </c>
      <c r="O136" s="198">
        <v>8481005.897953492</v>
      </c>
      <c r="P136" s="198">
        <v>30503870.97934746</v>
      </c>
      <c r="Q136" s="198">
        <v>929</v>
      </c>
      <c r="R136" s="198">
        <v>169</v>
      </c>
      <c r="S136" s="198">
        <v>927</v>
      </c>
      <c r="T136" s="198">
        <v>478</v>
      </c>
      <c r="U136" s="198">
        <v>433</v>
      </c>
      <c r="V136" s="198">
        <v>7067</v>
      </c>
      <c r="W136" s="198">
        <v>1342</v>
      </c>
      <c r="X136" s="198">
        <v>720</v>
      </c>
      <c r="Y136" s="198">
        <v>270</v>
      </c>
      <c r="Z136" s="198">
        <v>12115</v>
      </c>
      <c r="AA136" s="198">
        <v>19</v>
      </c>
      <c r="AB136" s="198">
        <v>3</v>
      </c>
      <c r="AC136" s="198">
        <v>198</v>
      </c>
      <c r="AD136" s="198">
        <v>726.9</v>
      </c>
      <c r="AE136" s="198">
        <v>16.969321777410922</v>
      </c>
      <c r="AF136" s="198">
        <v>2332</v>
      </c>
      <c r="AG136" s="198">
        <v>16663093.807723496</v>
      </c>
      <c r="AH136" s="198">
        <v>9589879.869593615</v>
      </c>
      <c r="AI136" s="198">
        <v>5032280.465881925</v>
      </c>
      <c r="AJ136" s="198">
        <v>2040933.4722479556</v>
      </c>
      <c r="AK136" s="198">
        <v>723</v>
      </c>
      <c r="AL136" s="198">
        <v>5816</v>
      </c>
      <c r="AM136" s="198">
        <v>0.9972227804025339</v>
      </c>
      <c r="AN136" s="198">
        <v>198</v>
      </c>
      <c r="AO136" s="198">
        <v>0.016051884880421564</v>
      </c>
      <c r="AP136" s="198">
        <v>0.014328341274768341</v>
      </c>
      <c r="AQ136" s="198">
        <v>0</v>
      </c>
      <c r="AR136" s="198">
        <v>19</v>
      </c>
      <c r="AS136" s="198">
        <v>3</v>
      </c>
      <c r="AT136" s="198">
        <v>1</v>
      </c>
      <c r="AU136" s="198">
        <v>726.9</v>
      </c>
      <c r="AV136" s="198">
        <v>16.969321777410922</v>
      </c>
      <c r="AW136" s="198">
        <v>1.0608821924070408</v>
      </c>
      <c r="AX136" s="198">
        <v>380</v>
      </c>
      <c r="AY136" s="198">
        <v>4062</v>
      </c>
      <c r="AZ136" s="198">
        <v>0.09354997538158542</v>
      </c>
      <c r="BA136" s="198">
        <v>0.029861116685933248</v>
      </c>
      <c r="BB136" s="198">
        <v>0</v>
      </c>
      <c r="BC136" s="198">
        <v>3520</v>
      </c>
      <c r="BD136" s="198">
        <v>5039</v>
      </c>
      <c r="BE136" s="198">
        <v>0.6985512998610836</v>
      </c>
      <c r="BF136" s="198">
        <v>0.268912445564695</v>
      </c>
      <c r="BG136" s="198">
        <v>0</v>
      </c>
      <c r="BH136" s="198">
        <v>3</v>
      </c>
      <c r="BI136" s="198">
        <v>-1233.5</v>
      </c>
      <c r="BJ136" s="198">
        <v>-2960.4</v>
      </c>
      <c r="BK136" s="198">
        <v>-50573.49999999999</v>
      </c>
      <c r="BL136" s="198">
        <v>-4563.95</v>
      </c>
      <c r="BM136" s="198">
        <v>-65745.55</v>
      </c>
      <c r="BN136" s="198">
        <v>-1480.2</v>
      </c>
      <c r="BO136" s="198">
        <v>290281</v>
      </c>
      <c r="BP136" s="198">
        <v>172946.06286363304</v>
      </c>
      <c r="BQ136" s="198">
        <v>1003309</v>
      </c>
      <c r="BR136" s="198">
        <v>306424</v>
      </c>
      <c r="BS136" s="198">
        <v>750447.3038160001</v>
      </c>
      <c r="BT136" s="198">
        <v>30134.69636581449</v>
      </c>
      <c r="BU136" s="198">
        <v>133757.863734118</v>
      </c>
      <c r="BV136" s="198">
        <v>345272.9908266246</v>
      </c>
      <c r="BW136" s="198">
        <v>625459.7873354048</v>
      </c>
      <c r="BX136" s="198">
        <v>1110.1499999999999</v>
      </c>
      <c r="BY136" s="198">
        <v>93145.61939131506</v>
      </c>
      <c r="BZ136" s="198">
        <v>3752288.47433291</v>
      </c>
      <c r="CA136" s="198">
        <v>3518786.92433291</v>
      </c>
      <c r="CB136" s="198">
        <v>0</v>
      </c>
      <c r="CC136" s="232">
        <v>8481005.897953492</v>
      </c>
      <c r="CD136" s="198">
        <v>-3003497</v>
      </c>
      <c r="CE136" s="198">
        <v>-737729.9252380001</v>
      </c>
      <c r="CH136" s="198">
        <v>12396</v>
      </c>
    </row>
    <row r="137" spans="1:86" ht="11.25">
      <c r="A137" s="198">
        <v>444</v>
      </c>
      <c r="B137" s="198" t="s">
        <v>213</v>
      </c>
      <c r="C137" s="198">
        <v>47624</v>
      </c>
      <c r="D137" s="198">
        <v>167313399.83</v>
      </c>
      <c r="E137" s="198">
        <v>51737229.0100165</v>
      </c>
      <c r="F137" s="198">
        <v>11478146.062831037</v>
      </c>
      <c r="G137" s="198">
        <v>230528774.90284756</v>
      </c>
      <c r="H137" s="198">
        <v>3642.26</v>
      </c>
      <c r="I137" s="198">
        <v>173458990.24</v>
      </c>
      <c r="J137" s="198">
        <v>57069784.66284755</v>
      </c>
      <c r="K137" s="198">
        <v>1091196.7294539222</v>
      </c>
      <c r="L137" s="198">
        <v>9885267.193607107</v>
      </c>
      <c r="M137" s="198">
        <v>0</v>
      </c>
      <c r="N137" s="198">
        <v>68046248.58590858</v>
      </c>
      <c r="O137" s="198">
        <v>3620716.9851000286</v>
      </c>
      <c r="P137" s="198">
        <v>71666965.57100861</v>
      </c>
      <c r="Q137" s="198">
        <v>3138</v>
      </c>
      <c r="R137" s="198">
        <v>562</v>
      </c>
      <c r="S137" s="198">
        <v>3515</v>
      </c>
      <c r="T137" s="198">
        <v>1822</v>
      </c>
      <c r="U137" s="198">
        <v>1802</v>
      </c>
      <c r="V137" s="198">
        <v>27264</v>
      </c>
      <c r="W137" s="198">
        <v>5639</v>
      </c>
      <c r="X137" s="198">
        <v>2883</v>
      </c>
      <c r="Y137" s="198">
        <v>999</v>
      </c>
      <c r="Z137" s="198">
        <v>44235</v>
      </c>
      <c r="AA137" s="198">
        <v>1659</v>
      </c>
      <c r="AB137" s="198">
        <v>4</v>
      </c>
      <c r="AC137" s="198">
        <v>1726</v>
      </c>
      <c r="AD137" s="198">
        <v>939.14</v>
      </c>
      <c r="AE137" s="198">
        <v>50.710224247716</v>
      </c>
      <c r="AF137" s="198">
        <v>9521</v>
      </c>
      <c r="AG137" s="198">
        <v>51737229.0100165</v>
      </c>
      <c r="AH137" s="198">
        <v>30773131.78328044</v>
      </c>
      <c r="AI137" s="198">
        <v>14042293.06766533</v>
      </c>
      <c r="AJ137" s="198">
        <v>6921804.1590707265</v>
      </c>
      <c r="AK137" s="198">
        <v>2721</v>
      </c>
      <c r="AL137" s="198">
        <v>23239</v>
      </c>
      <c r="AM137" s="198">
        <v>0.9392677203946883</v>
      </c>
      <c r="AN137" s="198">
        <v>1726</v>
      </c>
      <c r="AO137" s="198">
        <v>0.03624223080799597</v>
      </c>
      <c r="AP137" s="198">
        <v>0.034518687202342746</v>
      </c>
      <c r="AQ137" s="198">
        <v>1</v>
      </c>
      <c r="AR137" s="198">
        <v>1659</v>
      </c>
      <c r="AS137" s="198">
        <v>4</v>
      </c>
      <c r="AT137" s="198">
        <v>0</v>
      </c>
      <c r="AU137" s="198">
        <v>939.14</v>
      </c>
      <c r="AV137" s="198">
        <v>50.710224247716</v>
      </c>
      <c r="AW137" s="198">
        <v>0.3550063435519332</v>
      </c>
      <c r="AX137" s="198">
        <v>2689</v>
      </c>
      <c r="AY137" s="198">
        <v>15573</v>
      </c>
      <c r="AZ137" s="198">
        <v>0.17267064791626532</v>
      </c>
      <c r="BA137" s="198">
        <v>0.10898178922061315</v>
      </c>
      <c r="BB137" s="198">
        <v>0</v>
      </c>
      <c r="BC137" s="198">
        <v>16271</v>
      </c>
      <c r="BD137" s="198">
        <v>20535</v>
      </c>
      <c r="BE137" s="198">
        <v>0.792354516678841</v>
      </c>
      <c r="BF137" s="198">
        <v>0.3627156623824525</v>
      </c>
      <c r="BG137" s="198">
        <v>0</v>
      </c>
      <c r="BH137" s="198">
        <v>4</v>
      </c>
      <c r="BI137" s="198">
        <v>-4762.400000000001</v>
      </c>
      <c r="BJ137" s="198">
        <v>-11429.76</v>
      </c>
      <c r="BK137" s="198">
        <v>-195258.4</v>
      </c>
      <c r="BL137" s="198">
        <v>-17620.88</v>
      </c>
      <c r="BM137" s="198">
        <v>-253835.92</v>
      </c>
      <c r="BN137" s="198">
        <v>-5714.88</v>
      </c>
      <c r="BO137" s="198">
        <v>-48294</v>
      </c>
      <c r="BP137" s="198">
        <v>624884.9542209012</v>
      </c>
      <c r="BQ137" s="198">
        <v>3336584</v>
      </c>
      <c r="BR137" s="198">
        <v>1126591</v>
      </c>
      <c r="BS137" s="198">
        <v>2365028.4992995057</v>
      </c>
      <c r="BT137" s="198">
        <v>53694.91146672505</v>
      </c>
      <c r="BU137" s="198">
        <v>63083.83769646494</v>
      </c>
      <c r="BV137" s="198">
        <v>819845.1466709238</v>
      </c>
      <c r="BW137" s="198">
        <v>2239432.406694567</v>
      </c>
      <c r="BX137" s="198">
        <v>4286.16</v>
      </c>
      <c r="BY137" s="198">
        <v>201652.59755801904</v>
      </c>
      <c r="BZ137" s="198">
        <v>10786789.513607107</v>
      </c>
      <c r="CA137" s="198">
        <v>9885267.193607107</v>
      </c>
      <c r="CB137" s="198">
        <v>0</v>
      </c>
      <c r="CC137" s="232">
        <v>3620716.9851000286</v>
      </c>
      <c r="CD137" s="198">
        <v>-4043102</v>
      </c>
      <c r="CE137" s="198">
        <v>1752986.9350160004</v>
      </c>
      <c r="CH137" s="198">
        <v>47703</v>
      </c>
    </row>
    <row r="138" spans="1:86" ht="11.25">
      <c r="A138" s="198">
        <v>430</v>
      </c>
      <c r="B138" s="198" t="s">
        <v>214</v>
      </c>
      <c r="C138" s="198">
        <v>16607</v>
      </c>
      <c r="D138" s="198">
        <v>63190251.21</v>
      </c>
      <c r="E138" s="198">
        <v>23430450.131018374</v>
      </c>
      <c r="F138" s="198">
        <v>3074384.666794494</v>
      </c>
      <c r="G138" s="198">
        <v>89695086.00781287</v>
      </c>
      <c r="H138" s="198">
        <v>3642.26</v>
      </c>
      <c r="I138" s="198">
        <v>60487011.82</v>
      </c>
      <c r="J138" s="198">
        <v>29208074.187812872</v>
      </c>
      <c r="K138" s="198">
        <v>629689.1547917582</v>
      </c>
      <c r="L138" s="198">
        <v>4396294.86444808</v>
      </c>
      <c r="M138" s="198">
        <v>538749.3037571834</v>
      </c>
      <c r="N138" s="198">
        <v>34772807.51080989</v>
      </c>
      <c r="O138" s="198">
        <v>10358771.165853664</v>
      </c>
      <c r="P138" s="198">
        <v>45131578.676663555</v>
      </c>
      <c r="Q138" s="198">
        <v>912</v>
      </c>
      <c r="R138" s="198">
        <v>165</v>
      </c>
      <c r="S138" s="198">
        <v>976</v>
      </c>
      <c r="T138" s="198">
        <v>550</v>
      </c>
      <c r="U138" s="198">
        <v>567</v>
      </c>
      <c r="V138" s="198">
        <v>8983</v>
      </c>
      <c r="W138" s="198">
        <v>2334</v>
      </c>
      <c r="X138" s="198">
        <v>1397</v>
      </c>
      <c r="Y138" s="198">
        <v>723</v>
      </c>
      <c r="Z138" s="198">
        <v>16169</v>
      </c>
      <c r="AA138" s="198">
        <v>33</v>
      </c>
      <c r="AB138" s="198">
        <v>0</v>
      </c>
      <c r="AC138" s="198">
        <v>405</v>
      </c>
      <c r="AD138" s="198">
        <v>848.1</v>
      </c>
      <c r="AE138" s="198">
        <v>19.58141728569744</v>
      </c>
      <c r="AF138" s="198">
        <v>4454</v>
      </c>
      <c r="AG138" s="198">
        <v>23430450.131018374</v>
      </c>
      <c r="AH138" s="198">
        <v>13748976.241788972</v>
      </c>
      <c r="AI138" s="198">
        <v>6728633.971934488</v>
      </c>
      <c r="AJ138" s="198">
        <v>2952839.917294915</v>
      </c>
      <c r="AK138" s="198">
        <v>740</v>
      </c>
      <c r="AL138" s="198">
        <v>7533</v>
      </c>
      <c r="AM138" s="198">
        <v>0.7880287162869068</v>
      </c>
      <c r="AN138" s="198">
        <v>405</v>
      </c>
      <c r="AO138" s="198">
        <v>0.024387306557475764</v>
      </c>
      <c r="AP138" s="198">
        <v>0.02266376295182254</v>
      </c>
      <c r="AQ138" s="198">
        <v>0</v>
      </c>
      <c r="AR138" s="198">
        <v>33</v>
      </c>
      <c r="AS138" s="198">
        <v>0</v>
      </c>
      <c r="AT138" s="198">
        <v>0</v>
      </c>
      <c r="AU138" s="198">
        <v>848.1</v>
      </c>
      <c r="AV138" s="198">
        <v>19.58141728569744</v>
      </c>
      <c r="AW138" s="198">
        <v>0.9193640597215351</v>
      </c>
      <c r="AX138" s="198">
        <v>667</v>
      </c>
      <c r="AY138" s="198">
        <v>4677</v>
      </c>
      <c r="AZ138" s="198">
        <v>0.1426127859739149</v>
      </c>
      <c r="BA138" s="198">
        <v>0.07892392727826274</v>
      </c>
      <c r="BB138" s="198">
        <v>0</v>
      </c>
      <c r="BC138" s="198">
        <v>6825</v>
      </c>
      <c r="BD138" s="198">
        <v>6627</v>
      </c>
      <c r="BE138" s="198">
        <v>1.0298777727478496</v>
      </c>
      <c r="BF138" s="198">
        <v>0.6002389184514612</v>
      </c>
      <c r="BG138" s="198">
        <v>0</v>
      </c>
      <c r="BH138" s="198">
        <v>0</v>
      </c>
      <c r="BI138" s="198">
        <v>-1660.7</v>
      </c>
      <c r="BJ138" s="198">
        <v>-3985.68</v>
      </c>
      <c r="BK138" s="198">
        <v>-68088.7</v>
      </c>
      <c r="BL138" s="198">
        <v>-6144.59</v>
      </c>
      <c r="BM138" s="198">
        <v>-88515.31</v>
      </c>
      <c r="BN138" s="198">
        <v>-1992.84</v>
      </c>
      <c r="BO138" s="198">
        <v>-167155</v>
      </c>
      <c r="BP138" s="198">
        <v>60458.416094228625</v>
      </c>
      <c r="BQ138" s="198">
        <v>1444612</v>
      </c>
      <c r="BR138" s="198">
        <v>489811</v>
      </c>
      <c r="BS138" s="198">
        <v>1178579.4314645445</v>
      </c>
      <c r="BT138" s="198">
        <v>63543.66375985808</v>
      </c>
      <c r="BU138" s="198">
        <v>133455.7818774727</v>
      </c>
      <c r="BV138" s="198">
        <v>556060.4030972832</v>
      </c>
      <c r="BW138" s="198">
        <v>932431.9702136245</v>
      </c>
      <c r="BX138" s="198">
        <v>1494.6299999999999</v>
      </c>
      <c r="BY138" s="198">
        <v>17373.077941068477</v>
      </c>
      <c r="BZ138" s="198">
        <v>4710665.37444808</v>
      </c>
      <c r="CA138" s="198">
        <v>4396294.86444808</v>
      </c>
      <c r="CB138" s="198">
        <v>538749.3037571834</v>
      </c>
      <c r="CC138" s="232">
        <v>10358771.165853664</v>
      </c>
      <c r="CD138" s="198">
        <v>-1485620</v>
      </c>
      <c r="CE138" s="198">
        <v>556623.1739999999</v>
      </c>
      <c r="CH138" s="198">
        <v>16700</v>
      </c>
    </row>
    <row r="139" spans="1:86" ht="11.25">
      <c r="A139" s="198">
        <v>433</v>
      </c>
      <c r="B139" s="198" t="s">
        <v>215</v>
      </c>
      <c r="C139" s="198">
        <v>8291</v>
      </c>
      <c r="D139" s="198">
        <v>30824085.07</v>
      </c>
      <c r="E139" s="198">
        <v>8372617.12870609</v>
      </c>
      <c r="F139" s="198">
        <v>1478337.7893076467</v>
      </c>
      <c r="G139" s="198">
        <v>40675039.98801374</v>
      </c>
      <c r="H139" s="198">
        <v>3642.26</v>
      </c>
      <c r="I139" s="198">
        <v>30197977.66</v>
      </c>
      <c r="J139" s="198">
        <v>10477062.328013737</v>
      </c>
      <c r="K139" s="198">
        <v>100707.52900643411</v>
      </c>
      <c r="L139" s="198">
        <v>2089918.9990255968</v>
      </c>
      <c r="M139" s="198">
        <v>0</v>
      </c>
      <c r="N139" s="198">
        <v>12667688.856045768</v>
      </c>
      <c r="O139" s="198">
        <v>4548754.118700001</v>
      </c>
      <c r="P139" s="198">
        <v>17216442.97474577</v>
      </c>
      <c r="Q139" s="198">
        <v>576</v>
      </c>
      <c r="R139" s="198">
        <v>102</v>
      </c>
      <c r="S139" s="198">
        <v>731</v>
      </c>
      <c r="T139" s="198">
        <v>329</v>
      </c>
      <c r="U139" s="198">
        <v>290</v>
      </c>
      <c r="V139" s="198">
        <v>4503</v>
      </c>
      <c r="W139" s="198">
        <v>1020</v>
      </c>
      <c r="X139" s="198">
        <v>548</v>
      </c>
      <c r="Y139" s="198">
        <v>192</v>
      </c>
      <c r="Z139" s="198">
        <v>8119</v>
      </c>
      <c r="AA139" s="198">
        <v>41</v>
      </c>
      <c r="AB139" s="198">
        <v>0</v>
      </c>
      <c r="AC139" s="198">
        <v>131</v>
      </c>
      <c r="AD139" s="198">
        <v>597.6</v>
      </c>
      <c r="AE139" s="198">
        <v>13.873828647925032</v>
      </c>
      <c r="AF139" s="198">
        <v>1760</v>
      </c>
      <c r="AG139" s="198">
        <v>8372617.12870609</v>
      </c>
      <c r="AH139" s="198">
        <v>5333918.32655753</v>
      </c>
      <c r="AI139" s="198">
        <v>2074683.4173846324</v>
      </c>
      <c r="AJ139" s="198">
        <v>964015.384763928</v>
      </c>
      <c r="AK139" s="198">
        <v>319</v>
      </c>
      <c r="AL139" s="198">
        <v>3848</v>
      </c>
      <c r="AM139" s="198">
        <v>0.6650187819621203</v>
      </c>
      <c r="AN139" s="198">
        <v>131</v>
      </c>
      <c r="AO139" s="198">
        <v>0.015800265347967676</v>
      </c>
      <c r="AP139" s="198">
        <v>0.014076721742314453</v>
      </c>
      <c r="AQ139" s="198">
        <v>0</v>
      </c>
      <c r="AR139" s="198">
        <v>41</v>
      </c>
      <c r="AS139" s="198">
        <v>0</v>
      </c>
      <c r="AT139" s="198">
        <v>0</v>
      </c>
      <c r="AU139" s="198">
        <v>597.6</v>
      </c>
      <c r="AV139" s="198">
        <v>13.873828647925032</v>
      </c>
      <c r="AW139" s="198">
        <v>1.2975835112085434</v>
      </c>
      <c r="AX139" s="198">
        <v>424</v>
      </c>
      <c r="AY139" s="198">
        <v>2696</v>
      </c>
      <c r="AZ139" s="198">
        <v>0.1572700296735905</v>
      </c>
      <c r="BA139" s="198">
        <v>0.09358117097793832</v>
      </c>
      <c r="BB139" s="198">
        <v>0</v>
      </c>
      <c r="BC139" s="198">
        <v>2173</v>
      </c>
      <c r="BD139" s="198">
        <v>3494</v>
      </c>
      <c r="BE139" s="198">
        <v>0.6219232970807098</v>
      </c>
      <c r="BF139" s="198">
        <v>0.19228444278432127</v>
      </c>
      <c r="BG139" s="198">
        <v>0</v>
      </c>
      <c r="BH139" s="198">
        <v>0</v>
      </c>
      <c r="BI139" s="198">
        <v>-829.1</v>
      </c>
      <c r="BJ139" s="198">
        <v>-1989.84</v>
      </c>
      <c r="BK139" s="198">
        <v>-33993.1</v>
      </c>
      <c r="BL139" s="198">
        <v>-3067.67</v>
      </c>
      <c r="BM139" s="198">
        <v>-44191.03</v>
      </c>
      <c r="BN139" s="198">
        <v>-994.92</v>
      </c>
      <c r="BO139" s="198">
        <v>-59608</v>
      </c>
      <c r="BP139" s="198">
        <v>177263.44181268103</v>
      </c>
      <c r="BQ139" s="198">
        <v>727932</v>
      </c>
      <c r="BR139" s="198">
        <v>226573</v>
      </c>
      <c r="BS139" s="198">
        <v>508996.28072444606</v>
      </c>
      <c r="BT139" s="198">
        <v>13819.042114133674</v>
      </c>
      <c r="BU139" s="198">
        <v>58262.31202182018</v>
      </c>
      <c r="BV139" s="198">
        <v>171978.04434284213</v>
      </c>
      <c r="BW139" s="198">
        <v>425544.09042266343</v>
      </c>
      <c r="BX139" s="198">
        <v>746.1899999999999</v>
      </c>
      <c r="BY139" s="198">
        <v>-4638.772412989594</v>
      </c>
      <c r="BZ139" s="198">
        <v>2246867.6290255967</v>
      </c>
      <c r="CA139" s="198">
        <v>2089918.9990255968</v>
      </c>
      <c r="CB139" s="198">
        <v>0</v>
      </c>
      <c r="CC139" s="232">
        <v>4548754.118700001</v>
      </c>
      <c r="CD139" s="198">
        <v>-1402083</v>
      </c>
      <c r="CE139" s="198">
        <v>-83082.54624000003</v>
      </c>
      <c r="CH139" s="198">
        <v>8341</v>
      </c>
    </row>
    <row r="140" spans="1:86" ht="11.25">
      <c r="A140" s="198">
        <v>434</v>
      </c>
      <c r="B140" s="198" t="s">
        <v>216</v>
      </c>
      <c r="C140" s="198">
        <v>15480</v>
      </c>
      <c r="D140" s="198">
        <v>55823736.980000004</v>
      </c>
      <c r="E140" s="198">
        <v>18747992.789743043</v>
      </c>
      <c r="F140" s="198">
        <v>5686645.909479838</v>
      </c>
      <c r="G140" s="198">
        <v>80258375.6792229</v>
      </c>
      <c r="H140" s="198">
        <v>3642.26</v>
      </c>
      <c r="I140" s="198">
        <v>56382184.800000004</v>
      </c>
      <c r="J140" s="198">
        <v>23876190.879222892</v>
      </c>
      <c r="K140" s="198">
        <v>413506.18490228005</v>
      </c>
      <c r="L140" s="198">
        <v>3851322.0902651534</v>
      </c>
      <c r="M140" s="198">
        <v>312983.6668476314</v>
      </c>
      <c r="N140" s="198">
        <v>28454002.82123796</v>
      </c>
      <c r="O140" s="198">
        <v>-796482.9846544042</v>
      </c>
      <c r="P140" s="198">
        <v>27657519.836583555</v>
      </c>
      <c r="Q140" s="198">
        <v>890</v>
      </c>
      <c r="R140" s="198">
        <v>148</v>
      </c>
      <c r="S140" s="198">
        <v>964</v>
      </c>
      <c r="T140" s="198">
        <v>499</v>
      </c>
      <c r="U140" s="198">
        <v>492</v>
      </c>
      <c r="V140" s="198">
        <v>8639</v>
      </c>
      <c r="W140" s="198">
        <v>2156</v>
      </c>
      <c r="X140" s="198">
        <v>1164</v>
      </c>
      <c r="Y140" s="198">
        <v>528</v>
      </c>
      <c r="Z140" s="198">
        <v>8480</v>
      </c>
      <c r="AA140" s="198">
        <v>6458</v>
      </c>
      <c r="AB140" s="198">
        <v>0</v>
      </c>
      <c r="AC140" s="198">
        <v>542</v>
      </c>
      <c r="AD140" s="198">
        <v>819.78</v>
      </c>
      <c r="AE140" s="198">
        <v>18.88311498206836</v>
      </c>
      <c r="AF140" s="198">
        <v>3848</v>
      </c>
      <c r="AG140" s="198">
        <v>18747992.789743043</v>
      </c>
      <c r="AH140" s="198">
        <v>10938258.027686061</v>
      </c>
      <c r="AI140" s="198">
        <v>5534311.061082668</v>
      </c>
      <c r="AJ140" s="198">
        <v>2275423.7009743163</v>
      </c>
      <c r="AK140" s="198">
        <v>825</v>
      </c>
      <c r="AL140" s="198">
        <v>7272</v>
      </c>
      <c r="AM140" s="198">
        <v>0.9100774841350285</v>
      </c>
      <c r="AN140" s="198">
        <v>542</v>
      </c>
      <c r="AO140" s="198">
        <v>0.03501291989664083</v>
      </c>
      <c r="AP140" s="198">
        <v>0.033289376290987605</v>
      </c>
      <c r="AQ140" s="198">
        <v>1</v>
      </c>
      <c r="AR140" s="198">
        <v>6458</v>
      </c>
      <c r="AS140" s="198">
        <v>0</v>
      </c>
      <c r="AT140" s="198">
        <v>1</v>
      </c>
      <c r="AU140" s="198">
        <v>819.78</v>
      </c>
      <c r="AV140" s="198">
        <v>18.88311498206836</v>
      </c>
      <c r="AW140" s="198">
        <v>0.9533623720437858</v>
      </c>
      <c r="AX140" s="198">
        <v>917</v>
      </c>
      <c r="AY140" s="198">
        <v>4741</v>
      </c>
      <c r="AZ140" s="198">
        <v>0.19341910989242775</v>
      </c>
      <c r="BA140" s="198">
        <v>0.12973025119677556</v>
      </c>
      <c r="BB140" s="198">
        <v>0</v>
      </c>
      <c r="BC140" s="198">
        <v>5485</v>
      </c>
      <c r="BD140" s="198">
        <v>6434</v>
      </c>
      <c r="BE140" s="198">
        <v>0.8525023313646254</v>
      </c>
      <c r="BF140" s="198">
        <v>0.42286347706823685</v>
      </c>
      <c r="BG140" s="198">
        <v>0</v>
      </c>
      <c r="BH140" s="198">
        <v>0</v>
      </c>
      <c r="BI140" s="198">
        <v>-1548</v>
      </c>
      <c r="BJ140" s="198">
        <v>-3715.2</v>
      </c>
      <c r="BK140" s="198">
        <v>-63467.99999999999</v>
      </c>
      <c r="BL140" s="198">
        <v>-5727.6</v>
      </c>
      <c r="BM140" s="198">
        <v>-82508.4</v>
      </c>
      <c r="BN140" s="198">
        <v>-1857.6</v>
      </c>
      <c r="BO140" s="198">
        <v>195042</v>
      </c>
      <c r="BP140" s="198">
        <v>298338.15703547</v>
      </c>
      <c r="BQ140" s="198">
        <v>1210696</v>
      </c>
      <c r="BR140" s="198">
        <v>410614</v>
      </c>
      <c r="BS140" s="198">
        <v>925084.892934011</v>
      </c>
      <c r="BT140" s="198">
        <v>34547.96240556766</v>
      </c>
      <c r="BU140" s="198">
        <v>125012.20418803902</v>
      </c>
      <c r="BV140" s="198">
        <v>361109.1862352993</v>
      </c>
      <c r="BW140" s="198">
        <v>777628.8949409011</v>
      </c>
      <c r="BX140" s="198">
        <v>1393.2</v>
      </c>
      <c r="BY140" s="198">
        <v>-195108.0074741348</v>
      </c>
      <c r="BZ140" s="198">
        <v>4144358.4902651533</v>
      </c>
      <c r="CA140" s="198">
        <v>3851322.0902651534</v>
      </c>
      <c r="CB140" s="198">
        <v>312983.6668476314</v>
      </c>
      <c r="CC140" s="232">
        <v>-796482.9846544042</v>
      </c>
      <c r="CD140" s="198">
        <v>-1797375</v>
      </c>
      <c r="CE140" s="198">
        <v>171806.03873999993</v>
      </c>
      <c r="CH140" s="198">
        <v>15493</v>
      </c>
    </row>
    <row r="141" spans="1:86" ht="11.25">
      <c r="A141" s="198">
        <v>435</v>
      </c>
      <c r="B141" s="198" t="s">
        <v>217</v>
      </c>
      <c r="C141" s="198">
        <v>761</v>
      </c>
      <c r="D141" s="198">
        <v>3081789.71</v>
      </c>
      <c r="E141" s="198">
        <v>1317776.4767790344</v>
      </c>
      <c r="F141" s="198">
        <v>292383.26021092007</v>
      </c>
      <c r="G141" s="198">
        <v>4691949.446989954</v>
      </c>
      <c r="H141" s="198">
        <v>3642.26</v>
      </c>
      <c r="I141" s="198">
        <v>2771759.8600000003</v>
      </c>
      <c r="J141" s="198">
        <v>1920189.586989954</v>
      </c>
      <c r="K141" s="198">
        <v>81769.10575637069</v>
      </c>
      <c r="L141" s="198">
        <v>470653.8505043229</v>
      </c>
      <c r="M141" s="198">
        <v>293022.8310426264</v>
      </c>
      <c r="N141" s="198">
        <v>2765635.374293274</v>
      </c>
      <c r="O141" s="198">
        <v>557621.7434736842</v>
      </c>
      <c r="P141" s="198">
        <v>3323257.1177669577</v>
      </c>
      <c r="Q141" s="198">
        <v>39</v>
      </c>
      <c r="R141" s="198">
        <v>3</v>
      </c>
      <c r="S141" s="198">
        <v>29</v>
      </c>
      <c r="T141" s="198">
        <v>18</v>
      </c>
      <c r="U141" s="198">
        <v>16</v>
      </c>
      <c r="V141" s="198">
        <v>357</v>
      </c>
      <c r="W141" s="198">
        <v>139</v>
      </c>
      <c r="X141" s="198">
        <v>118</v>
      </c>
      <c r="Y141" s="198">
        <v>42</v>
      </c>
      <c r="Z141" s="198">
        <v>759</v>
      </c>
      <c r="AA141" s="198">
        <v>0</v>
      </c>
      <c r="AB141" s="198">
        <v>0</v>
      </c>
      <c r="AC141" s="198">
        <v>2</v>
      </c>
      <c r="AD141" s="198">
        <v>214.53</v>
      </c>
      <c r="AE141" s="198">
        <v>3.547289423390668</v>
      </c>
      <c r="AF141" s="198">
        <v>299</v>
      </c>
      <c r="AG141" s="198">
        <v>1317776.4767790344</v>
      </c>
      <c r="AH141" s="198">
        <v>742144.4985291272</v>
      </c>
      <c r="AI141" s="198">
        <v>427989.9823851615</v>
      </c>
      <c r="AJ141" s="198">
        <v>147641.99586474572</v>
      </c>
      <c r="AK141" s="198">
        <v>40</v>
      </c>
      <c r="AL141" s="198">
        <v>265</v>
      </c>
      <c r="AM141" s="198">
        <v>1.2108557511043894</v>
      </c>
      <c r="AN141" s="198">
        <v>2</v>
      </c>
      <c r="AO141" s="198">
        <v>0.002628120893561104</v>
      </c>
      <c r="AP141" s="198">
        <v>0.0009045772879078809</v>
      </c>
      <c r="AQ141" s="198">
        <v>0</v>
      </c>
      <c r="AR141" s="198">
        <v>0</v>
      </c>
      <c r="AS141" s="198">
        <v>0</v>
      </c>
      <c r="AT141" s="198">
        <v>1</v>
      </c>
      <c r="AU141" s="198">
        <v>214.53</v>
      </c>
      <c r="AV141" s="198">
        <v>3.547289423390668</v>
      </c>
      <c r="AW141" s="198">
        <v>5.0749880097668045</v>
      </c>
      <c r="AX141" s="198">
        <v>45</v>
      </c>
      <c r="AY141" s="198">
        <v>190</v>
      </c>
      <c r="AZ141" s="198">
        <v>0.23684210526315788</v>
      </c>
      <c r="BA141" s="198">
        <v>0.1731532465675057</v>
      </c>
      <c r="BB141" s="198">
        <v>0.4242</v>
      </c>
      <c r="BC141" s="198">
        <v>170</v>
      </c>
      <c r="BD141" s="198">
        <v>232</v>
      </c>
      <c r="BE141" s="198">
        <v>0.7327586206896551</v>
      </c>
      <c r="BF141" s="198">
        <v>0.3031197663932666</v>
      </c>
      <c r="BG141" s="198">
        <v>0</v>
      </c>
      <c r="BH141" s="198">
        <v>0</v>
      </c>
      <c r="BI141" s="198">
        <v>-76.10000000000001</v>
      </c>
      <c r="BJ141" s="198">
        <v>-182.64</v>
      </c>
      <c r="BK141" s="198">
        <v>-3120.1</v>
      </c>
      <c r="BL141" s="198">
        <v>-281.57</v>
      </c>
      <c r="BM141" s="198">
        <v>-4056.13</v>
      </c>
      <c r="BN141" s="198">
        <v>-91.32</v>
      </c>
      <c r="BO141" s="198">
        <v>-1935</v>
      </c>
      <c r="BP141" s="198">
        <v>215879.84020721586</v>
      </c>
      <c r="BQ141" s="198">
        <v>102847</v>
      </c>
      <c r="BR141" s="198">
        <v>28760</v>
      </c>
      <c r="BS141" s="198">
        <v>66423.33783439497</v>
      </c>
      <c r="BT141" s="198">
        <v>3815.7005838035793</v>
      </c>
      <c r="BU141" s="198">
        <v>10995.240063434358</v>
      </c>
      <c r="BV141" s="198">
        <v>27136.50793780879</v>
      </c>
      <c r="BW141" s="198">
        <v>35623.156934269624</v>
      </c>
      <c r="BX141" s="198">
        <v>68.49</v>
      </c>
      <c r="BY141" s="198">
        <v>-4554.693056604385</v>
      </c>
      <c r="BZ141" s="198">
        <v>485059.5805043229</v>
      </c>
      <c r="CA141" s="198">
        <v>470653.8505043229</v>
      </c>
      <c r="CB141" s="198">
        <v>293022.8310426264</v>
      </c>
      <c r="CC141" s="232">
        <v>557621.7434736842</v>
      </c>
      <c r="CD141" s="198">
        <v>-217486</v>
      </c>
      <c r="CE141" s="198">
        <v>-54541.599600000045</v>
      </c>
      <c r="CH141" s="198">
        <v>763</v>
      </c>
    </row>
    <row r="142" spans="1:86" ht="11.25">
      <c r="A142" s="198">
        <v>436</v>
      </c>
      <c r="B142" s="198" t="s">
        <v>218</v>
      </c>
      <c r="C142" s="198">
        <v>2074</v>
      </c>
      <c r="D142" s="198">
        <v>8953235.6</v>
      </c>
      <c r="E142" s="198">
        <v>2220833.935502761</v>
      </c>
      <c r="F142" s="198">
        <v>368793.618415879</v>
      </c>
      <c r="G142" s="198">
        <v>11542863.15391864</v>
      </c>
      <c r="H142" s="198">
        <v>3642.26</v>
      </c>
      <c r="I142" s="198">
        <v>7554047.24</v>
      </c>
      <c r="J142" s="198">
        <v>3988815.9139186405</v>
      </c>
      <c r="K142" s="198">
        <v>31642.66433542679</v>
      </c>
      <c r="L142" s="198">
        <v>477719.4256116154</v>
      </c>
      <c r="M142" s="198">
        <v>46228.5322532179</v>
      </c>
      <c r="N142" s="198">
        <v>4544406.5361189</v>
      </c>
      <c r="O142" s="198">
        <v>2116982.7119024387</v>
      </c>
      <c r="P142" s="198">
        <v>6661389.248021339</v>
      </c>
      <c r="Q142" s="198">
        <v>242</v>
      </c>
      <c r="R142" s="198">
        <v>42</v>
      </c>
      <c r="S142" s="198">
        <v>260</v>
      </c>
      <c r="T142" s="198">
        <v>93</v>
      </c>
      <c r="U142" s="198">
        <v>96</v>
      </c>
      <c r="V142" s="198">
        <v>1032</v>
      </c>
      <c r="W142" s="198">
        <v>158</v>
      </c>
      <c r="X142" s="198">
        <v>107</v>
      </c>
      <c r="Y142" s="198">
        <v>44</v>
      </c>
      <c r="Z142" s="198">
        <v>2062</v>
      </c>
      <c r="AA142" s="198">
        <v>1</v>
      </c>
      <c r="AB142" s="198">
        <v>0</v>
      </c>
      <c r="AC142" s="198">
        <v>11</v>
      </c>
      <c r="AD142" s="198">
        <v>213.19</v>
      </c>
      <c r="AE142" s="198">
        <v>9.728411276326282</v>
      </c>
      <c r="AF142" s="198">
        <v>309</v>
      </c>
      <c r="AG142" s="198">
        <v>2220833.935502761</v>
      </c>
      <c r="AH142" s="198">
        <v>1339894.9249426685</v>
      </c>
      <c r="AI142" s="198">
        <v>576970.1955444393</v>
      </c>
      <c r="AJ142" s="198">
        <v>303968.815015653</v>
      </c>
      <c r="AK142" s="198">
        <v>92</v>
      </c>
      <c r="AL142" s="198">
        <v>838</v>
      </c>
      <c r="AM142" s="198">
        <v>0.8806880433151854</v>
      </c>
      <c r="AN142" s="198">
        <v>11</v>
      </c>
      <c r="AO142" s="198">
        <v>0.005303760848601736</v>
      </c>
      <c r="AP142" s="198">
        <v>0.003580217242948513</v>
      </c>
      <c r="AQ142" s="198">
        <v>0</v>
      </c>
      <c r="AR142" s="198">
        <v>1</v>
      </c>
      <c r="AS142" s="198">
        <v>0</v>
      </c>
      <c r="AT142" s="198">
        <v>0</v>
      </c>
      <c r="AU142" s="198">
        <v>213.19</v>
      </c>
      <c r="AV142" s="198">
        <v>9.728411276326282</v>
      </c>
      <c r="AW142" s="198">
        <v>1.8505026956136734</v>
      </c>
      <c r="AX142" s="198">
        <v>61</v>
      </c>
      <c r="AY142" s="198">
        <v>569</v>
      </c>
      <c r="AZ142" s="198">
        <v>0.10720562390158173</v>
      </c>
      <c r="BA142" s="198">
        <v>0.04351676520592955</v>
      </c>
      <c r="BB142" s="198">
        <v>0</v>
      </c>
      <c r="BC142" s="198">
        <v>498</v>
      </c>
      <c r="BD142" s="198">
        <v>742</v>
      </c>
      <c r="BE142" s="198">
        <v>0.6711590296495957</v>
      </c>
      <c r="BF142" s="198">
        <v>0.2415201753532072</v>
      </c>
      <c r="BG142" s="198">
        <v>0</v>
      </c>
      <c r="BH142" s="198">
        <v>0</v>
      </c>
      <c r="BI142" s="198">
        <v>-207.4</v>
      </c>
      <c r="BJ142" s="198">
        <v>-497.76</v>
      </c>
      <c r="BK142" s="198">
        <v>-8503.4</v>
      </c>
      <c r="BL142" s="198">
        <v>-767.38</v>
      </c>
      <c r="BM142" s="198">
        <v>-11054.42</v>
      </c>
      <c r="BN142" s="198">
        <v>-248.88</v>
      </c>
      <c r="BO142" s="198">
        <v>27057</v>
      </c>
      <c r="BP142" s="198">
        <v>-8187.144025707617</v>
      </c>
      <c r="BQ142" s="198">
        <v>152295</v>
      </c>
      <c r="BR142" s="198">
        <v>45371</v>
      </c>
      <c r="BS142" s="198">
        <v>119780.92998940397</v>
      </c>
      <c r="BT142" s="198">
        <v>4609.6513827783165</v>
      </c>
      <c r="BU142" s="198">
        <v>6310.905657128428</v>
      </c>
      <c r="BV142" s="198">
        <v>59475.10213118984</v>
      </c>
      <c r="BW142" s="198">
        <v>95043.1834350875</v>
      </c>
      <c r="BX142" s="198">
        <v>186.66</v>
      </c>
      <c r="BY142" s="198">
        <v>15037.957041734993</v>
      </c>
      <c r="BZ142" s="198">
        <v>516980.2456116154</v>
      </c>
      <c r="CA142" s="198">
        <v>477719.4256116154</v>
      </c>
      <c r="CB142" s="198">
        <v>46228.5322532179</v>
      </c>
      <c r="CC142" s="232">
        <v>2116982.7119024387</v>
      </c>
      <c r="CD142" s="198">
        <v>-513049</v>
      </c>
      <c r="CE142" s="198">
        <v>3025.9380600000004</v>
      </c>
      <c r="CH142" s="198">
        <v>2084</v>
      </c>
    </row>
    <row r="143" spans="1:86" ht="11.25">
      <c r="A143" s="198">
        <v>440</v>
      </c>
      <c r="B143" s="198" t="s">
        <v>219</v>
      </c>
      <c r="C143" s="198">
        <v>5107</v>
      </c>
      <c r="D143" s="198">
        <v>21788851.23</v>
      </c>
      <c r="E143" s="198">
        <v>3904265.9856149373</v>
      </c>
      <c r="F143" s="198">
        <v>1807904.6895628588</v>
      </c>
      <c r="G143" s="198">
        <v>27501021.905177794</v>
      </c>
      <c r="H143" s="198">
        <v>3642.26</v>
      </c>
      <c r="I143" s="198">
        <v>18601021.82</v>
      </c>
      <c r="J143" s="198">
        <v>8900000.085177794</v>
      </c>
      <c r="K143" s="198">
        <v>4589.63587284302</v>
      </c>
      <c r="L143" s="198">
        <v>1006337.3081903197</v>
      </c>
      <c r="M143" s="198">
        <v>1016255.4820087496</v>
      </c>
      <c r="N143" s="198">
        <v>10927182.511249706</v>
      </c>
      <c r="O143" s="198">
        <v>3965393.247179487</v>
      </c>
      <c r="P143" s="198">
        <v>14892575.758429192</v>
      </c>
      <c r="Q143" s="198">
        <v>634</v>
      </c>
      <c r="R143" s="198">
        <v>109</v>
      </c>
      <c r="S143" s="198">
        <v>566</v>
      </c>
      <c r="T143" s="198">
        <v>261</v>
      </c>
      <c r="U143" s="198">
        <v>268</v>
      </c>
      <c r="V143" s="198">
        <v>2564</v>
      </c>
      <c r="W143" s="198">
        <v>399</v>
      </c>
      <c r="X143" s="198">
        <v>218</v>
      </c>
      <c r="Y143" s="198">
        <v>88</v>
      </c>
      <c r="Z143" s="198">
        <v>305</v>
      </c>
      <c r="AA143" s="198">
        <v>4713</v>
      </c>
      <c r="AB143" s="198">
        <v>0</v>
      </c>
      <c r="AC143" s="198">
        <v>89</v>
      </c>
      <c r="AD143" s="198">
        <v>142.34</v>
      </c>
      <c r="AE143" s="198">
        <v>35.8788815512154</v>
      </c>
      <c r="AF143" s="198">
        <v>705</v>
      </c>
      <c r="AG143" s="198">
        <v>3904265.9856149373</v>
      </c>
      <c r="AH143" s="198">
        <v>2239247.899596737</v>
      </c>
      <c r="AI143" s="198">
        <v>1100504.5724177016</v>
      </c>
      <c r="AJ143" s="198">
        <v>564513.5136004984</v>
      </c>
      <c r="AK143" s="198">
        <v>76</v>
      </c>
      <c r="AL143" s="198">
        <v>2160</v>
      </c>
      <c r="AM143" s="198">
        <v>0.2822527179078982</v>
      </c>
      <c r="AN143" s="198">
        <v>89</v>
      </c>
      <c r="AO143" s="198">
        <v>0.017427060896808302</v>
      </c>
      <c r="AP143" s="198">
        <v>0.01570351729115508</v>
      </c>
      <c r="AQ143" s="198">
        <v>3</v>
      </c>
      <c r="AR143" s="198">
        <v>4713</v>
      </c>
      <c r="AS143" s="198">
        <v>0</v>
      </c>
      <c r="AT143" s="198">
        <v>1</v>
      </c>
      <c r="AU143" s="198">
        <v>142.34</v>
      </c>
      <c r="AV143" s="198">
        <v>35.8788815512154</v>
      </c>
      <c r="AW143" s="198">
        <v>0.5017562006547667</v>
      </c>
      <c r="AX143" s="198">
        <v>147</v>
      </c>
      <c r="AY143" s="198">
        <v>1340</v>
      </c>
      <c r="AZ143" s="198">
        <v>0.10970149253731343</v>
      </c>
      <c r="BA143" s="198">
        <v>0.04601263384166125</v>
      </c>
      <c r="BB143" s="198">
        <v>0</v>
      </c>
      <c r="BC143" s="198">
        <v>937</v>
      </c>
      <c r="BD143" s="198">
        <v>2111</v>
      </c>
      <c r="BE143" s="198">
        <v>0.44386546660350545</v>
      </c>
      <c r="BF143" s="198">
        <v>0.014226612307116915</v>
      </c>
      <c r="BG143" s="198">
        <v>0</v>
      </c>
      <c r="BH143" s="198">
        <v>0</v>
      </c>
      <c r="BI143" s="198">
        <v>-510.70000000000005</v>
      </c>
      <c r="BJ143" s="198">
        <v>-1225.68</v>
      </c>
      <c r="BK143" s="198">
        <v>-20938.699999999997</v>
      </c>
      <c r="BL143" s="198">
        <v>-1889.59</v>
      </c>
      <c r="BM143" s="198">
        <v>-27220.31</v>
      </c>
      <c r="BN143" s="198">
        <v>-612.84</v>
      </c>
      <c r="BO143" s="198">
        <v>-43352</v>
      </c>
      <c r="BP143" s="198">
        <v>14361.762467931956</v>
      </c>
      <c r="BQ143" s="198">
        <v>333918</v>
      </c>
      <c r="BR143" s="198">
        <v>115068</v>
      </c>
      <c r="BS143" s="198">
        <v>264249.4247212743</v>
      </c>
      <c r="BT143" s="198">
        <v>8620.971730934089</v>
      </c>
      <c r="BU143" s="198">
        <v>32415.934720927144</v>
      </c>
      <c r="BV143" s="198">
        <v>138524.35282339575</v>
      </c>
      <c r="BW143" s="198">
        <v>246710.6743726903</v>
      </c>
      <c r="BX143" s="198">
        <v>459.63</v>
      </c>
      <c r="BY143" s="198">
        <v>-7963.932646833914</v>
      </c>
      <c r="BZ143" s="198">
        <v>1103012.8181903197</v>
      </c>
      <c r="CA143" s="198">
        <v>1006337.3081903197</v>
      </c>
      <c r="CB143" s="198">
        <v>1016255.4820087496</v>
      </c>
      <c r="CC143" s="232">
        <v>3965393.247179487</v>
      </c>
      <c r="CD143" s="198">
        <v>-1212779</v>
      </c>
      <c r="CE143" s="198">
        <v>-301410.82610000006</v>
      </c>
      <c r="CH143" s="198">
        <v>5065</v>
      </c>
    </row>
    <row r="144" spans="1:86" ht="11.25">
      <c r="A144" s="198">
        <v>441</v>
      </c>
      <c r="B144" s="198" t="s">
        <v>220</v>
      </c>
      <c r="C144" s="198">
        <v>4949</v>
      </c>
      <c r="D144" s="198">
        <v>18726577.18</v>
      </c>
      <c r="E144" s="198">
        <v>6564501.413517748</v>
      </c>
      <c r="F144" s="198">
        <v>1375974.6386989353</v>
      </c>
      <c r="G144" s="198">
        <v>26667053.232216682</v>
      </c>
      <c r="H144" s="198">
        <v>3642.26</v>
      </c>
      <c r="I144" s="198">
        <v>18025544.740000002</v>
      </c>
      <c r="J144" s="198">
        <v>8641508.49221668</v>
      </c>
      <c r="K144" s="198">
        <v>369924.6809693646</v>
      </c>
      <c r="L144" s="198">
        <v>1418093.706950075</v>
      </c>
      <c r="M144" s="198">
        <v>0</v>
      </c>
      <c r="N144" s="198">
        <v>10429526.880136121</v>
      </c>
      <c r="O144" s="198">
        <v>2273653.1392631587</v>
      </c>
      <c r="P144" s="198">
        <v>12703180.01939928</v>
      </c>
      <c r="Q144" s="198">
        <v>245</v>
      </c>
      <c r="R144" s="198">
        <v>51</v>
      </c>
      <c r="S144" s="198">
        <v>258</v>
      </c>
      <c r="T144" s="198">
        <v>172</v>
      </c>
      <c r="U144" s="198">
        <v>149</v>
      </c>
      <c r="V144" s="198">
        <v>2624</v>
      </c>
      <c r="W144" s="198">
        <v>742</v>
      </c>
      <c r="X144" s="198">
        <v>504</v>
      </c>
      <c r="Y144" s="198">
        <v>204</v>
      </c>
      <c r="Z144" s="198">
        <v>4789</v>
      </c>
      <c r="AA144" s="198">
        <v>17</v>
      </c>
      <c r="AB144" s="198">
        <v>0</v>
      </c>
      <c r="AC144" s="198">
        <v>143</v>
      </c>
      <c r="AD144" s="198">
        <v>750.08</v>
      </c>
      <c r="AE144" s="198">
        <v>6.597962883959044</v>
      </c>
      <c r="AF144" s="198">
        <v>1450</v>
      </c>
      <c r="AG144" s="198">
        <v>6564501.413517748</v>
      </c>
      <c r="AH144" s="198">
        <v>3866400.4046322308</v>
      </c>
      <c r="AI144" s="198">
        <v>2098848.202140373</v>
      </c>
      <c r="AJ144" s="198">
        <v>599252.8067451444</v>
      </c>
      <c r="AK144" s="198">
        <v>251</v>
      </c>
      <c r="AL144" s="198">
        <v>2172</v>
      </c>
      <c r="AM144" s="198">
        <v>0.927026591674821</v>
      </c>
      <c r="AN144" s="198">
        <v>143</v>
      </c>
      <c r="AO144" s="198">
        <v>0.02889472620731461</v>
      </c>
      <c r="AP144" s="198">
        <v>0.027171182601661386</v>
      </c>
      <c r="AQ144" s="198">
        <v>0</v>
      </c>
      <c r="AR144" s="198">
        <v>17</v>
      </c>
      <c r="AS144" s="198">
        <v>0</v>
      </c>
      <c r="AT144" s="198">
        <v>0</v>
      </c>
      <c r="AU144" s="198">
        <v>750.08</v>
      </c>
      <c r="AV144" s="198">
        <v>6.597962883959044</v>
      </c>
      <c r="AW144" s="198">
        <v>2.728486293041716</v>
      </c>
      <c r="AX144" s="198">
        <v>197</v>
      </c>
      <c r="AY144" s="198">
        <v>1374</v>
      </c>
      <c r="AZ144" s="198">
        <v>0.1433770014556041</v>
      </c>
      <c r="BA144" s="198">
        <v>0.07968814275995191</v>
      </c>
      <c r="BB144" s="198">
        <v>0.2542</v>
      </c>
      <c r="BC144" s="198">
        <v>1473</v>
      </c>
      <c r="BD144" s="198">
        <v>1900</v>
      </c>
      <c r="BE144" s="198">
        <v>0.7752631578947369</v>
      </c>
      <c r="BF144" s="198">
        <v>0.34562430359834834</v>
      </c>
      <c r="BG144" s="198">
        <v>0</v>
      </c>
      <c r="BH144" s="198">
        <v>0</v>
      </c>
      <c r="BI144" s="198">
        <v>-494.90000000000003</v>
      </c>
      <c r="BJ144" s="198">
        <v>-1187.76</v>
      </c>
      <c r="BK144" s="198">
        <v>-20290.899999999998</v>
      </c>
      <c r="BL144" s="198">
        <v>-1831.1299999999999</v>
      </c>
      <c r="BM144" s="198">
        <v>-26378.170000000002</v>
      </c>
      <c r="BN144" s="198">
        <v>-593.88</v>
      </c>
      <c r="BO144" s="198">
        <v>97180</v>
      </c>
      <c r="BP144" s="198">
        <v>-3537.7496837247163</v>
      </c>
      <c r="BQ144" s="198">
        <v>440971</v>
      </c>
      <c r="BR144" s="198">
        <v>142817</v>
      </c>
      <c r="BS144" s="198">
        <v>344336.52454953437</v>
      </c>
      <c r="BT144" s="198">
        <v>17832.943227524513</v>
      </c>
      <c r="BU144" s="198">
        <v>59729.45641819508</v>
      </c>
      <c r="BV144" s="198">
        <v>158241.6708336102</v>
      </c>
      <c r="BW144" s="198">
        <v>255371.74254118415</v>
      </c>
      <c r="BX144" s="198">
        <v>445.40999999999997</v>
      </c>
      <c r="BY144" s="198">
        <v>-1609.7209362484864</v>
      </c>
      <c r="BZ144" s="198">
        <v>1511778.276950075</v>
      </c>
      <c r="CA144" s="198">
        <v>1418093.706950075</v>
      </c>
      <c r="CB144" s="198">
        <v>0</v>
      </c>
      <c r="CC144" s="232">
        <v>2273653.1392631587</v>
      </c>
      <c r="CD144" s="198">
        <v>-774252</v>
      </c>
      <c r="CE144" s="198">
        <v>-29288.09184</v>
      </c>
      <c r="CH144" s="198">
        <v>4992</v>
      </c>
    </row>
    <row r="145" spans="1:86" ht="11.25">
      <c r="A145" s="198">
        <v>442</v>
      </c>
      <c r="B145" s="198" t="s">
        <v>221</v>
      </c>
      <c r="C145" s="198">
        <v>3340</v>
      </c>
      <c r="D145" s="198">
        <v>12299901.08</v>
      </c>
      <c r="E145" s="198">
        <v>2905302.88958793</v>
      </c>
      <c r="F145" s="198">
        <v>563379.5809119539</v>
      </c>
      <c r="G145" s="198">
        <v>15768583.550499883</v>
      </c>
      <c r="H145" s="198">
        <v>3642.26</v>
      </c>
      <c r="I145" s="198">
        <v>12165148.4</v>
      </c>
      <c r="J145" s="198">
        <v>3603435.150499882</v>
      </c>
      <c r="K145" s="198">
        <v>24421.768537193948</v>
      </c>
      <c r="L145" s="198">
        <v>783243.7828927034</v>
      </c>
      <c r="M145" s="198">
        <v>253385.00631870978</v>
      </c>
      <c r="N145" s="198">
        <v>4664485.70824849</v>
      </c>
      <c r="O145" s="198">
        <v>1174956.0384390254</v>
      </c>
      <c r="P145" s="198">
        <v>5839441.746687515</v>
      </c>
      <c r="Q145" s="198">
        <v>233</v>
      </c>
      <c r="R145" s="198">
        <v>45</v>
      </c>
      <c r="S145" s="198">
        <v>270</v>
      </c>
      <c r="T145" s="198">
        <v>126</v>
      </c>
      <c r="U145" s="198">
        <v>99</v>
      </c>
      <c r="V145" s="198">
        <v>1785</v>
      </c>
      <c r="W145" s="198">
        <v>491</v>
      </c>
      <c r="X145" s="198">
        <v>208</v>
      </c>
      <c r="Y145" s="198">
        <v>83</v>
      </c>
      <c r="Z145" s="198">
        <v>3272</v>
      </c>
      <c r="AA145" s="198">
        <v>19</v>
      </c>
      <c r="AB145" s="198">
        <v>0</v>
      </c>
      <c r="AC145" s="198">
        <v>49</v>
      </c>
      <c r="AD145" s="198">
        <v>169.07</v>
      </c>
      <c r="AE145" s="198">
        <v>19.75513101082392</v>
      </c>
      <c r="AF145" s="198">
        <v>782</v>
      </c>
      <c r="AG145" s="198">
        <v>2905302.88958793</v>
      </c>
      <c r="AH145" s="198">
        <v>1823976.5401880876</v>
      </c>
      <c r="AI145" s="198">
        <v>733933.4179533817</v>
      </c>
      <c r="AJ145" s="198">
        <v>347392.93144646054</v>
      </c>
      <c r="AK145" s="198">
        <v>170</v>
      </c>
      <c r="AL145" s="198">
        <v>1546</v>
      </c>
      <c r="AM145" s="198">
        <v>0.8820997992764026</v>
      </c>
      <c r="AN145" s="198">
        <v>49</v>
      </c>
      <c r="AO145" s="198">
        <v>0.014670658682634731</v>
      </c>
      <c r="AP145" s="198">
        <v>0.012947115076981508</v>
      </c>
      <c r="AQ145" s="198">
        <v>0</v>
      </c>
      <c r="AR145" s="198">
        <v>19</v>
      </c>
      <c r="AS145" s="198">
        <v>0</v>
      </c>
      <c r="AT145" s="198">
        <v>0</v>
      </c>
      <c r="AU145" s="198">
        <v>169.07</v>
      </c>
      <c r="AV145" s="198">
        <v>19.75513101082392</v>
      </c>
      <c r="AW145" s="198">
        <v>0.9112797723799767</v>
      </c>
      <c r="AX145" s="198">
        <v>134</v>
      </c>
      <c r="AY145" s="198">
        <v>1036</v>
      </c>
      <c r="AZ145" s="198">
        <v>0.12934362934362933</v>
      </c>
      <c r="BA145" s="198">
        <v>0.06565477064797716</v>
      </c>
      <c r="BB145" s="198">
        <v>0</v>
      </c>
      <c r="BC145" s="198">
        <v>751</v>
      </c>
      <c r="BD145" s="198">
        <v>1377</v>
      </c>
      <c r="BE145" s="198">
        <v>0.5453885257806826</v>
      </c>
      <c r="BF145" s="198">
        <v>0.1157496714842941</v>
      </c>
      <c r="BG145" s="198">
        <v>0</v>
      </c>
      <c r="BH145" s="198">
        <v>0</v>
      </c>
      <c r="BI145" s="198">
        <v>-334</v>
      </c>
      <c r="BJ145" s="198">
        <v>-801.6</v>
      </c>
      <c r="BK145" s="198">
        <v>-13693.999999999998</v>
      </c>
      <c r="BL145" s="198">
        <v>-1235.8</v>
      </c>
      <c r="BM145" s="198">
        <v>-17802.2</v>
      </c>
      <c r="BN145" s="198">
        <v>-400.8</v>
      </c>
      <c r="BO145" s="198">
        <v>46721</v>
      </c>
      <c r="BP145" s="198">
        <v>13104.828108857386</v>
      </c>
      <c r="BQ145" s="198">
        <v>250131</v>
      </c>
      <c r="BR145" s="198">
        <v>79133</v>
      </c>
      <c r="BS145" s="198">
        <v>185594.1462957927</v>
      </c>
      <c r="BT145" s="198">
        <v>6354.026644334453</v>
      </c>
      <c r="BU145" s="198">
        <v>5582.01697803467</v>
      </c>
      <c r="BV145" s="198">
        <v>82615.9893164782</v>
      </c>
      <c r="BW145" s="198">
        <v>168394.73084141948</v>
      </c>
      <c r="BX145" s="198">
        <v>300.59999999999997</v>
      </c>
      <c r="BY145" s="198">
        <v>8538.644707786643</v>
      </c>
      <c r="BZ145" s="198">
        <v>846469.9828927034</v>
      </c>
      <c r="CA145" s="198">
        <v>783243.7828927034</v>
      </c>
      <c r="CB145" s="198">
        <v>253385.00631870978</v>
      </c>
      <c r="CC145" s="232">
        <v>1174956.0384390254</v>
      </c>
      <c r="CD145" s="198">
        <v>-880281</v>
      </c>
      <c r="CE145" s="198">
        <v>-23447.906860000017</v>
      </c>
      <c r="CH145" s="198">
        <v>3355</v>
      </c>
    </row>
    <row r="146" spans="1:86" ht="11.25">
      <c r="A146" s="198">
        <v>475</v>
      </c>
      <c r="B146" s="198" t="s">
        <v>222</v>
      </c>
      <c r="C146" s="198">
        <v>5573</v>
      </c>
      <c r="D146" s="198">
        <v>21592325.099999998</v>
      </c>
      <c r="E146" s="198">
        <v>6366400.450756979</v>
      </c>
      <c r="F146" s="198">
        <v>4719405.730865151</v>
      </c>
      <c r="G146" s="198">
        <v>32678131.281622127</v>
      </c>
      <c r="H146" s="198">
        <v>3642.26</v>
      </c>
      <c r="I146" s="198">
        <v>20298314.98</v>
      </c>
      <c r="J146" s="198">
        <v>12379816.301622126</v>
      </c>
      <c r="K146" s="198">
        <v>98960.80387456213</v>
      </c>
      <c r="L146" s="198">
        <v>1615803.3142063622</v>
      </c>
      <c r="M146" s="198">
        <v>0</v>
      </c>
      <c r="N146" s="198">
        <v>14094580.41970305</v>
      </c>
      <c r="O146" s="198">
        <v>2991409.95352381</v>
      </c>
      <c r="P146" s="198">
        <v>17085990.37322686</v>
      </c>
      <c r="Q146" s="198">
        <v>363</v>
      </c>
      <c r="R146" s="198">
        <v>64</v>
      </c>
      <c r="S146" s="198">
        <v>299</v>
      </c>
      <c r="T146" s="198">
        <v>177</v>
      </c>
      <c r="U146" s="198">
        <v>179</v>
      </c>
      <c r="V146" s="198">
        <v>3032</v>
      </c>
      <c r="W146" s="198">
        <v>742</v>
      </c>
      <c r="X146" s="198">
        <v>459</v>
      </c>
      <c r="Y146" s="198">
        <v>258</v>
      </c>
      <c r="Z146" s="198">
        <v>548</v>
      </c>
      <c r="AA146" s="198">
        <v>4782</v>
      </c>
      <c r="AB146" s="198">
        <v>0</v>
      </c>
      <c r="AC146" s="198">
        <v>243</v>
      </c>
      <c r="AD146" s="198">
        <v>521.31</v>
      </c>
      <c r="AE146" s="198">
        <v>10.690376167731294</v>
      </c>
      <c r="AF146" s="198">
        <v>1459</v>
      </c>
      <c r="AG146" s="198">
        <v>6366400.450756979</v>
      </c>
      <c r="AH146" s="198">
        <v>3996856.5735305264</v>
      </c>
      <c r="AI146" s="198">
        <v>1700812.4841920158</v>
      </c>
      <c r="AJ146" s="198">
        <v>668731.3930344365</v>
      </c>
      <c r="AK146" s="198">
        <v>163</v>
      </c>
      <c r="AL146" s="198">
        <v>2673</v>
      </c>
      <c r="AM146" s="198">
        <v>0.48917802253043485</v>
      </c>
      <c r="AN146" s="198">
        <v>243</v>
      </c>
      <c r="AO146" s="198">
        <v>0.04360308630898977</v>
      </c>
      <c r="AP146" s="198">
        <v>0.04187954270333655</v>
      </c>
      <c r="AQ146" s="198">
        <v>3</v>
      </c>
      <c r="AR146" s="198">
        <v>4782</v>
      </c>
      <c r="AS146" s="198">
        <v>0</v>
      </c>
      <c r="AT146" s="198">
        <v>2</v>
      </c>
      <c r="AU146" s="198">
        <v>521.31</v>
      </c>
      <c r="AV146" s="198">
        <v>10.690376167731294</v>
      </c>
      <c r="AW146" s="198">
        <v>1.683986700600893</v>
      </c>
      <c r="AX146" s="198">
        <v>215</v>
      </c>
      <c r="AY146" s="198">
        <v>1618</v>
      </c>
      <c r="AZ146" s="198">
        <v>0.13288009888751545</v>
      </c>
      <c r="BA146" s="198">
        <v>0.06919124019186328</v>
      </c>
      <c r="BB146" s="198">
        <v>0</v>
      </c>
      <c r="BC146" s="198">
        <v>1747</v>
      </c>
      <c r="BD146" s="198">
        <v>2458</v>
      </c>
      <c r="BE146" s="198">
        <v>0.710740439381611</v>
      </c>
      <c r="BF146" s="198">
        <v>0.2811015850852225</v>
      </c>
      <c r="BG146" s="198">
        <v>0</v>
      </c>
      <c r="BH146" s="198">
        <v>0</v>
      </c>
      <c r="BI146" s="198">
        <v>-557.3000000000001</v>
      </c>
      <c r="BJ146" s="198">
        <v>-1337.52</v>
      </c>
      <c r="BK146" s="198">
        <v>-22849.3</v>
      </c>
      <c r="BL146" s="198">
        <v>-2062.0099999999998</v>
      </c>
      <c r="BM146" s="198">
        <v>-29704.09</v>
      </c>
      <c r="BN146" s="198">
        <v>-668.76</v>
      </c>
      <c r="BO146" s="198">
        <v>-140850</v>
      </c>
      <c r="BP146" s="198">
        <v>102448.75923616439</v>
      </c>
      <c r="BQ146" s="198">
        <v>527887</v>
      </c>
      <c r="BR146" s="198">
        <v>179692</v>
      </c>
      <c r="BS146" s="198">
        <v>440779.18001771974</v>
      </c>
      <c r="BT146" s="198">
        <v>19590.202182369918</v>
      </c>
      <c r="BU146" s="198">
        <v>73233.53154674625</v>
      </c>
      <c r="BV146" s="198">
        <v>172456.4755134179</v>
      </c>
      <c r="BW146" s="198">
        <v>362949.1833708344</v>
      </c>
      <c r="BX146" s="198">
        <v>501.57</v>
      </c>
      <c r="BY146" s="198">
        <v>-17387.697660890735</v>
      </c>
      <c r="BZ146" s="198">
        <v>1721300.2042063621</v>
      </c>
      <c r="CA146" s="198">
        <v>1615803.3142063622</v>
      </c>
      <c r="CB146" s="198">
        <v>0</v>
      </c>
      <c r="CC146" s="232">
        <v>2991409.95352381</v>
      </c>
      <c r="CD146" s="198">
        <v>-310003</v>
      </c>
      <c r="CE146" s="198">
        <v>688656.1832600001</v>
      </c>
      <c r="CH146" s="198">
        <v>5580</v>
      </c>
    </row>
    <row r="147" spans="1:86" ht="11.25">
      <c r="A147" s="198">
        <v>480</v>
      </c>
      <c r="B147" s="198" t="s">
        <v>223</v>
      </c>
      <c r="C147" s="198">
        <v>2070</v>
      </c>
      <c r="D147" s="198">
        <v>7857807.799999999</v>
      </c>
      <c r="E147" s="198">
        <v>2574754.3918681885</v>
      </c>
      <c r="F147" s="198">
        <v>468286.563311144</v>
      </c>
      <c r="G147" s="198">
        <v>10900848.755179333</v>
      </c>
      <c r="H147" s="198">
        <v>3642.26</v>
      </c>
      <c r="I147" s="198">
        <v>7539478.2</v>
      </c>
      <c r="J147" s="198">
        <v>3361370.5551793324</v>
      </c>
      <c r="K147" s="198">
        <v>24691.790694978885</v>
      </c>
      <c r="L147" s="198">
        <v>576382.4296269872</v>
      </c>
      <c r="M147" s="198">
        <v>0</v>
      </c>
      <c r="N147" s="198">
        <v>3962444.7755012987</v>
      </c>
      <c r="O147" s="198">
        <v>1469331.9087407407</v>
      </c>
      <c r="P147" s="198">
        <v>5431776.68424204</v>
      </c>
      <c r="Q147" s="198">
        <v>147</v>
      </c>
      <c r="R147" s="198">
        <v>22</v>
      </c>
      <c r="S147" s="198">
        <v>119</v>
      </c>
      <c r="T147" s="198">
        <v>73</v>
      </c>
      <c r="U147" s="198">
        <v>66</v>
      </c>
      <c r="V147" s="198">
        <v>1121</v>
      </c>
      <c r="W147" s="198">
        <v>292</v>
      </c>
      <c r="X147" s="198">
        <v>150</v>
      </c>
      <c r="Y147" s="198">
        <v>80</v>
      </c>
      <c r="Z147" s="198">
        <v>2013</v>
      </c>
      <c r="AA147" s="198">
        <v>21</v>
      </c>
      <c r="AB147" s="198">
        <v>0</v>
      </c>
      <c r="AC147" s="198">
        <v>36</v>
      </c>
      <c r="AD147" s="198">
        <v>195.28</v>
      </c>
      <c r="AE147" s="198">
        <v>10.600163867267513</v>
      </c>
      <c r="AF147" s="198">
        <v>522</v>
      </c>
      <c r="AG147" s="198">
        <v>2574754.3918681885</v>
      </c>
      <c r="AH147" s="198">
        <v>1502672.0493156407</v>
      </c>
      <c r="AI147" s="198">
        <v>759428.7042507333</v>
      </c>
      <c r="AJ147" s="198">
        <v>312653.63830181444</v>
      </c>
      <c r="AK147" s="198">
        <v>103</v>
      </c>
      <c r="AL147" s="198">
        <v>923</v>
      </c>
      <c r="AM147" s="198">
        <v>0.8951870998481665</v>
      </c>
      <c r="AN147" s="198">
        <v>36</v>
      </c>
      <c r="AO147" s="198">
        <v>0.017391304347826087</v>
      </c>
      <c r="AP147" s="198">
        <v>0.015667760742172864</v>
      </c>
      <c r="AQ147" s="198">
        <v>0</v>
      </c>
      <c r="AR147" s="198">
        <v>21</v>
      </c>
      <c r="AS147" s="198">
        <v>0</v>
      </c>
      <c r="AT147" s="198">
        <v>0</v>
      </c>
      <c r="AU147" s="198">
        <v>195.28</v>
      </c>
      <c r="AV147" s="198">
        <v>10.600163867267513</v>
      </c>
      <c r="AW147" s="198">
        <v>1.6983182068034268</v>
      </c>
      <c r="AX147" s="198">
        <v>117</v>
      </c>
      <c r="AY147" s="198">
        <v>662</v>
      </c>
      <c r="AZ147" s="198">
        <v>0.17673716012084592</v>
      </c>
      <c r="BA147" s="198">
        <v>0.11304830142519375</v>
      </c>
      <c r="BB147" s="198">
        <v>0</v>
      </c>
      <c r="BC147" s="198">
        <v>509</v>
      </c>
      <c r="BD147" s="198">
        <v>823</v>
      </c>
      <c r="BE147" s="198">
        <v>0.6184690157958688</v>
      </c>
      <c r="BF147" s="198">
        <v>0.18883016149948023</v>
      </c>
      <c r="BG147" s="198">
        <v>0</v>
      </c>
      <c r="BH147" s="198">
        <v>0</v>
      </c>
      <c r="BI147" s="198">
        <v>-207</v>
      </c>
      <c r="BJ147" s="198">
        <v>-496.79999999999995</v>
      </c>
      <c r="BK147" s="198">
        <v>-8487</v>
      </c>
      <c r="BL147" s="198">
        <v>-765.9</v>
      </c>
      <c r="BM147" s="198">
        <v>-11033.1</v>
      </c>
      <c r="BN147" s="198">
        <v>-248.39999999999998</v>
      </c>
      <c r="BO147" s="198">
        <v>-23633</v>
      </c>
      <c r="BP147" s="198">
        <v>-2801.1581095047295</v>
      </c>
      <c r="BQ147" s="198">
        <v>189435</v>
      </c>
      <c r="BR147" s="198">
        <v>64417</v>
      </c>
      <c r="BS147" s="198">
        <v>154742.8346528901</v>
      </c>
      <c r="BT147" s="198">
        <v>7161.85268333947</v>
      </c>
      <c r="BU147" s="198">
        <v>25643.29382656168</v>
      </c>
      <c r="BV147" s="198">
        <v>61135.430983444574</v>
      </c>
      <c r="BW147" s="198">
        <v>130727.06620499428</v>
      </c>
      <c r="BX147" s="198">
        <v>186.29999999999998</v>
      </c>
      <c r="BY147" s="198">
        <v>8552.909385261857</v>
      </c>
      <c r="BZ147" s="198">
        <v>615567.5296269872</v>
      </c>
      <c r="CA147" s="198">
        <v>576382.4296269872</v>
      </c>
      <c r="CB147" s="198">
        <v>0</v>
      </c>
      <c r="CC147" s="232">
        <v>1469331.9087407407</v>
      </c>
      <c r="CD147" s="198">
        <v>-376571</v>
      </c>
      <c r="CE147" s="198">
        <v>-788238.1860000002</v>
      </c>
      <c r="CH147" s="198">
        <v>2056</v>
      </c>
    </row>
    <row r="148" spans="1:86" ht="11.25">
      <c r="A148" s="198">
        <v>481</v>
      </c>
      <c r="B148" s="198" t="s">
        <v>224</v>
      </c>
      <c r="C148" s="198">
        <v>9767</v>
      </c>
      <c r="D148" s="198">
        <v>35799859.309999995</v>
      </c>
      <c r="E148" s="198">
        <v>7524221.63585251</v>
      </c>
      <c r="F148" s="198">
        <v>1028112.0002246236</v>
      </c>
      <c r="G148" s="198">
        <v>44352192.94607712</v>
      </c>
      <c r="H148" s="198">
        <v>3642.26</v>
      </c>
      <c r="I148" s="198">
        <v>35573953.42</v>
      </c>
      <c r="J148" s="198">
        <v>8778239.526077121</v>
      </c>
      <c r="K148" s="198">
        <v>76334.5315219165</v>
      </c>
      <c r="L148" s="198">
        <v>1556487.9258284334</v>
      </c>
      <c r="M148" s="198">
        <v>2300.797463426357</v>
      </c>
      <c r="N148" s="198">
        <v>10413362.780890897</v>
      </c>
      <c r="O148" s="198">
        <v>-371.0080766744824</v>
      </c>
      <c r="P148" s="198">
        <v>10412991.772814222</v>
      </c>
      <c r="Q148" s="198">
        <v>823</v>
      </c>
      <c r="R148" s="198">
        <v>148</v>
      </c>
      <c r="S148" s="198">
        <v>881</v>
      </c>
      <c r="T148" s="198">
        <v>451</v>
      </c>
      <c r="U148" s="198">
        <v>401</v>
      </c>
      <c r="V148" s="198">
        <v>5540</v>
      </c>
      <c r="W148" s="198">
        <v>948</v>
      </c>
      <c r="X148" s="198">
        <v>434</v>
      </c>
      <c r="Y148" s="198">
        <v>141</v>
      </c>
      <c r="Z148" s="198">
        <v>9540</v>
      </c>
      <c r="AA148" s="198">
        <v>101</v>
      </c>
      <c r="AB148" s="198">
        <v>0</v>
      </c>
      <c r="AC148" s="198">
        <v>126</v>
      </c>
      <c r="AD148" s="198">
        <v>174.9</v>
      </c>
      <c r="AE148" s="198">
        <v>55.84333905088622</v>
      </c>
      <c r="AF148" s="198">
        <v>1523</v>
      </c>
      <c r="AG148" s="198">
        <v>7524221.63585251</v>
      </c>
      <c r="AH148" s="198">
        <v>4420497.187908438</v>
      </c>
      <c r="AI148" s="198">
        <v>1983382.2440292367</v>
      </c>
      <c r="AJ148" s="198">
        <v>1120342.2039148354</v>
      </c>
      <c r="AK148" s="198">
        <v>391</v>
      </c>
      <c r="AL148" s="198">
        <v>4916</v>
      </c>
      <c r="AM148" s="198">
        <v>0.6380330484676633</v>
      </c>
      <c r="AN148" s="198">
        <v>126</v>
      </c>
      <c r="AO148" s="198">
        <v>0.012900583597829425</v>
      </c>
      <c r="AP148" s="198">
        <v>0.011177039992176202</v>
      </c>
      <c r="AQ148" s="198">
        <v>0</v>
      </c>
      <c r="AR148" s="198">
        <v>101</v>
      </c>
      <c r="AS148" s="198">
        <v>0</v>
      </c>
      <c r="AT148" s="198">
        <v>0</v>
      </c>
      <c r="AU148" s="198">
        <v>174.9</v>
      </c>
      <c r="AV148" s="198">
        <v>55.84333905088622</v>
      </c>
      <c r="AW148" s="198">
        <v>0.3223741917451576</v>
      </c>
      <c r="AX148" s="198">
        <v>336</v>
      </c>
      <c r="AY148" s="198">
        <v>3553</v>
      </c>
      <c r="AZ148" s="198">
        <v>0.09456797072896145</v>
      </c>
      <c r="BA148" s="198">
        <v>0.030879112033309272</v>
      </c>
      <c r="BB148" s="198">
        <v>0</v>
      </c>
      <c r="BC148" s="198">
        <v>2494</v>
      </c>
      <c r="BD148" s="198">
        <v>4507</v>
      </c>
      <c r="BE148" s="198">
        <v>0.553361437763479</v>
      </c>
      <c r="BF148" s="198">
        <v>0.12372258346709047</v>
      </c>
      <c r="BG148" s="198">
        <v>0</v>
      </c>
      <c r="BH148" s="198">
        <v>0</v>
      </c>
      <c r="BI148" s="198">
        <v>-976.7</v>
      </c>
      <c r="BJ148" s="198">
        <v>-2344.08</v>
      </c>
      <c r="BK148" s="198">
        <v>-40044.7</v>
      </c>
      <c r="BL148" s="198">
        <v>-3613.79</v>
      </c>
      <c r="BM148" s="198">
        <v>-52058.11</v>
      </c>
      <c r="BN148" s="198">
        <v>-1172.04</v>
      </c>
      <c r="BO148" s="198">
        <v>36413</v>
      </c>
      <c r="BP148" s="198">
        <v>32000.689960744232</v>
      </c>
      <c r="BQ148" s="198">
        <v>621436</v>
      </c>
      <c r="BR148" s="198">
        <v>207148</v>
      </c>
      <c r="BS148" s="198">
        <v>331328.82182197727</v>
      </c>
      <c r="BT148" s="198">
        <v>-3308.595417114833</v>
      </c>
      <c r="BU148" s="198">
        <v>-53204.678997454095</v>
      </c>
      <c r="BV148" s="198">
        <v>172834.1055396685</v>
      </c>
      <c r="BW148" s="198">
        <v>427934.1267696244</v>
      </c>
      <c r="BX148" s="198">
        <v>879.03</v>
      </c>
      <c r="BY148" s="198">
        <v>-32083.263849012423</v>
      </c>
      <c r="BZ148" s="198">
        <v>1741377.2358284334</v>
      </c>
      <c r="CA148" s="198">
        <v>1556487.9258284334</v>
      </c>
      <c r="CB148" s="198">
        <v>2300.797463426357</v>
      </c>
      <c r="CC148" s="232">
        <v>-371.0080766744824</v>
      </c>
      <c r="CD148" s="198">
        <v>-2180538</v>
      </c>
      <c r="CE148" s="198">
        <v>-62536.05323999998</v>
      </c>
      <c r="CH148" s="198">
        <v>9729</v>
      </c>
    </row>
    <row r="149" spans="1:86" ht="11.25">
      <c r="A149" s="198">
        <v>483</v>
      </c>
      <c r="B149" s="198" t="s">
        <v>225</v>
      </c>
      <c r="C149" s="198">
        <v>1150</v>
      </c>
      <c r="D149" s="198">
        <v>4757763.489999999</v>
      </c>
      <c r="E149" s="198">
        <v>1539344.2415915204</v>
      </c>
      <c r="F149" s="198">
        <v>305414.51745367696</v>
      </c>
      <c r="G149" s="198">
        <v>6602522.249045197</v>
      </c>
      <c r="H149" s="198">
        <v>3642.26</v>
      </c>
      <c r="I149" s="198">
        <v>4188599.0000000005</v>
      </c>
      <c r="J149" s="198">
        <v>2413923.2490451965</v>
      </c>
      <c r="K149" s="198">
        <v>15100.176860211703</v>
      </c>
      <c r="L149" s="198">
        <v>352051.89485941234</v>
      </c>
      <c r="M149" s="198">
        <v>0</v>
      </c>
      <c r="N149" s="198">
        <v>2781075.3207648206</v>
      </c>
      <c r="O149" s="198">
        <v>1464326.0759047617</v>
      </c>
      <c r="P149" s="198">
        <v>4245401.396669582</v>
      </c>
      <c r="Q149" s="198">
        <v>106</v>
      </c>
      <c r="R149" s="198">
        <v>14</v>
      </c>
      <c r="S149" s="198">
        <v>107</v>
      </c>
      <c r="T149" s="198">
        <v>57</v>
      </c>
      <c r="U149" s="198">
        <v>51</v>
      </c>
      <c r="V149" s="198">
        <v>580</v>
      </c>
      <c r="W149" s="198">
        <v>120</v>
      </c>
      <c r="X149" s="198">
        <v>85</v>
      </c>
      <c r="Y149" s="198">
        <v>30</v>
      </c>
      <c r="Z149" s="198">
        <v>1145</v>
      </c>
      <c r="AA149" s="198">
        <v>0</v>
      </c>
      <c r="AB149" s="198">
        <v>0</v>
      </c>
      <c r="AC149" s="198">
        <v>5</v>
      </c>
      <c r="AD149" s="198">
        <v>229.83</v>
      </c>
      <c r="AE149" s="198">
        <v>5.00369838576339</v>
      </c>
      <c r="AF149" s="198">
        <v>235</v>
      </c>
      <c r="AG149" s="198">
        <v>1539344.2415915204</v>
      </c>
      <c r="AH149" s="198">
        <v>976906.9851960781</v>
      </c>
      <c r="AI149" s="198">
        <v>380055.96738605044</v>
      </c>
      <c r="AJ149" s="198">
        <v>182381.2890093918</v>
      </c>
      <c r="AK149" s="198">
        <v>56</v>
      </c>
      <c r="AL149" s="198">
        <v>473</v>
      </c>
      <c r="AM149" s="198">
        <v>0.9497409802531256</v>
      </c>
      <c r="AN149" s="198">
        <v>5</v>
      </c>
      <c r="AO149" s="198">
        <v>0.004347826086956522</v>
      </c>
      <c r="AP149" s="198">
        <v>0.0026242824813032988</v>
      </c>
      <c r="AQ149" s="198">
        <v>0</v>
      </c>
      <c r="AR149" s="198">
        <v>0</v>
      </c>
      <c r="AS149" s="198">
        <v>0</v>
      </c>
      <c r="AT149" s="198">
        <v>0</v>
      </c>
      <c r="AU149" s="198">
        <v>229.83</v>
      </c>
      <c r="AV149" s="198">
        <v>5.00369838576339</v>
      </c>
      <c r="AW149" s="198">
        <v>3.5978290262460924</v>
      </c>
      <c r="AX149" s="198">
        <v>36</v>
      </c>
      <c r="AY149" s="198">
        <v>254</v>
      </c>
      <c r="AZ149" s="198">
        <v>0.14173228346456693</v>
      </c>
      <c r="BA149" s="198">
        <v>0.07804342476891475</v>
      </c>
      <c r="BB149" s="198">
        <v>0</v>
      </c>
      <c r="BC149" s="198">
        <v>255</v>
      </c>
      <c r="BD149" s="198">
        <v>400</v>
      </c>
      <c r="BE149" s="198">
        <v>0.6375</v>
      </c>
      <c r="BF149" s="198">
        <v>0.20786114570361142</v>
      </c>
      <c r="BG149" s="198">
        <v>0</v>
      </c>
      <c r="BH149" s="198">
        <v>0</v>
      </c>
      <c r="BI149" s="198">
        <v>-115</v>
      </c>
      <c r="BJ149" s="198">
        <v>-276</v>
      </c>
      <c r="BK149" s="198">
        <v>-4715</v>
      </c>
      <c r="BL149" s="198">
        <v>-425.5</v>
      </c>
      <c r="BM149" s="198">
        <v>-6129.5</v>
      </c>
      <c r="BN149" s="198">
        <v>-138</v>
      </c>
      <c r="BO149" s="198">
        <v>-5108</v>
      </c>
      <c r="BP149" s="198">
        <v>-2330.2481867615134</v>
      </c>
      <c r="BQ149" s="198">
        <v>112571</v>
      </c>
      <c r="BR149" s="198">
        <v>33696</v>
      </c>
      <c r="BS149" s="198">
        <v>92424.51788242359</v>
      </c>
      <c r="BT149" s="198">
        <v>5507.555395064793</v>
      </c>
      <c r="BU149" s="198">
        <v>19154.82272696823</v>
      </c>
      <c r="BV149" s="198">
        <v>43544.673574117616</v>
      </c>
      <c r="BW149" s="198">
        <v>68588.84028544306</v>
      </c>
      <c r="BX149" s="198">
        <v>103.5</v>
      </c>
      <c r="BY149" s="198">
        <v>5668.733182156559</v>
      </c>
      <c r="BZ149" s="198">
        <v>373821.39485941234</v>
      </c>
      <c r="CA149" s="198">
        <v>352051.89485941234</v>
      </c>
      <c r="CB149" s="198">
        <v>0</v>
      </c>
      <c r="CC149" s="232">
        <v>1464326.0759047617</v>
      </c>
      <c r="CD149" s="198">
        <v>-245975</v>
      </c>
      <c r="CE149" s="198">
        <v>72224.03600000001</v>
      </c>
      <c r="CH149" s="198">
        <v>1153</v>
      </c>
    </row>
    <row r="150" spans="1:86" ht="11.25">
      <c r="A150" s="198">
        <v>484</v>
      </c>
      <c r="B150" s="198" t="s">
        <v>226</v>
      </c>
      <c r="C150" s="198">
        <v>3246</v>
      </c>
      <c r="D150" s="198">
        <v>12979170.02</v>
      </c>
      <c r="E150" s="198">
        <v>4676300.940154035</v>
      </c>
      <c r="F150" s="198">
        <v>913137.6100811145</v>
      </c>
      <c r="G150" s="198">
        <v>18568608.570235148</v>
      </c>
      <c r="H150" s="198">
        <v>3642.26</v>
      </c>
      <c r="I150" s="198">
        <v>11822775.96</v>
      </c>
      <c r="J150" s="198">
        <v>6745832.610235147</v>
      </c>
      <c r="K150" s="198">
        <v>478982.9672223538</v>
      </c>
      <c r="L150" s="198">
        <v>1098149.136677208</v>
      </c>
      <c r="M150" s="198">
        <v>1607807.3924837913</v>
      </c>
      <c r="N150" s="198">
        <v>9930772.1066185</v>
      </c>
      <c r="O150" s="198">
        <v>2437258.365333333</v>
      </c>
      <c r="P150" s="198">
        <v>12368030.471951833</v>
      </c>
      <c r="Q150" s="198">
        <v>179</v>
      </c>
      <c r="R150" s="198">
        <v>27</v>
      </c>
      <c r="S150" s="198">
        <v>195</v>
      </c>
      <c r="T150" s="198">
        <v>91</v>
      </c>
      <c r="U150" s="198">
        <v>98</v>
      </c>
      <c r="V150" s="198">
        <v>1649</v>
      </c>
      <c r="W150" s="198">
        <v>483</v>
      </c>
      <c r="X150" s="198">
        <v>360</v>
      </c>
      <c r="Y150" s="198">
        <v>164</v>
      </c>
      <c r="Z150" s="198">
        <v>3202</v>
      </c>
      <c r="AA150" s="198">
        <v>10</v>
      </c>
      <c r="AB150" s="198">
        <v>0</v>
      </c>
      <c r="AC150" s="198">
        <v>34</v>
      </c>
      <c r="AD150" s="198">
        <v>446.03</v>
      </c>
      <c r="AE150" s="198">
        <v>7.2775373853776655</v>
      </c>
      <c r="AF150" s="198">
        <v>1007</v>
      </c>
      <c r="AG150" s="198">
        <v>4676300.940154035</v>
      </c>
      <c r="AH150" s="198">
        <v>2836151.6309550228</v>
      </c>
      <c r="AI150" s="198">
        <v>1154048.2695922526</v>
      </c>
      <c r="AJ150" s="198">
        <v>686101.0396067596</v>
      </c>
      <c r="AK150" s="198">
        <v>179</v>
      </c>
      <c r="AL150" s="198">
        <v>1324</v>
      </c>
      <c r="AM150" s="198">
        <v>1.0845344137771282</v>
      </c>
      <c r="AN150" s="198">
        <v>34</v>
      </c>
      <c r="AO150" s="198">
        <v>0.010474430067775724</v>
      </c>
      <c r="AP150" s="198">
        <v>0.008750886462122501</v>
      </c>
      <c r="AQ150" s="198">
        <v>0</v>
      </c>
      <c r="AR150" s="198">
        <v>10</v>
      </c>
      <c r="AS150" s="198">
        <v>0</v>
      </c>
      <c r="AT150" s="198">
        <v>0</v>
      </c>
      <c r="AU150" s="198">
        <v>446.03</v>
      </c>
      <c r="AV150" s="198">
        <v>7.2775373853776655</v>
      </c>
      <c r="AW150" s="198">
        <v>2.4737009702006514</v>
      </c>
      <c r="AX150" s="198">
        <v>196</v>
      </c>
      <c r="AY150" s="198">
        <v>866</v>
      </c>
      <c r="AZ150" s="198">
        <v>0.22632794457274827</v>
      </c>
      <c r="BA150" s="198">
        <v>0.16263908587709608</v>
      </c>
      <c r="BB150" s="198">
        <v>0.5797333333333333</v>
      </c>
      <c r="BC150" s="198">
        <v>951</v>
      </c>
      <c r="BD150" s="198">
        <v>1112</v>
      </c>
      <c r="BE150" s="198">
        <v>0.8552158273381295</v>
      </c>
      <c r="BF150" s="198">
        <v>0.42557697304174097</v>
      </c>
      <c r="BG150" s="198">
        <v>0</v>
      </c>
      <c r="BH150" s="198">
        <v>0</v>
      </c>
      <c r="BI150" s="198">
        <v>-324.6</v>
      </c>
      <c r="BJ150" s="198">
        <v>-779.04</v>
      </c>
      <c r="BK150" s="198">
        <v>-13308.599999999999</v>
      </c>
      <c r="BL150" s="198">
        <v>-1201.02</v>
      </c>
      <c r="BM150" s="198">
        <v>-17301.18</v>
      </c>
      <c r="BN150" s="198">
        <v>-389.52</v>
      </c>
      <c r="BO150" s="198">
        <v>80593</v>
      </c>
      <c r="BP150" s="198">
        <v>74367.37922729924</v>
      </c>
      <c r="BQ150" s="198">
        <v>331324</v>
      </c>
      <c r="BR150" s="198">
        <v>93113</v>
      </c>
      <c r="BS150" s="198">
        <v>256823.8610218016</v>
      </c>
      <c r="BT150" s="198">
        <v>13951.650723552873</v>
      </c>
      <c r="BU150" s="198">
        <v>22369.26415276425</v>
      </c>
      <c r="BV150" s="198">
        <v>113238.57277297978</v>
      </c>
      <c r="BW150" s="198">
        <v>159569.56217111862</v>
      </c>
      <c r="BX150" s="198">
        <v>292.14</v>
      </c>
      <c r="BY150" s="198">
        <v>13953.486607691724</v>
      </c>
      <c r="BZ150" s="198">
        <v>1159595.916677208</v>
      </c>
      <c r="CA150" s="198">
        <v>1098149.136677208</v>
      </c>
      <c r="CB150" s="198">
        <v>1607807.3924837913</v>
      </c>
      <c r="CC150" s="232">
        <v>2437258.365333333</v>
      </c>
      <c r="CD150" s="198">
        <v>27103</v>
      </c>
      <c r="CE150" s="198">
        <v>81189.77840000001</v>
      </c>
      <c r="CH150" s="198">
        <v>3226</v>
      </c>
    </row>
    <row r="151" spans="1:86" ht="11.25">
      <c r="A151" s="198">
        <v>489</v>
      </c>
      <c r="B151" s="198" t="s">
        <v>227</v>
      </c>
      <c r="C151" s="198">
        <v>2123</v>
      </c>
      <c r="D151" s="198">
        <v>8063985</v>
      </c>
      <c r="E151" s="198">
        <v>4264393.187272406</v>
      </c>
      <c r="F151" s="198">
        <v>787404.2834033708</v>
      </c>
      <c r="G151" s="198">
        <v>13115782.470675778</v>
      </c>
      <c r="H151" s="198">
        <v>3642.26</v>
      </c>
      <c r="I151" s="198">
        <v>7732517.98</v>
      </c>
      <c r="J151" s="198">
        <v>5383264.490675777</v>
      </c>
      <c r="K151" s="198">
        <v>234837.70760167378</v>
      </c>
      <c r="L151" s="198">
        <v>772284.9223823098</v>
      </c>
      <c r="M151" s="198">
        <v>-235820.57890943158</v>
      </c>
      <c r="N151" s="198">
        <v>6154566.54175033</v>
      </c>
      <c r="O151" s="198">
        <v>1972530.4048999993</v>
      </c>
      <c r="P151" s="198">
        <v>8127096.946650329</v>
      </c>
      <c r="Q151" s="198">
        <v>81</v>
      </c>
      <c r="R151" s="198">
        <v>12</v>
      </c>
      <c r="S151" s="198">
        <v>123</v>
      </c>
      <c r="T151" s="198">
        <v>55</v>
      </c>
      <c r="U151" s="198">
        <v>69</v>
      </c>
      <c r="V151" s="198">
        <v>1109</v>
      </c>
      <c r="W151" s="198">
        <v>334</v>
      </c>
      <c r="X151" s="198">
        <v>236</v>
      </c>
      <c r="Y151" s="198">
        <v>104</v>
      </c>
      <c r="Z151" s="198">
        <v>2016</v>
      </c>
      <c r="AA151" s="198">
        <v>4</v>
      </c>
      <c r="AB151" s="198">
        <v>0</v>
      </c>
      <c r="AC151" s="198">
        <v>103</v>
      </c>
      <c r="AD151" s="198">
        <v>422.23</v>
      </c>
      <c r="AE151" s="198">
        <v>5.028065272481823</v>
      </c>
      <c r="AF151" s="198">
        <v>674</v>
      </c>
      <c r="AG151" s="198">
        <v>4264393.187272406</v>
      </c>
      <c r="AH151" s="198">
        <v>2425276.572794818</v>
      </c>
      <c r="AI151" s="198">
        <v>1265918.2775909281</v>
      </c>
      <c r="AJ151" s="198">
        <v>573198.33688666</v>
      </c>
      <c r="AK151" s="198">
        <v>83</v>
      </c>
      <c r="AL151" s="198">
        <v>849</v>
      </c>
      <c r="AM151" s="198">
        <v>0.7842394654164029</v>
      </c>
      <c r="AN151" s="198">
        <v>103</v>
      </c>
      <c r="AO151" s="198">
        <v>0.04851625058878945</v>
      </c>
      <c r="AP151" s="198">
        <v>0.04679270698313623</v>
      </c>
      <c r="AQ151" s="198">
        <v>0</v>
      </c>
      <c r="AR151" s="198">
        <v>4</v>
      </c>
      <c r="AS151" s="198">
        <v>0</v>
      </c>
      <c r="AT151" s="198">
        <v>0</v>
      </c>
      <c r="AU151" s="198">
        <v>422.23</v>
      </c>
      <c r="AV151" s="198">
        <v>5.028065272481823</v>
      </c>
      <c r="AW151" s="198">
        <v>3.58039331537841</v>
      </c>
      <c r="AX151" s="198">
        <v>138</v>
      </c>
      <c r="AY151" s="198">
        <v>618</v>
      </c>
      <c r="AZ151" s="198">
        <v>0.22330097087378642</v>
      </c>
      <c r="BA151" s="198">
        <v>0.15961211217813426</v>
      </c>
      <c r="BB151" s="198">
        <v>0.4368666666666667</v>
      </c>
      <c r="BC151" s="198">
        <v>544</v>
      </c>
      <c r="BD151" s="198">
        <v>734</v>
      </c>
      <c r="BE151" s="198">
        <v>0.7411444141689373</v>
      </c>
      <c r="BF151" s="198">
        <v>0.31150555987254874</v>
      </c>
      <c r="BG151" s="198">
        <v>0</v>
      </c>
      <c r="BH151" s="198">
        <v>0</v>
      </c>
      <c r="BI151" s="198">
        <v>-212.3</v>
      </c>
      <c r="BJ151" s="198">
        <v>-509.52</v>
      </c>
      <c r="BK151" s="198">
        <v>-8704.3</v>
      </c>
      <c r="BL151" s="198">
        <v>-785.51</v>
      </c>
      <c r="BM151" s="198">
        <v>-11315.59</v>
      </c>
      <c r="BN151" s="198">
        <v>-254.76</v>
      </c>
      <c r="BO151" s="198">
        <v>-49160</v>
      </c>
      <c r="BP151" s="198">
        <v>129195.3782286048</v>
      </c>
      <c r="BQ151" s="198">
        <v>244042</v>
      </c>
      <c r="BR151" s="198">
        <v>68380</v>
      </c>
      <c r="BS151" s="198">
        <v>194514.60255742777</v>
      </c>
      <c r="BT151" s="198">
        <v>9286.78962930894</v>
      </c>
      <c r="BU151" s="198">
        <v>31055.31105772127</v>
      </c>
      <c r="BV151" s="198">
        <v>85533.22699393757</v>
      </c>
      <c r="BW151" s="198">
        <v>104134.11860131857</v>
      </c>
      <c r="BX151" s="198">
        <v>191.07</v>
      </c>
      <c r="BY151" s="198">
        <v>-4699.1846860089645</v>
      </c>
      <c r="BZ151" s="198">
        <v>812473.3123823098</v>
      </c>
      <c r="CA151" s="198">
        <v>772284.9223823098</v>
      </c>
      <c r="CB151" s="198">
        <v>-235820.57890943158</v>
      </c>
      <c r="CC151" s="232">
        <v>1972530.4048999993</v>
      </c>
      <c r="CD151" s="198">
        <v>-504854</v>
      </c>
      <c r="CE151" s="198">
        <v>-1350278.1627</v>
      </c>
      <c r="CH151" s="198">
        <v>2145</v>
      </c>
    </row>
    <row r="152" spans="1:86" ht="11.25">
      <c r="A152" s="198">
        <v>491</v>
      </c>
      <c r="B152" s="198" t="s">
        <v>228</v>
      </c>
      <c r="C152" s="198">
        <v>54605</v>
      </c>
      <c r="D152" s="198">
        <v>187691191.97</v>
      </c>
      <c r="E152" s="198">
        <v>81054594.55326453</v>
      </c>
      <c r="F152" s="198">
        <v>11171545.977504047</v>
      </c>
      <c r="G152" s="198">
        <v>279917332.5007686</v>
      </c>
      <c r="H152" s="198">
        <v>3642.26</v>
      </c>
      <c r="I152" s="198">
        <v>198885607.3</v>
      </c>
      <c r="J152" s="198">
        <v>81031725.20076859</v>
      </c>
      <c r="K152" s="198">
        <v>2083727.0496646215</v>
      </c>
      <c r="L152" s="198">
        <v>13460985.924332427</v>
      </c>
      <c r="M152" s="198">
        <v>-1184801.952062786</v>
      </c>
      <c r="N152" s="198">
        <v>95391636.22270285</v>
      </c>
      <c r="O152" s="198">
        <v>17789963.5141</v>
      </c>
      <c r="P152" s="198">
        <v>113181599.73680285</v>
      </c>
      <c r="Q152" s="198">
        <v>3087</v>
      </c>
      <c r="R152" s="198">
        <v>510</v>
      </c>
      <c r="S152" s="198">
        <v>3282</v>
      </c>
      <c r="T152" s="198">
        <v>1660</v>
      </c>
      <c r="U152" s="198">
        <v>1786</v>
      </c>
      <c r="V152" s="198">
        <v>31674</v>
      </c>
      <c r="W152" s="198">
        <v>6984</v>
      </c>
      <c r="X152" s="198">
        <v>4090</v>
      </c>
      <c r="Y152" s="198">
        <v>1532</v>
      </c>
      <c r="Z152" s="198">
        <v>52826</v>
      </c>
      <c r="AA152" s="198">
        <v>89</v>
      </c>
      <c r="AB152" s="198">
        <v>0</v>
      </c>
      <c r="AC152" s="198">
        <v>1690</v>
      </c>
      <c r="AD152" s="198">
        <v>2549.07</v>
      </c>
      <c r="AE152" s="198">
        <v>21.421538051132373</v>
      </c>
      <c r="AF152" s="198">
        <v>12606</v>
      </c>
      <c r="AG152" s="198">
        <v>81054594.55326453</v>
      </c>
      <c r="AH152" s="198">
        <v>45439795.20418922</v>
      </c>
      <c r="AI152" s="198">
        <v>26217820.55344855</v>
      </c>
      <c r="AJ152" s="198">
        <v>9396978.795626758</v>
      </c>
      <c r="AK152" s="198">
        <v>3265</v>
      </c>
      <c r="AL152" s="198">
        <v>25496</v>
      </c>
      <c r="AM152" s="198">
        <v>1.0272814041901626</v>
      </c>
      <c r="AN152" s="198">
        <v>1690</v>
      </c>
      <c r="AO152" s="198">
        <v>0.030949546744803588</v>
      </c>
      <c r="AP152" s="198">
        <v>0.029226003139150365</v>
      </c>
      <c r="AQ152" s="198">
        <v>0</v>
      </c>
      <c r="AR152" s="198">
        <v>89</v>
      </c>
      <c r="AS152" s="198">
        <v>0</v>
      </c>
      <c r="AT152" s="198">
        <v>1</v>
      </c>
      <c r="AU152" s="198">
        <v>2549.07</v>
      </c>
      <c r="AV152" s="198">
        <v>21.421538051132373</v>
      </c>
      <c r="AW152" s="198">
        <v>0.8403902300530006</v>
      </c>
      <c r="AX152" s="198">
        <v>1841</v>
      </c>
      <c r="AY152" s="198">
        <v>16071</v>
      </c>
      <c r="AZ152" s="198">
        <v>0.11455416588886815</v>
      </c>
      <c r="BA152" s="198">
        <v>0.05086530719321597</v>
      </c>
      <c r="BB152" s="198">
        <v>0</v>
      </c>
      <c r="BC152" s="198">
        <v>22806</v>
      </c>
      <c r="BD152" s="198">
        <v>22062</v>
      </c>
      <c r="BE152" s="198">
        <v>1.0337231438672831</v>
      </c>
      <c r="BF152" s="198">
        <v>0.6040842895708947</v>
      </c>
      <c r="BG152" s="198">
        <v>0</v>
      </c>
      <c r="BH152" s="198">
        <v>0</v>
      </c>
      <c r="BI152" s="198">
        <v>-5460.5</v>
      </c>
      <c r="BJ152" s="198">
        <v>-13105.199999999999</v>
      </c>
      <c r="BK152" s="198">
        <v>-223880.49999999997</v>
      </c>
      <c r="BL152" s="198">
        <v>-20203.85</v>
      </c>
      <c r="BM152" s="198">
        <v>-291044.65</v>
      </c>
      <c r="BN152" s="198">
        <v>-6552.599999999999</v>
      </c>
      <c r="BO152" s="198">
        <v>692000</v>
      </c>
      <c r="BP152" s="198">
        <v>23894.41926728841</v>
      </c>
      <c r="BQ152" s="198">
        <v>4322833</v>
      </c>
      <c r="BR152" s="198">
        <v>1361978</v>
      </c>
      <c r="BS152" s="198">
        <v>3066998.8023660365</v>
      </c>
      <c r="BT152" s="198">
        <v>122168.39431532685</v>
      </c>
      <c r="BU152" s="198">
        <v>340435.90893708135</v>
      </c>
      <c r="BV152" s="198">
        <v>1609040.7155045995</v>
      </c>
      <c r="BW152" s="198">
        <v>2685364.2798954607</v>
      </c>
      <c r="BX152" s="198">
        <v>4914.45</v>
      </c>
      <c r="BY152" s="198">
        <v>265030.60404663614</v>
      </c>
      <c r="BZ152" s="198">
        <v>14494658.574332427</v>
      </c>
      <c r="CA152" s="198">
        <v>13460985.924332427</v>
      </c>
      <c r="CB152" s="198">
        <v>-1184801.952062786</v>
      </c>
      <c r="CC152" s="232">
        <v>17789963.5141</v>
      </c>
      <c r="CD152" s="198">
        <v>-2641817</v>
      </c>
      <c r="CE152" s="198">
        <v>62137.57579999964</v>
      </c>
      <c r="CH152" s="198">
        <v>54635</v>
      </c>
    </row>
    <row r="153" spans="1:86" ht="11.25">
      <c r="A153" s="198">
        <v>494</v>
      </c>
      <c r="B153" s="198" t="s">
        <v>229</v>
      </c>
      <c r="C153" s="198">
        <v>8986</v>
      </c>
      <c r="D153" s="198">
        <v>36477449.589999996</v>
      </c>
      <c r="E153" s="198">
        <v>12152955.64986949</v>
      </c>
      <c r="F153" s="198">
        <v>1704686.4686484728</v>
      </c>
      <c r="G153" s="198">
        <v>50335091.70851796</v>
      </c>
      <c r="H153" s="198">
        <v>3642.26</v>
      </c>
      <c r="I153" s="198">
        <v>32729348.360000003</v>
      </c>
      <c r="J153" s="198">
        <v>17605743.348517958</v>
      </c>
      <c r="K153" s="198">
        <v>177724.8006753532</v>
      </c>
      <c r="L153" s="198">
        <v>1589733.1483543871</v>
      </c>
      <c r="M153" s="198">
        <v>0</v>
      </c>
      <c r="N153" s="198">
        <v>19373201.2975477</v>
      </c>
      <c r="O153" s="198">
        <v>6662727.611799999</v>
      </c>
      <c r="P153" s="198">
        <v>26035928.9093477</v>
      </c>
      <c r="Q153" s="198">
        <v>912</v>
      </c>
      <c r="R153" s="198">
        <v>142</v>
      </c>
      <c r="S153" s="198">
        <v>958</v>
      </c>
      <c r="T153" s="198">
        <v>409</v>
      </c>
      <c r="U153" s="198">
        <v>380</v>
      </c>
      <c r="V153" s="198">
        <v>4813</v>
      </c>
      <c r="W153" s="198">
        <v>706</v>
      </c>
      <c r="X153" s="198">
        <v>469</v>
      </c>
      <c r="Y153" s="198">
        <v>197</v>
      </c>
      <c r="Z153" s="198">
        <v>8894</v>
      </c>
      <c r="AA153" s="198">
        <v>8</v>
      </c>
      <c r="AB153" s="198">
        <v>0</v>
      </c>
      <c r="AC153" s="198">
        <v>84</v>
      </c>
      <c r="AD153" s="198">
        <v>783.75</v>
      </c>
      <c r="AE153" s="198">
        <v>11.465390749601276</v>
      </c>
      <c r="AF153" s="198">
        <v>1372</v>
      </c>
      <c r="AG153" s="198">
        <v>12152955.64986949</v>
      </c>
      <c r="AH153" s="198">
        <v>7300058.223042547</v>
      </c>
      <c r="AI153" s="198">
        <v>3029084.5367330257</v>
      </c>
      <c r="AJ153" s="198">
        <v>1823812.890093918</v>
      </c>
      <c r="AK153" s="198">
        <v>552</v>
      </c>
      <c r="AL153" s="198">
        <v>3848</v>
      </c>
      <c r="AM153" s="198">
        <v>1.1507535035833556</v>
      </c>
      <c r="AN153" s="198">
        <v>84</v>
      </c>
      <c r="AO153" s="198">
        <v>0.009347874471399956</v>
      </c>
      <c r="AP153" s="198">
        <v>0.007624330865746733</v>
      </c>
      <c r="AQ153" s="198">
        <v>0</v>
      </c>
      <c r="AR153" s="198">
        <v>8</v>
      </c>
      <c r="AS153" s="198">
        <v>0</v>
      </c>
      <c r="AT153" s="198">
        <v>0</v>
      </c>
      <c r="AU153" s="198">
        <v>783.75</v>
      </c>
      <c r="AV153" s="198">
        <v>11.465390749601276</v>
      </c>
      <c r="AW153" s="198">
        <v>1.5701559313629412</v>
      </c>
      <c r="AX153" s="198">
        <v>237</v>
      </c>
      <c r="AY153" s="198">
        <v>2787</v>
      </c>
      <c r="AZ153" s="198">
        <v>0.08503767491926803</v>
      </c>
      <c r="BA153" s="198">
        <v>0.021348816223615855</v>
      </c>
      <c r="BB153" s="198">
        <v>0</v>
      </c>
      <c r="BC153" s="198">
        <v>2503</v>
      </c>
      <c r="BD153" s="198">
        <v>3370</v>
      </c>
      <c r="BE153" s="198">
        <v>0.7427299703264095</v>
      </c>
      <c r="BF153" s="198">
        <v>0.313091116030021</v>
      </c>
      <c r="BG153" s="198">
        <v>0</v>
      </c>
      <c r="BH153" s="198">
        <v>0</v>
      </c>
      <c r="BI153" s="198">
        <v>-898.6</v>
      </c>
      <c r="BJ153" s="198">
        <v>-2156.64</v>
      </c>
      <c r="BK153" s="198">
        <v>-36842.6</v>
      </c>
      <c r="BL153" s="198">
        <v>-3324.82</v>
      </c>
      <c r="BM153" s="198">
        <v>-47895.38</v>
      </c>
      <c r="BN153" s="198">
        <v>-1078.32</v>
      </c>
      <c r="BO153" s="198">
        <v>-149101</v>
      </c>
      <c r="BP153" s="198">
        <v>-106345.7427293472</v>
      </c>
      <c r="BQ153" s="198">
        <v>653139</v>
      </c>
      <c r="BR153" s="198">
        <v>192506</v>
      </c>
      <c r="BS153" s="198">
        <v>447332.6942989805</v>
      </c>
      <c r="BT153" s="198">
        <v>11353.484939487833</v>
      </c>
      <c r="BU153" s="198">
        <v>31511.033225112184</v>
      </c>
      <c r="BV153" s="198">
        <v>234842.3314750822</v>
      </c>
      <c r="BW153" s="198">
        <v>400522.67648389935</v>
      </c>
      <c r="BX153" s="198">
        <v>808.74</v>
      </c>
      <c r="BY153" s="198">
        <v>43268.91066117222</v>
      </c>
      <c r="BZ153" s="198">
        <v>1759838.1283543871</v>
      </c>
      <c r="CA153" s="198">
        <v>1589733.1483543871</v>
      </c>
      <c r="CB153" s="198">
        <v>0</v>
      </c>
      <c r="CC153" s="232">
        <v>6662727.611799999</v>
      </c>
      <c r="CD153" s="198">
        <v>-851961</v>
      </c>
      <c r="CE153" s="198">
        <v>325170.04345999996</v>
      </c>
      <c r="CH153" s="198">
        <v>8998</v>
      </c>
    </row>
    <row r="154" spans="1:86" ht="11.25">
      <c r="A154" s="198">
        <v>495</v>
      </c>
      <c r="B154" s="198" t="s">
        <v>230</v>
      </c>
      <c r="C154" s="198">
        <v>1763</v>
      </c>
      <c r="D154" s="198">
        <v>7511423.78</v>
      </c>
      <c r="E154" s="198">
        <v>2828914.351551188</v>
      </c>
      <c r="F154" s="198">
        <v>780329.7256760885</v>
      </c>
      <c r="G154" s="198">
        <v>11120667.857227275</v>
      </c>
      <c r="H154" s="198">
        <v>3642.26</v>
      </c>
      <c r="I154" s="198">
        <v>6421304.380000001</v>
      </c>
      <c r="J154" s="198">
        <v>4699363.477227274</v>
      </c>
      <c r="K154" s="198">
        <v>119983.6243007755</v>
      </c>
      <c r="L154" s="198">
        <v>613888.3155565216</v>
      </c>
      <c r="M154" s="198">
        <v>59594.22306180932</v>
      </c>
      <c r="N154" s="198">
        <v>5492829.64014638</v>
      </c>
      <c r="O154" s="198">
        <v>1457509.348095238</v>
      </c>
      <c r="P154" s="198">
        <v>6950338.9882416185</v>
      </c>
      <c r="Q154" s="198">
        <v>89</v>
      </c>
      <c r="R154" s="198">
        <v>19</v>
      </c>
      <c r="S154" s="198">
        <v>118</v>
      </c>
      <c r="T154" s="198">
        <v>59</v>
      </c>
      <c r="U154" s="198">
        <v>57</v>
      </c>
      <c r="V154" s="198">
        <v>877</v>
      </c>
      <c r="W154" s="198">
        <v>222</v>
      </c>
      <c r="X154" s="198">
        <v>222</v>
      </c>
      <c r="Y154" s="198">
        <v>100</v>
      </c>
      <c r="Z154" s="198">
        <v>1746</v>
      </c>
      <c r="AA154" s="198">
        <v>1</v>
      </c>
      <c r="AB154" s="198">
        <v>0</v>
      </c>
      <c r="AC154" s="198">
        <v>16</v>
      </c>
      <c r="AD154" s="198">
        <v>733.24</v>
      </c>
      <c r="AE154" s="198">
        <v>2.4043969232447764</v>
      </c>
      <c r="AF154" s="198">
        <v>544</v>
      </c>
      <c r="AG154" s="198">
        <v>2828914.351551188</v>
      </c>
      <c r="AH154" s="198">
        <v>1563748.07147459</v>
      </c>
      <c r="AI154" s="198">
        <v>961197.4650609454</v>
      </c>
      <c r="AJ154" s="198">
        <v>303968.8150156529</v>
      </c>
      <c r="AK154" s="198">
        <v>104</v>
      </c>
      <c r="AL154" s="198">
        <v>707</v>
      </c>
      <c r="AM154" s="198">
        <v>1.1800277404680681</v>
      </c>
      <c r="AN154" s="198">
        <v>16</v>
      </c>
      <c r="AO154" s="198">
        <v>0.009075439591605219</v>
      </c>
      <c r="AP154" s="198">
        <v>0.007351895985951996</v>
      </c>
      <c r="AQ154" s="198">
        <v>0</v>
      </c>
      <c r="AR154" s="198">
        <v>1</v>
      </c>
      <c r="AS154" s="198">
        <v>0</v>
      </c>
      <c r="AT154" s="198">
        <v>0</v>
      </c>
      <c r="AU154" s="198">
        <v>733.24</v>
      </c>
      <c r="AV154" s="198">
        <v>2.4043969232447764</v>
      </c>
      <c r="AW154" s="198">
        <v>7.487304245334673</v>
      </c>
      <c r="AX154" s="198">
        <v>55</v>
      </c>
      <c r="AY154" s="198">
        <v>432</v>
      </c>
      <c r="AZ154" s="198">
        <v>0.12731481481481483</v>
      </c>
      <c r="BA154" s="198">
        <v>0.06362595611916265</v>
      </c>
      <c r="BB154" s="198">
        <v>0.143</v>
      </c>
      <c r="BC154" s="198">
        <v>608</v>
      </c>
      <c r="BD154" s="198">
        <v>587</v>
      </c>
      <c r="BE154" s="198">
        <v>1.0357751277683134</v>
      </c>
      <c r="BF154" s="198">
        <v>0.6061362734719249</v>
      </c>
      <c r="BG154" s="198">
        <v>0</v>
      </c>
      <c r="BH154" s="198">
        <v>0</v>
      </c>
      <c r="BI154" s="198">
        <v>-176.3</v>
      </c>
      <c r="BJ154" s="198">
        <v>-423.12</v>
      </c>
      <c r="BK154" s="198">
        <v>-7228.299999999999</v>
      </c>
      <c r="BL154" s="198">
        <v>-652.31</v>
      </c>
      <c r="BM154" s="198">
        <v>-9396.79</v>
      </c>
      <c r="BN154" s="198">
        <v>-211.56</v>
      </c>
      <c r="BO154" s="198">
        <v>35851</v>
      </c>
      <c r="BP154" s="198">
        <v>30935.09080532845</v>
      </c>
      <c r="BQ154" s="198">
        <v>201000</v>
      </c>
      <c r="BR154" s="198">
        <v>58208</v>
      </c>
      <c r="BS154" s="198">
        <v>145030.28769449375</v>
      </c>
      <c r="BT154" s="198">
        <v>7608.706656098017</v>
      </c>
      <c r="BU154" s="198">
        <v>11383.485910040366</v>
      </c>
      <c r="BV154" s="198">
        <v>76181.8023706329</v>
      </c>
      <c r="BW154" s="198">
        <v>97904.40661191673</v>
      </c>
      <c r="BX154" s="198">
        <v>158.67</v>
      </c>
      <c r="BY154" s="198">
        <v>-16999.544491988687</v>
      </c>
      <c r="BZ154" s="198">
        <v>647261.9055565216</v>
      </c>
      <c r="CA154" s="198">
        <v>613888.3155565216</v>
      </c>
      <c r="CB154" s="198">
        <v>59594.22306180932</v>
      </c>
      <c r="CC154" s="232">
        <v>1457509.348095238</v>
      </c>
      <c r="CD154" s="198">
        <v>-514517</v>
      </c>
      <c r="CE154" s="198">
        <v>2428.221899999997</v>
      </c>
      <c r="CH154" s="198">
        <v>1777</v>
      </c>
    </row>
    <row r="155" spans="1:86" ht="11.25">
      <c r="A155" s="198">
        <v>498</v>
      </c>
      <c r="B155" s="198" t="s">
        <v>231</v>
      </c>
      <c r="C155" s="198">
        <v>2375</v>
      </c>
      <c r="D155" s="198">
        <v>8256401.410000001</v>
      </c>
      <c r="E155" s="198">
        <v>2519554.607602513</v>
      </c>
      <c r="F155" s="198">
        <v>1950259.6947773325</v>
      </c>
      <c r="G155" s="198">
        <v>12726215.712379847</v>
      </c>
      <c r="H155" s="198">
        <v>3642.26</v>
      </c>
      <c r="I155" s="198">
        <v>8650367.5</v>
      </c>
      <c r="J155" s="198">
        <v>4075848.2123798467</v>
      </c>
      <c r="K155" s="198">
        <v>2701894.6484527667</v>
      </c>
      <c r="L155" s="198">
        <v>887496.5450949656</v>
      </c>
      <c r="M155" s="198">
        <v>-150486.42711313628</v>
      </c>
      <c r="N155" s="198">
        <v>7514752.978814443</v>
      </c>
      <c r="O155" s="198">
        <v>1288720.4185060249</v>
      </c>
      <c r="P155" s="198">
        <v>8803473.397320468</v>
      </c>
      <c r="Q155" s="198">
        <v>159</v>
      </c>
      <c r="R155" s="198">
        <v>26</v>
      </c>
      <c r="S155" s="198">
        <v>140</v>
      </c>
      <c r="T155" s="198">
        <v>67</v>
      </c>
      <c r="U155" s="198">
        <v>78</v>
      </c>
      <c r="V155" s="198">
        <v>1361</v>
      </c>
      <c r="W155" s="198">
        <v>316</v>
      </c>
      <c r="X155" s="198">
        <v>160</v>
      </c>
      <c r="Y155" s="198">
        <v>68</v>
      </c>
      <c r="Z155" s="198">
        <v>2251</v>
      </c>
      <c r="AA155" s="198">
        <v>13</v>
      </c>
      <c r="AB155" s="198">
        <v>5</v>
      </c>
      <c r="AC155" s="198">
        <v>106</v>
      </c>
      <c r="AD155" s="198">
        <v>1903.87</v>
      </c>
      <c r="AE155" s="198">
        <v>1.2474591227342204</v>
      </c>
      <c r="AF155" s="198">
        <v>544</v>
      </c>
      <c r="AG155" s="198">
        <v>2519554.607602513</v>
      </c>
      <c r="AH155" s="198">
        <v>1579216.5388302288</v>
      </c>
      <c r="AI155" s="198">
        <v>723217.4866182464</v>
      </c>
      <c r="AJ155" s="198">
        <v>217120.58215403784</v>
      </c>
      <c r="AK155" s="198">
        <v>188</v>
      </c>
      <c r="AL155" s="198">
        <v>1059</v>
      </c>
      <c r="AM155" s="198">
        <v>1.424098997167627</v>
      </c>
      <c r="AN155" s="198">
        <v>106</v>
      </c>
      <c r="AO155" s="198">
        <v>0.04463157894736842</v>
      </c>
      <c r="AP155" s="198">
        <v>0.042908035341715195</v>
      </c>
      <c r="AQ155" s="198">
        <v>0</v>
      </c>
      <c r="AR155" s="198">
        <v>13</v>
      </c>
      <c r="AS155" s="198">
        <v>5</v>
      </c>
      <c r="AT155" s="198">
        <v>0</v>
      </c>
      <c r="AU155" s="198">
        <v>1903.87</v>
      </c>
      <c r="AV155" s="198">
        <v>1.2474591227342204</v>
      </c>
      <c r="AW155" s="198">
        <v>14.431295553333962</v>
      </c>
      <c r="AX155" s="198">
        <v>111</v>
      </c>
      <c r="AY155" s="198">
        <v>696</v>
      </c>
      <c r="AZ155" s="198">
        <v>0.15948275862068967</v>
      </c>
      <c r="BA155" s="198">
        <v>0.09579389992503749</v>
      </c>
      <c r="BB155" s="198">
        <v>1.7632833333333333</v>
      </c>
      <c r="BC155" s="198">
        <v>938</v>
      </c>
      <c r="BD155" s="198">
        <v>931</v>
      </c>
      <c r="BE155" s="198">
        <v>1.0075187969924813</v>
      </c>
      <c r="BF155" s="198">
        <v>0.5778799426960928</v>
      </c>
      <c r="BG155" s="198">
        <v>0</v>
      </c>
      <c r="BH155" s="198">
        <v>5</v>
      </c>
      <c r="BI155" s="198">
        <v>-237.5</v>
      </c>
      <c r="BJ155" s="198">
        <v>-570</v>
      </c>
      <c r="BK155" s="198">
        <v>-9737.5</v>
      </c>
      <c r="BL155" s="198">
        <v>-878.75</v>
      </c>
      <c r="BM155" s="198">
        <v>-12658.75</v>
      </c>
      <c r="BN155" s="198">
        <v>-285</v>
      </c>
      <c r="BO155" s="198">
        <v>21632</v>
      </c>
      <c r="BP155" s="198">
        <v>250073.0429299483</v>
      </c>
      <c r="BQ155" s="198">
        <v>181502</v>
      </c>
      <c r="BR155" s="198">
        <v>72651</v>
      </c>
      <c r="BS155" s="198">
        <v>189835.50121662323</v>
      </c>
      <c r="BT155" s="198">
        <v>9827.294284804399</v>
      </c>
      <c r="BU155" s="198">
        <v>18290.03388256738</v>
      </c>
      <c r="BV155" s="198">
        <v>66345.62201419225</v>
      </c>
      <c r="BW155" s="198">
        <v>137161.82554906685</v>
      </c>
      <c r="BX155" s="198">
        <v>213.75</v>
      </c>
      <c r="BY155" s="198">
        <v>-15076.774782236955</v>
      </c>
      <c r="BZ155" s="198">
        <v>932455.2950949656</v>
      </c>
      <c r="CA155" s="198">
        <v>887496.5450949656</v>
      </c>
      <c r="CB155" s="198">
        <v>-150486.42711313628</v>
      </c>
      <c r="CC155" s="232">
        <v>1288720.4185060249</v>
      </c>
      <c r="CD155" s="198">
        <v>-2501</v>
      </c>
      <c r="CE155" s="198">
        <v>38602.50200000001</v>
      </c>
      <c r="CH155" s="198">
        <v>2383</v>
      </c>
    </row>
    <row r="156" spans="1:86" ht="11.25">
      <c r="A156" s="198">
        <v>499</v>
      </c>
      <c r="B156" s="198" t="s">
        <v>232</v>
      </c>
      <c r="C156" s="198">
        <v>19287</v>
      </c>
      <c r="D156" s="198">
        <v>73534265.49</v>
      </c>
      <c r="E156" s="198">
        <v>17302536.74495213</v>
      </c>
      <c r="F156" s="198">
        <v>6056096.089434529</v>
      </c>
      <c r="G156" s="198">
        <v>96892898.32438666</v>
      </c>
      <c r="H156" s="198">
        <v>3642.26</v>
      </c>
      <c r="I156" s="198">
        <v>70248268.62</v>
      </c>
      <c r="J156" s="198">
        <v>26644629.70438665</v>
      </c>
      <c r="K156" s="198">
        <v>149040.151685095</v>
      </c>
      <c r="L156" s="198">
        <v>3773369.6466471246</v>
      </c>
      <c r="M156" s="198">
        <v>0</v>
      </c>
      <c r="N156" s="198">
        <v>30567039.502718873</v>
      </c>
      <c r="O156" s="198">
        <v>1967059.8433734966</v>
      </c>
      <c r="P156" s="198">
        <v>32534099.34609237</v>
      </c>
      <c r="Q156" s="198">
        <v>1643</v>
      </c>
      <c r="R156" s="198">
        <v>259</v>
      </c>
      <c r="S156" s="198">
        <v>1510</v>
      </c>
      <c r="T156" s="198">
        <v>705</v>
      </c>
      <c r="U156" s="198">
        <v>681</v>
      </c>
      <c r="V156" s="198">
        <v>10713</v>
      </c>
      <c r="W156" s="198">
        <v>2070</v>
      </c>
      <c r="X156" s="198">
        <v>1137</v>
      </c>
      <c r="Y156" s="198">
        <v>569</v>
      </c>
      <c r="Z156" s="198">
        <v>5612</v>
      </c>
      <c r="AA156" s="198">
        <v>13267</v>
      </c>
      <c r="AB156" s="198">
        <v>1</v>
      </c>
      <c r="AC156" s="198">
        <v>407</v>
      </c>
      <c r="AD156" s="198">
        <v>848.72</v>
      </c>
      <c r="AE156" s="198">
        <v>22.7248091243284</v>
      </c>
      <c r="AF156" s="198">
        <v>3776</v>
      </c>
      <c r="AG156" s="198">
        <v>17302536.74495213</v>
      </c>
      <c r="AH156" s="198">
        <v>9994648.95379765</v>
      </c>
      <c r="AI156" s="198">
        <v>5753304.42293157</v>
      </c>
      <c r="AJ156" s="198">
        <v>1554583.3682229111</v>
      </c>
      <c r="AK156" s="198">
        <v>511</v>
      </c>
      <c r="AL156" s="198">
        <v>9600</v>
      </c>
      <c r="AM156" s="198">
        <v>0.4270000821244815</v>
      </c>
      <c r="AN156" s="198">
        <v>407</v>
      </c>
      <c r="AO156" s="198">
        <v>0.021102296883911444</v>
      </c>
      <c r="AP156" s="198">
        <v>0.01937875327825822</v>
      </c>
      <c r="AQ156" s="198">
        <v>3</v>
      </c>
      <c r="AR156" s="198">
        <v>13267</v>
      </c>
      <c r="AS156" s="198">
        <v>1</v>
      </c>
      <c r="AT156" s="198">
        <v>1</v>
      </c>
      <c r="AU156" s="198">
        <v>848.72</v>
      </c>
      <c r="AV156" s="198">
        <v>22.7248091243284</v>
      </c>
      <c r="AW156" s="198">
        <v>0.7921937294341204</v>
      </c>
      <c r="AX156" s="198">
        <v>540</v>
      </c>
      <c r="AY156" s="198">
        <v>6420</v>
      </c>
      <c r="AZ156" s="198">
        <v>0.08411214953271028</v>
      </c>
      <c r="BA156" s="198">
        <v>0.0204232908370581</v>
      </c>
      <c r="BB156" s="198">
        <v>0</v>
      </c>
      <c r="BC156" s="198">
        <v>5008</v>
      </c>
      <c r="BD156" s="198">
        <v>9073</v>
      </c>
      <c r="BE156" s="198">
        <v>0.5519673757301885</v>
      </c>
      <c r="BF156" s="198">
        <v>0.12232852143379996</v>
      </c>
      <c r="BG156" s="198">
        <v>0</v>
      </c>
      <c r="BH156" s="198">
        <v>1</v>
      </c>
      <c r="BI156" s="198">
        <v>-1928.7</v>
      </c>
      <c r="BJ156" s="198">
        <v>-4628.88</v>
      </c>
      <c r="BK156" s="198">
        <v>-79076.7</v>
      </c>
      <c r="BL156" s="198">
        <v>-7136.19</v>
      </c>
      <c r="BM156" s="198">
        <v>-102799.71</v>
      </c>
      <c r="BN156" s="198">
        <v>-2314.44</v>
      </c>
      <c r="BO156" s="198">
        <v>-186509</v>
      </c>
      <c r="BP156" s="198">
        <v>184900.8623964414</v>
      </c>
      <c r="BQ156" s="198">
        <v>1354331</v>
      </c>
      <c r="BR156" s="198">
        <v>457111</v>
      </c>
      <c r="BS156" s="198">
        <v>972889.3078533442</v>
      </c>
      <c r="BT156" s="198">
        <v>21636.19619890987</v>
      </c>
      <c r="BU156" s="198">
        <v>12412.837833004593</v>
      </c>
      <c r="BV156" s="198">
        <v>412351.04040340486</v>
      </c>
      <c r="BW156" s="198">
        <v>960327.6066283955</v>
      </c>
      <c r="BX156" s="198">
        <v>1735.83</v>
      </c>
      <c r="BY156" s="198">
        <v>-52714.12466637585</v>
      </c>
      <c r="BZ156" s="198">
        <v>4138472.5566471247</v>
      </c>
      <c r="CA156" s="198">
        <v>3773369.6466471246</v>
      </c>
      <c r="CB156" s="198">
        <v>0</v>
      </c>
      <c r="CC156" s="232">
        <v>1967059.8433734966</v>
      </c>
      <c r="CD156" s="198">
        <v>-2519333</v>
      </c>
      <c r="CE156" s="198">
        <v>-230257.6982199999</v>
      </c>
      <c r="CH156" s="198">
        <v>19153</v>
      </c>
    </row>
    <row r="157" spans="1:86" ht="11.25">
      <c r="A157" s="198">
        <v>500</v>
      </c>
      <c r="B157" s="198" t="s">
        <v>233</v>
      </c>
      <c r="C157" s="198">
        <v>9700</v>
      </c>
      <c r="D157" s="198">
        <v>35231959.510000005</v>
      </c>
      <c r="E157" s="198">
        <v>8328746.140461845</v>
      </c>
      <c r="F157" s="198">
        <v>1166914.3525554477</v>
      </c>
      <c r="G157" s="198">
        <v>44727620.0030173</v>
      </c>
      <c r="H157" s="198">
        <v>3642.26</v>
      </c>
      <c r="I157" s="198">
        <v>35329922</v>
      </c>
      <c r="J157" s="198">
        <v>9397698.003017299</v>
      </c>
      <c r="K157" s="198">
        <v>138659.28871717936</v>
      </c>
      <c r="L157" s="198">
        <v>1081725.1492047417</v>
      </c>
      <c r="M157" s="198">
        <v>0</v>
      </c>
      <c r="N157" s="198">
        <v>10618082.44093922</v>
      </c>
      <c r="O157" s="198">
        <v>-29958.63120684665</v>
      </c>
      <c r="P157" s="198">
        <v>10588123.809732374</v>
      </c>
      <c r="Q157" s="198">
        <v>819</v>
      </c>
      <c r="R157" s="198">
        <v>156</v>
      </c>
      <c r="S157" s="198">
        <v>921</v>
      </c>
      <c r="T157" s="198">
        <v>416</v>
      </c>
      <c r="U157" s="198">
        <v>418</v>
      </c>
      <c r="V157" s="198">
        <v>5499</v>
      </c>
      <c r="W157" s="198">
        <v>921</v>
      </c>
      <c r="X157" s="198">
        <v>429</v>
      </c>
      <c r="Y157" s="198">
        <v>121</v>
      </c>
      <c r="Z157" s="198">
        <v>9575</v>
      </c>
      <c r="AA157" s="198">
        <v>10</v>
      </c>
      <c r="AB157" s="198">
        <v>1</v>
      </c>
      <c r="AC157" s="198">
        <v>114</v>
      </c>
      <c r="AD157" s="198">
        <v>144.06</v>
      </c>
      <c r="AE157" s="198">
        <v>67.33305567124809</v>
      </c>
      <c r="AF157" s="198">
        <v>1471</v>
      </c>
      <c r="AG157" s="198">
        <v>8328746.140461845</v>
      </c>
      <c r="AH157" s="198">
        <v>5168340.595463326</v>
      </c>
      <c r="AI157" s="198">
        <v>2170335.690376107</v>
      </c>
      <c r="AJ157" s="198">
        <v>990069.8546224125</v>
      </c>
      <c r="AK157" s="198">
        <v>565</v>
      </c>
      <c r="AL157" s="198">
        <v>4693</v>
      </c>
      <c r="AM157" s="198">
        <v>0.965775502525595</v>
      </c>
      <c r="AN157" s="198">
        <v>114</v>
      </c>
      <c r="AO157" s="198">
        <v>0.011752577319587629</v>
      </c>
      <c r="AP157" s="198">
        <v>0.010029033713934406</v>
      </c>
      <c r="AQ157" s="198">
        <v>0</v>
      </c>
      <c r="AR157" s="198">
        <v>10</v>
      </c>
      <c r="AS157" s="198">
        <v>1</v>
      </c>
      <c r="AT157" s="198">
        <v>0</v>
      </c>
      <c r="AU157" s="198">
        <v>144.06</v>
      </c>
      <c r="AV157" s="198">
        <v>67.33305567124809</v>
      </c>
      <c r="AW157" s="198">
        <v>0.267364240511774</v>
      </c>
      <c r="AX157" s="198">
        <v>243</v>
      </c>
      <c r="AY157" s="198">
        <v>3443</v>
      </c>
      <c r="AZ157" s="198">
        <v>0.07057798431600348</v>
      </c>
      <c r="BA157" s="198">
        <v>0.006889125620351308</v>
      </c>
      <c r="BB157" s="198">
        <v>0</v>
      </c>
      <c r="BC157" s="198">
        <v>2749</v>
      </c>
      <c r="BD157" s="198">
        <v>4191</v>
      </c>
      <c r="BE157" s="198">
        <v>0.6559293724648055</v>
      </c>
      <c r="BF157" s="198">
        <v>0.226290518168417</v>
      </c>
      <c r="BG157" s="198">
        <v>0</v>
      </c>
      <c r="BH157" s="198">
        <v>1</v>
      </c>
      <c r="BI157" s="198">
        <v>-970</v>
      </c>
      <c r="BJ157" s="198">
        <v>-2328</v>
      </c>
      <c r="BK157" s="198">
        <v>-39770</v>
      </c>
      <c r="BL157" s="198">
        <v>-3589</v>
      </c>
      <c r="BM157" s="198">
        <v>-51701</v>
      </c>
      <c r="BN157" s="198">
        <v>-1164</v>
      </c>
      <c r="BO157" s="198">
        <v>104302</v>
      </c>
      <c r="BP157" s="198">
        <v>-63532.664028301835</v>
      </c>
      <c r="BQ157" s="198">
        <v>581389</v>
      </c>
      <c r="BR157" s="198">
        <v>183400</v>
      </c>
      <c r="BS157" s="198">
        <v>363140.8708062557</v>
      </c>
      <c r="BT157" s="198">
        <v>3914.9002659224384</v>
      </c>
      <c r="BU157" s="198">
        <v>-423439.1547483835</v>
      </c>
      <c r="BV157" s="198">
        <v>128225.02205424709</v>
      </c>
      <c r="BW157" s="198">
        <v>377775.13580550376</v>
      </c>
      <c r="BX157" s="198">
        <v>873</v>
      </c>
      <c r="BY157" s="198">
        <v>9298.039049497762</v>
      </c>
      <c r="BZ157" s="198">
        <v>1265346.1492047417</v>
      </c>
      <c r="CA157" s="198">
        <v>1081725.1492047417</v>
      </c>
      <c r="CB157" s="198">
        <v>0</v>
      </c>
      <c r="CC157" s="232">
        <v>-29958.63120684665</v>
      </c>
      <c r="CD157" s="198">
        <v>-1230063</v>
      </c>
      <c r="CE157" s="198">
        <v>-157635.18477999995</v>
      </c>
      <c r="CH157" s="198">
        <v>9572</v>
      </c>
    </row>
    <row r="158" spans="1:86" ht="11.25">
      <c r="A158" s="198">
        <v>503</v>
      </c>
      <c r="B158" s="198" t="s">
        <v>234</v>
      </c>
      <c r="C158" s="198">
        <v>7917</v>
      </c>
      <c r="D158" s="198">
        <v>29368884.269999996</v>
      </c>
      <c r="E158" s="198">
        <v>8958426.779649934</v>
      </c>
      <c r="F158" s="198">
        <v>1368203.770961782</v>
      </c>
      <c r="G158" s="198">
        <v>39695514.820611715</v>
      </c>
      <c r="H158" s="198">
        <v>3642.26</v>
      </c>
      <c r="I158" s="198">
        <v>28835772.42</v>
      </c>
      <c r="J158" s="198">
        <v>10859742.400611714</v>
      </c>
      <c r="K158" s="198">
        <v>95710.61699422622</v>
      </c>
      <c r="L158" s="198">
        <v>1818050.4147088272</v>
      </c>
      <c r="M158" s="198">
        <v>2488.2864183783954</v>
      </c>
      <c r="N158" s="198">
        <v>12775991.718733145</v>
      </c>
      <c r="O158" s="198">
        <v>4317783.226439022</v>
      </c>
      <c r="P158" s="198">
        <v>17093774.94517217</v>
      </c>
      <c r="Q158" s="198">
        <v>451</v>
      </c>
      <c r="R158" s="198">
        <v>93</v>
      </c>
      <c r="S158" s="198">
        <v>510</v>
      </c>
      <c r="T158" s="198">
        <v>310</v>
      </c>
      <c r="U158" s="198">
        <v>308</v>
      </c>
      <c r="V158" s="198">
        <v>4409</v>
      </c>
      <c r="W158" s="198">
        <v>1005</v>
      </c>
      <c r="X158" s="198">
        <v>557</v>
      </c>
      <c r="Y158" s="198">
        <v>274</v>
      </c>
      <c r="Z158" s="198">
        <v>7746</v>
      </c>
      <c r="AA158" s="198">
        <v>58</v>
      </c>
      <c r="AB158" s="198">
        <v>0</v>
      </c>
      <c r="AC158" s="198">
        <v>113</v>
      </c>
      <c r="AD158" s="198">
        <v>519.77</v>
      </c>
      <c r="AE158" s="198">
        <v>15.23173711449295</v>
      </c>
      <c r="AF158" s="198">
        <v>1836</v>
      </c>
      <c r="AG158" s="198">
        <v>8958426.779649934</v>
      </c>
      <c r="AH158" s="198">
        <v>4999490.062328614</v>
      </c>
      <c r="AI158" s="198">
        <v>2760431.1038310304</v>
      </c>
      <c r="AJ158" s="198">
        <v>1198505.6134902888</v>
      </c>
      <c r="AK158" s="198">
        <v>349</v>
      </c>
      <c r="AL158" s="198">
        <v>3778</v>
      </c>
      <c r="AM158" s="198">
        <v>0.7410401941562298</v>
      </c>
      <c r="AN158" s="198">
        <v>113</v>
      </c>
      <c r="AO158" s="198">
        <v>0.01427308323860048</v>
      </c>
      <c r="AP158" s="198">
        <v>0.012549539632947257</v>
      </c>
      <c r="AQ158" s="198">
        <v>0</v>
      </c>
      <c r="AR158" s="198">
        <v>58</v>
      </c>
      <c r="AS158" s="198">
        <v>0</v>
      </c>
      <c r="AT158" s="198">
        <v>0</v>
      </c>
      <c r="AU158" s="198">
        <v>519.77</v>
      </c>
      <c r="AV158" s="198">
        <v>15.23173711449295</v>
      </c>
      <c r="AW158" s="198">
        <v>1.1819040176153623</v>
      </c>
      <c r="AX158" s="198">
        <v>363</v>
      </c>
      <c r="AY158" s="198">
        <v>2488</v>
      </c>
      <c r="AZ158" s="198">
        <v>0.14590032154340837</v>
      </c>
      <c r="BA158" s="198">
        <v>0.0822114628477562</v>
      </c>
      <c r="BB158" s="198">
        <v>0</v>
      </c>
      <c r="BC158" s="198">
        <v>2104</v>
      </c>
      <c r="BD158" s="198">
        <v>3388</v>
      </c>
      <c r="BE158" s="198">
        <v>0.6210153482880756</v>
      </c>
      <c r="BF158" s="198">
        <v>0.19137649399168705</v>
      </c>
      <c r="BG158" s="198">
        <v>0</v>
      </c>
      <c r="BH158" s="198">
        <v>0</v>
      </c>
      <c r="BI158" s="198">
        <v>-791.7</v>
      </c>
      <c r="BJ158" s="198">
        <v>-1900.08</v>
      </c>
      <c r="BK158" s="198">
        <v>-32459.699999999997</v>
      </c>
      <c r="BL158" s="198">
        <v>-2929.29</v>
      </c>
      <c r="BM158" s="198">
        <v>-42197.61</v>
      </c>
      <c r="BN158" s="198">
        <v>-950.04</v>
      </c>
      <c r="BO158" s="198">
        <v>-137561</v>
      </c>
      <c r="BP158" s="198">
        <v>16050.776211857796</v>
      </c>
      <c r="BQ158" s="198">
        <v>672555</v>
      </c>
      <c r="BR158" s="198">
        <v>216780</v>
      </c>
      <c r="BS158" s="198">
        <v>474562.0938275964</v>
      </c>
      <c r="BT158" s="198">
        <v>15988.73824683974</v>
      </c>
      <c r="BU158" s="198">
        <v>78732.96706707103</v>
      </c>
      <c r="BV158" s="198">
        <v>195548.96349423224</v>
      </c>
      <c r="BW158" s="198">
        <v>430044.10712110635</v>
      </c>
      <c r="BX158" s="198">
        <v>712.53</v>
      </c>
      <c r="BY158" s="198">
        <v>4505.048740123515</v>
      </c>
      <c r="BZ158" s="198">
        <v>1967919.2247088272</v>
      </c>
      <c r="CA158" s="198">
        <v>1818050.4147088272</v>
      </c>
      <c r="CB158" s="198">
        <v>2488.2864183783954</v>
      </c>
      <c r="CC158" s="232">
        <v>4317783.226439022</v>
      </c>
      <c r="CD158" s="198">
        <v>-423535</v>
      </c>
      <c r="CE158" s="198">
        <v>39847.744000000006</v>
      </c>
      <c r="CH158" s="198">
        <v>7950</v>
      </c>
    </row>
    <row r="159" spans="1:86" ht="11.25">
      <c r="A159" s="198">
        <v>504</v>
      </c>
      <c r="B159" s="198" t="s">
        <v>235</v>
      </c>
      <c r="C159" s="198">
        <v>1985</v>
      </c>
      <c r="D159" s="198">
        <v>7065379.16</v>
      </c>
      <c r="E159" s="198">
        <v>2100240.6897742026</v>
      </c>
      <c r="F159" s="198">
        <v>587603.653386234</v>
      </c>
      <c r="G159" s="198">
        <v>9753223.503160436</v>
      </c>
      <c r="H159" s="198">
        <v>3642.26</v>
      </c>
      <c r="I159" s="198">
        <v>7229886.100000001</v>
      </c>
      <c r="J159" s="198">
        <v>2523337.403160435</v>
      </c>
      <c r="K159" s="198">
        <v>23486.22246860304</v>
      </c>
      <c r="L159" s="198">
        <v>734237.5397643495</v>
      </c>
      <c r="M159" s="198">
        <v>49981.91624852921</v>
      </c>
      <c r="N159" s="198">
        <v>3331043.0816419167</v>
      </c>
      <c r="O159" s="198">
        <v>1461950.1460000002</v>
      </c>
      <c r="P159" s="198">
        <v>4792993.227641917</v>
      </c>
      <c r="Q159" s="198">
        <v>128</v>
      </c>
      <c r="R159" s="198">
        <v>21</v>
      </c>
      <c r="S159" s="198">
        <v>135</v>
      </c>
      <c r="T159" s="198">
        <v>55</v>
      </c>
      <c r="U159" s="198">
        <v>65</v>
      </c>
      <c r="V159" s="198">
        <v>1089</v>
      </c>
      <c r="W159" s="198">
        <v>274</v>
      </c>
      <c r="X159" s="198">
        <v>164</v>
      </c>
      <c r="Y159" s="198">
        <v>54</v>
      </c>
      <c r="Z159" s="198">
        <v>1753</v>
      </c>
      <c r="AA159" s="198">
        <v>185</v>
      </c>
      <c r="AB159" s="198">
        <v>0</v>
      </c>
      <c r="AC159" s="198">
        <v>47</v>
      </c>
      <c r="AD159" s="198">
        <v>200.37</v>
      </c>
      <c r="AE159" s="198">
        <v>9.906672655587164</v>
      </c>
      <c r="AF159" s="198">
        <v>492</v>
      </c>
      <c r="AG159" s="198">
        <v>2100240.6897742026</v>
      </c>
      <c r="AH159" s="198">
        <v>1217254.4027082757</v>
      </c>
      <c r="AI159" s="198">
        <v>613756.76519492</v>
      </c>
      <c r="AJ159" s="198">
        <v>269229.52187100693</v>
      </c>
      <c r="AK159" s="198">
        <v>116</v>
      </c>
      <c r="AL159" s="198">
        <v>913</v>
      </c>
      <c r="AM159" s="198">
        <v>1.0192142877587331</v>
      </c>
      <c r="AN159" s="198">
        <v>47</v>
      </c>
      <c r="AO159" s="198">
        <v>0.02367758186397985</v>
      </c>
      <c r="AP159" s="198">
        <v>0.021954038258326626</v>
      </c>
      <c r="AQ159" s="198">
        <v>1</v>
      </c>
      <c r="AR159" s="198">
        <v>185</v>
      </c>
      <c r="AS159" s="198">
        <v>0</v>
      </c>
      <c r="AT159" s="198">
        <v>0</v>
      </c>
      <c r="AU159" s="198">
        <v>200.37</v>
      </c>
      <c r="AV159" s="198">
        <v>9.906672655587164</v>
      </c>
      <c r="AW159" s="198">
        <v>1.8172046172058811</v>
      </c>
      <c r="AX159" s="198">
        <v>103</v>
      </c>
      <c r="AY159" s="198">
        <v>599</v>
      </c>
      <c r="AZ159" s="198">
        <v>0.17195325542570952</v>
      </c>
      <c r="BA159" s="198">
        <v>0.10826439673005735</v>
      </c>
      <c r="BB159" s="198">
        <v>0</v>
      </c>
      <c r="BC159" s="198">
        <v>488</v>
      </c>
      <c r="BD159" s="198">
        <v>791</v>
      </c>
      <c r="BE159" s="198">
        <v>0.6169405815423514</v>
      </c>
      <c r="BF159" s="198">
        <v>0.1873017272459629</v>
      </c>
      <c r="BG159" s="198">
        <v>0</v>
      </c>
      <c r="BH159" s="198">
        <v>0</v>
      </c>
      <c r="BI159" s="198">
        <v>-198.5</v>
      </c>
      <c r="BJ159" s="198">
        <v>-476.4</v>
      </c>
      <c r="BK159" s="198">
        <v>-8138.499999999999</v>
      </c>
      <c r="BL159" s="198">
        <v>-734.45</v>
      </c>
      <c r="BM159" s="198">
        <v>-10580.05</v>
      </c>
      <c r="BN159" s="198">
        <v>-238.2</v>
      </c>
      <c r="BO159" s="198">
        <v>-5293</v>
      </c>
      <c r="BP159" s="198">
        <v>166062.03001650702</v>
      </c>
      <c r="BQ159" s="198">
        <v>195468</v>
      </c>
      <c r="BR159" s="198">
        <v>62369</v>
      </c>
      <c r="BS159" s="198">
        <v>141372.8779053007</v>
      </c>
      <c r="BT159" s="198">
        <v>6568.424044971691</v>
      </c>
      <c r="BU159" s="198">
        <v>18572.25033574297</v>
      </c>
      <c r="BV159" s="198">
        <v>55129.76659964208</v>
      </c>
      <c r="BW159" s="198">
        <v>118785.76339132918</v>
      </c>
      <c r="BX159" s="198">
        <v>178.65</v>
      </c>
      <c r="BY159" s="198">
        <v>12599.827470855751</v>
      </c>
      <c r="BZ159" s="198">
        <v>771813.5897643495</v>
      </c>
      <c r="CA159" s="198">
        <v>734237.5397643495</v>
      </c>
      <c r="CB159" s="198">
        <v>49981.91624852921</v>
      </c>
      <c r="CC159" s="232">
        <v>1461950.1460000002</v>
      </c>
      <c r="CD159" s="198">
        <v>-538708</v>
      </c>
      <c r="CE159" s="198">
        <v>-726362.1110200001</v>
      </c>
      <c r="CH159" s="198">
        <v>1987</v>
      </c>
    </row>
    <row r="160" spans="1:86" ht="11.25">
      <c r="A160" s="198">
        <v>505</v>
      </c>
      <c r="B160" s="198" t="s">
        <v>236</v>
      </c>
      <c r="C160" s="198">
        <v>20621</v>
      </c>
      <c r="D160" s="198">
        <v>75608936.19999999</v>
      </c>
      <c r="E160" s="198">
        <v>20062782.57971152</v>
      </c>
      <c r="F160" s="198">
        <v>2922497.242998245</v>
      </c>
      <c r="G160" s="198">
        <v>98594216.02270976</v>
      </c>
      <c r="H160" s="198">
        <v>3642.26</v>
      </c>
      <c r="I160" s="198">
        <v>75107043.46000001</v>
      </c>
      <c r="J160" s="198">
        <v>23487172.56270975</v>
      </c>
      <c r="K160" s="198">
        <v>252873.58727390794</v>
      </c>
      <c r="L160" s="198">
        <v>3730010.8219046923</v>
      </c>
      <c r="M160" s="198">
        <v>0</v>
      </c>
      <c r="N160" s="198">
        <v>27470056.97188835</v>
      </c>
      <c r="O160" s="198">
        <v>4890625.744000002</v>
      </c>
      <c r="P160" s="198">
        <v>32360682.71588835</v>
      </c>
      <c r="Q160" s="198">
        <v>1678</v>
      </c>
      <c r="R160" s="198">
        <v>330</v>
      </c>
      <c r="S160" s="198">
        <v>1800</v>
      </c>
      <c r="T160" s="198">
        <v>920</v>
      </c>
      <c r="U160" s="198">
        <v>828</v>
      </c>
      <c r="V160" s="198">
        <v>11752</v>
      </c>
      <c r="W160" s="198">
        <v>1992</v>
      </c>
      <c r="X160" s="198">
        <v>976</v>
      </c>
      <c r="Y160" s="198">
        <v>345</v>
      </c>
      <c r="Z160" s="198">
        <v>19986</v>
      </c>
      <c r="AA160" s="198">
        <v>192</v>
      </c>
      <c r="AB160" s="198">
        <v>2</v>
      </c>
      <c r="AC160" s="198">
        <v>441</v>
      </c>
      <c r="AD160" s="198">
        <v>580.83</v>
      </c>
      <c r="AE160" s="198">
        <v>35.50264276982938</v>
      </c>
      <c r="AF160" s="198">
        <v>3313</v>
      </c>
      <c r="AG160" s="198">
        <v>20062782.57971152</v>
      </c>
      <c r="AH160" s="198">
        <v>11712756.0468843</v>
      </c>
      <c r="AI160" s="198">
        <v>5553513.434683212</v>
      </c>
      <c r="AJ160" s="198">
        <v>2796513.0981440074</v>
      </c>
      <c r="AK160" s="198">
        <v>680</v>
      </c>
      <c r="AL160" s="198">
        <v>10114</v>
      </c>
      <c r="AM160" s="198">
        <v>0.5393420168800943</v>
      </c>
      <c r="AN160" s="198">
        <v>441</v>
      </c>
      <c r="AO160" s="198">
        <v>0.02138596576305708</v>
      </c>
      <c r="AP160" s="198">
        <v>0.019662422157403856</v>
      </c>
      <c r="AQ160" s="198">
        <v>0</v>
      </c>
      <c r="AR160" s="198">
        <v>192</v>
      </c>
      <c r="AS160" s="198">
        <v>2</v>
      </c>
      <c r="AT160" s="198">
        <v>0</v>
      </c>
      <c r="AU160" s="198">
        <v>580.83</v>
      </c>
      <c r="AV160" s="198">
        <v>35.50264276982938</v>
      </c>
      <c r="AW160" s="198">
        <v>0.5070735552728758</v>
      </c>
      <c r="AX160" s="198">
        <v>1038</v>
      </c>
      <c r="AY160" s="198">
        <v>7141</v>
      </c>
      <c r="AZ160" s="198">
        <v>0.14535779302618682</v>
      </c>
      <c r="BA160" s="198">
        <v>0.08166893433053464</v>
      </c>
      <c r="BB160" s="198">
        <v>0</v>
      </c>
      <c r="BC160" s="198">
        <v>5869</v>
      </c>
      <c r="BD160" s="198">
        <v>9409</v>
      </c>
      <c r="BE160" s="198">
        <v>0.6237644808162398</v>
      </c>
      <c r="BF160" s="198">
        <v>0.19412562651985127</v>
      </c>
      <c r="BG160" s="198">
        <v>0</v>
      </c>
      <c r="BH160" s="198">
        <v>2</v>
      </c>
      <c r="BI160" s="198">
        <v>-2062.1</v>
      </c>
      <c r="BJ160" s="198">
        <v>-4949.04</v>
      </c>
      <c r="BK160" s="198">
        <v>-84546.09999999999</v>
      </c>
      <c r="BL160" s="198">
        <v>-7629.7699999999995</v>
      </c>
      <c r="BM160" s="198">
        <v>-109909.93000000001</v>
      </c>
      <c r="BN160" s="198">
        <v>-2474.52</v>
      </c>
      <c r="BO160" s="198">
        <v>-224658</v>
      </c>
      <c r="BP160" s="198">
        <v>80214.3359831199</v>
      </c>
      <c r="BQ160" s="198">
        <v>1479734</v>
      </c>
      <c r="BR160" s="198">
        <v>475013</v>
      </c>
      <c r="BS160" s="198">
        <v>989053.6281817912</v>
      </c>
      <c r="BT160" s="198">
        <v>9088.89205300404</v>
      </c>
      <c r="BU160" s="198">
        <v>13788.275486488605</v>
      </c>
      <c r="BV160" s="198">
        <v>313030.11754291435</v>
      </c>
      <c r="BW160" s="198">
        <v>995591.2571114172</v>
      </c>
      <c r="BX160" s="198">
        <v>1855.8899999999999</v>
      </c>
      <c r="BY160" s="198">
        <v>-12345.044454043076</v>
      </c>
      <c r="BZ160" s="198">
        <v>4120366.351904692</v>
      </c>
      <c r="CA160" s="198">
        <v>3730010.8219046923</v>
      </c>
      <c r="CB160" s="198">
        <v>0</v>
      </c>
      <c r="CC160" s="232">
        <v>4890625.744000002</v>
      </c>
      <c r="CD160" s="198">
        <v>-3425921</v>
      </c>
      <c r="CE160" s="198">
        <v>109008.48468</v>
      </c>
      <c r="CH160" s="198">
        <v>20534</v>
      </c>
    </row>
    <row r="161" spans="1:86" ht="11.25">
      <c r="A161" s="198">
        <v>508</v>
      </c>
      <c r="B161" s="198" t="s">
        <v>237</v>
      </c>
      <c r="C161" s="198">
        <v>10723</v>
      </c>
      <c r="D161" s="198">
        <v>40420258.62</v>
      </c>
      <c r="E161" s="198">
        <v>17391220.404922415</v>
      </c>
      <c r="F161" s="198">
        <v>2164032.0001955745</v>
      </c>
      <c r="G161" s="198">
        <v>59975511.02511799</v>
      </c>
      <c r="H161" s="198">
        <v>3642.26</v>
      </c>
      <c r="I161" s="198">
        <v>39055953.980000004</v>
      </c>
      <c r="J161" s="198">
        <v>20919557.04511799</v>
      </c>
      <c r="K161" s="198">
        <v>410055.51361226436</v>
      </c>
      <c r="L161" s="198">
        <v>2487947.095482988</v>
      </c>
      <c r="M161" s="198">
        <v>0</v>
      </c>
      <c r="N161" s="198">
        <v>23817559.65421324</v>
      </c>
      <c r="O161" s="198">
        <v>3959749.425181818</v>
      </c>
      <c r="P161" s="198">
        <v>27777309.079395056</v>
      </c>
      <c r="Q161" s="198">
        <v>499</v>
      </c>
      <c r="R161" s="198">
        <v>101</v>
      </c>
      <c r="S161" s="198">
        <v>565</v>
      </c>
      <c r="T161" s="198">
        <v>345</v>
      </c>
      <c r="U161" s="198">
        <v>336</v>
      </c>
      <c r="V161" s="198">
        <v>5695</v>
      </c>
      <c r="W161" s="198">
        <v>1687</v>
      </c>
      <c r="X161" s="198">
        <v>1016</v>
      </c>
      <c r="Y161" s="198">
        <v>479</v>
      </c>
      <c r="Z161" s="198">
        <v>10514</v>
      </c>
      <c r="AA161" s="198">
        <v>20</v>
      </c>
      <c r="AB161" s="198">
        <v>4</v>
      </c>
      <c r="AC161" s="198">
        <v>185</v>
      </c>
      <c r="AD161" s="198">
        <v>534.87</v>
      </c>
      <c r="AE161" s="198">
        <v>20.04786209733206</v>
      </c>
      <c r="AF161" s="198">
        <v>3182</v>
      </c>
      <c r="AG161" s="198">
        <v>17391220.404922415</v>
      </c>
      <c r="AH161" s="198">
        <v>10148372.954118269</v>
      </c>
      <c r="AI161" s="198">
        <v>5280077.388131643</v>
      </c>
      <c r="AJ161" s="198">
        <v>1962770.062672502</v>
      </c>
      <c r="AK161" s="198">
        <v>672</v>
      </c>
      <c r="AL161" s="198">
        <v>4679</v>
      </c>
      <c r="AM161" s="198">
        <v>1.1521115203925498</v>
      </c>
      <c r="AN161" s="198">
        <v>185</v>
      </c>
      <c r="AO161" s="198">
        <v>0.017252634523920545</v>
      </c>
      <c r="AP161" s="198">
        <v>0.015529090918267322</v>
      </c>
      <c r="AQ161" s="198">
        <v>0</v>
      </c>
      <c r="AR161" s="198">
        <v>20</v>
      </c>
      <c r="AS161" s="198">
        <v>4</v>
      </c>
      <c r="AT161" s="198">
        <v>0</v>
      </c>
      <c r="AU161" s="198">
        <v>534.87</v>
      </c>
      <c r="AV161" s="198">
        <v>20.04786209733206</v>
      </c>
      <c r="AW161" s="198">
        <v>0.8979736195050932</v>
      </c>
      <c r="AX161" s="198">
        <v>409</v>
      </c>
      <c r="AY161" s="198">
        <v>2936</v>
      </c>
      <c r="AZ161" s="198">
        <v>0.1393051771117166</v>
      </c>
      <c r="BA161" s="198">
        <v>0.07561631841606443</v>
      </c>
      <c r="BB161" s="198">
        <v>0</v>
      </c>
      <c r="BC161" s="198">
        <v>3992</v>
      </c>
      <c r="BD161" s="198">
        <v>3857</v>
      </c>
      <c r="BE161" s="198">
        <v>1.0350012963443092</v>
      </c>
      <c r="BF161" s="198">
        <v>0.6053624420479207</v>
      </c>
      <c r="BG161" s="198">
        <v>0</v>
      </c>
      <c r="BH161" s="198">
        <v>4</v>
      </c>
      <c r="BI161" s="198">
        <v>-1072.3</v>
      </c>
      <c r="BJ161" s="198">
        <v>-2573.52</v>
      </c>
      <c r="BK161" s="198">
        <v>-43964.299999999996</v>
      </c>
      <c r="BL161" s="198">
        <v>-3967.5099999999998</v>
      </c>
      <c r="BM161" s="198">
        <v>-57153.590000000004</v>
      </c>
      <c r="BN161" s="198">
        <v>-1286.76</v>
      </c>
      <c r="BO161" s="198">
        <v>69280</v>
      </c>
      <c r="BP161" s="198">
        <v>12822.151121586561</v>
      </c>
      <c r="BQ161" s="198">
        <v>803272</v>
      </c>
      <c r="BR161" s="198">
        <v>260536</v>
      </c>
      <c r="BS161" s="198">
        <v>594607.0055709057</v>
      </c>
      <c r="BT161" s="198">
        <v>29984.572558197375</v>
      </c>
      <c r="BU161" s="198">
        <v>81713.79125779483</v>
      </c>
      <c r="BV161" s="198">
        <v>348205.48234426253</v>
      </c>
      <c r="BW161" s="198">
        <v>481980.1045277555</v>
      </c>
      <c r="BX161" s="198">
        <v>965.0699999999999</v>
      </c>
      <c r="BY161" s="198">
        <v>7567.308102485476</v>
      </c>
      <c r="BZ161" s="198">
        <v>2690933.485482988</v>
      </c>
      <c r="CA161" s="198">
        <v>2487947.095482988</v>
      </c>
      <c r="CB161" s="198">
        <v>0</v>
      </c>
      <c r="CC161" s="232">
        <v>3959749.425181818</v>
      </c>
      <c r="CD161" s="198">
        <v>-1543255</v>
      </c>
      <c r="CE161" s="198">
        <v>133427.68029999995</v>
      </c>
      <c r="CH161" s="198">
        <v>10898</v>
      </c>
    </row>
    <row r="162" spans="1:86" ht="11.25">
      <c r="A162" s="198">
        <v>507</v>
      </c>
      <c r="B162" s="198" t="s">
        <v>238</v>
      </c>
      <c r="C162" s="198">
        <v>6266</v>
      </c>
      <c r="D162" s="198">
        <v>23091782.900000002</v>
      </c>
      <c r="E162" s="198">
        <v>11292641.321295742</v>
      </c>
      <c r="F162" s="198">
        <v>1900291.0735267808</v>
      </c>
      <c r="G162" s="198">
        <v>36284715.29482252</v>
      </c>
      <c r="H162" s="198">
        <v>3642.26</v>
      </c>
      <c r="I162" s="198">
        <v>22822401.16</v>
      </c>
      <c r="J162" s="198">
        <v>13462314.134822521</v>
      </c>
      <c r="K162" s="198">
        <v>399111.25975073024</v>
      </c>
      <c r="L162" s="198">
        <v>1673150.7565126303</v>
      </c>
      <c r="M162" s="198">
        <v>0</v>
      </c>
      <c r="N162" s="198">
        <v>15534576.151085882</v>
      </c>
      <c r="O162" s="198">
        <v>3721653.3520000014</v>
      </c>
      <c r="P162" s="198">
        <v>19256229.50308588</v>
      </c>
      <c r="Q162" s="198">
        <v>285</v>
      </c>
      <c r="R162" s="198">
        <v>62</v>
      </c>
      <c r="S162" s="198">
        <v>324</v>
      </c>
      <c r="T162" s="198">
        <v>193</v>
      </c>
      <c r="U162" s="198">
        <v>191</v>
      </c>
      <c r="V162" s="198">
        <v>3280</v>
      </c>
      <c r="W162" s="198">
        <v>1049</v>
      </c>
      <c r="X162" s="198">
        <v>635</v>
      </c>
      <c r="Y162" s="198">
        <v>247</v>
      </c>
      <c r="Z162" s="198">
        <v>6101</v>
      </c>
      <c r="AA162" s="198">
        <v>12</v>
      </c>
      <c r="AB162" s="198">
        <v>0</v>
      </c>
      <c r="AC162" s="198">
        <v>153</v>
      </c>
      <c r="AD162" s="198">
        <v>981.78</v>
      </c>
      <c r="AE162" s="198">
        <v>6.382285237018476</v>
      </c>
      <c r="AF162" s="198">
        <v>1931</v>
      </c>
      <c r="AG162" s="198">
        <v>11292641.321295742</v>
      </c>
      <c r="AH162" s="198">
        <v>5937481.640177349</v>
      </c>
      <c r="AI162" s="198">
        <v>4078490.6580526503</v>
      </c>
      <c r="AJ162" s="198">
        <v>1276669.0230657423</v>
      </c>
      <c r="AK162" s="198">
        <v>341</v>
      </c>
      <c r="AL162" s="198">
        <v>2613</v>
      </c>
      <c r="AM162" s="198">
        <v>1.0468712203267139</v>
      </c>
      <c r="AN162" s="198">
        <v>153</v>
      </c>
      <c r="AO162" s="198">
        <v>0.024417491222470476</v>
      </c>
      <c r="AP162" s="198">
        <v>0.022693947616817253</v>
      </c>
      <c r="AQ162" s="198">
        <v>0</v>
      </c>
      <c r="AR162" s="198">
        <v>12</v>
      </c>
      <c r="AS162" s="198">
        <v>0</v>
      </c>
      <c r="AT162" s="198">
        <v>0</v>
      </c>
      <c r="AU162" s="198">
        <v>981.78</v>
      </c>
      <c r="AV162" s="198">
        <v>6.382285237018476</v>
      </c>
      <c r="AW162" s="198">
        <v>2.8206904928759022</v>
      </c>
      <c r="AX162" s="198">
        <v>308</v>
      </c>
      <c r="AY162" s="198">
        <v>1625</v>
      </c>
      <c r="AZ162" s="198">
        <v>0.18953846153846154</v>
      </c>
      <c r="BA162" s="198">
        <v>0.12584960284280938</v>
      </c>
      <c r="BB162" s="198">
        <v>0.1634</v>
      </c>
      <c r="BC162" s="198">
        <v>1996</v>
      </c>
      <c r="BD162" s="198">
        <v>2219</v>
      </c>
      <c r="BE162" s="198">
        <v>0.8995042812077513</v>
      </c>
      <c r="BF162" s="198">
        <v>0.46986542691136274</v>
      </c>
      <c r="BG162" s="198">
        <v>0</v>
      </c>
      <c r="BH162" s="198">
        <v>0</v>
      </c>
      <c r="BI162" s="198">
        <v>-626.6</v>
      </c>
      <c r="BJ162" s="198">
        <v>-1503.84</v>
      </c>
      <c r="BK162" s="198">
        <v>-25690.6</v>
      </c>
      <c r="BL162" s="198">
        <v>-2318.42</v>
      </c>
      <c r="BM162" s="198">
        <v>-33397.78</v>
      </c>
      <c r="BN162" s="198">
        <v>-751.92</v>
      </c>
      <c r="BO162" s="198">
        <v>-181678</v>
      </c>
      <c r="BP162" s="198">
        <v>122414.00437887199</v>
      </c>
      <c r="BQ162" s="198">
        <v>612511</v>
      </c>
      <c r="BR162" s="198">
        <v>180567</v>
      </c>
      <c r="BS162" s="198">
        <v>450385.43213346513</v>
      </c>
      <c r="BT162" s="198">
        <v>24541.28516919258</v>
      </c>
      <c r="BU162" s="198">
        <v>82977.25452723737</v>
      </c>
      <c r="BV162" s="198">
        <v>229492.8758543228</v>
      </c>
      <c r="BW162" s="198">
        <v>309733.9436804094</v>
      </c>
      <c r="BX162" s="198">
        <v>563.9399999999999</v>
      </c>
      <c r="BY162" s="198">
        <v>-39742.59923086878</v>
      </c>
      <c r="BZ162" s="198">
        <v>1791766.1365126302</v>
      </c>
      <c r="CA162" s="198">
        <v>1673150.7565126303</v>
      </c>
      <c r="CB162" s="198">
        <v>0</v>
      </c>
      <c r="CC162" s="232">
        <v>3721653.3520000014</v>
      </c>
      <c r="CD162" s="198">
        <v>-233103</v>
      </c>
      <c r="CE162" s="198">
        <v>261575.53452</v>
      </c>
      <c r="CH162" s="198">
        <v>6287</v>
      </c>
    </row>
    <row r="163" spans="1:86" ht="11.25">
      <c r="A163" s="198">
        <v>529</v>
      </c>
      <c r="B163" s="198" t="s">
        <v>239</v>
      </c>
      <c r="C163" s="198">
        <v>18871</v>
      </c>
      <c r="D163" s="198">
        <v>65015063.42</v>
      </c>
      <c r="E163" s="198">
        <v>18815933.03230823</v>
      </c>
      <c r="F163" s="198">
        <v>2571082.036161321</v>
      </c>
      <c r="G163" s="198">
        <v>86402078.48846956</v>
      </c>
      <c r="H163" s="198">
        <v>3642.26</v>
      </c>
      <c r="I163" s="198">
        <v>68733088.46000001</v>
      </c>
      <c r="J163" s="198">
        <v>17668990.028469548</v>
      </c>
      <c r="K163" s="198">
        <v>360196.4817869005</v>
      </c>
      <c r="L163" s="198">
        <v>2100903.619475184</v>
      </c>
      <c r="M163" s="198">
        <v>2118519.9113435894</v>
      </c>
      <c r="N163" s="198">
        <v>22248610.041075222</v>
      </c>
      <c r="O163" s="198">
        <v>-3195306.0606002687</v>
      </c>
      <c r="P163" s="198">
        <v>19053303.980474953</v>
      </c>
      <c r="Q163" s="198">
        <v>1074</v>
      </c>
      <c r="R163" s="198">
        <v>231</v>
      </c>
      <c r="S163" s="198">
        <v>1310</v>
      </c>
      <c r="T163" s="198">
        <v>672</v>
      </c>
      <c r="U163" s="198">
        <v>693</v>
      </c>
      <c r="V163" s="198">
        <v>10811</v>
      </c>
      <c r="W163" s="198">
        <v>2481</v>
      </c>
      <c r="X163" s="198">
        <v>1163</v>
      </c>
      <c r="Y163" s="198">
        <v>436</v>
      </c>
      <c r="Z163" s="198">
        <v>18294</v>
      </c>
      <c r="AA163" s="198">
        <v>242</v>
      </c>
      <c r="AB163" s="198">
        <v>2</v>
      </c>
      <c r="AC163" s="198">
        <v>333</v>
      </c>
      <c r="AD163" s="198">
        <v>311.47</v>
      </c>
      <c r="AE163" s="198">
        <v>60.586894403955434</v>
      </c>
      <c r="AF163" s="198">
        <v>4080</v>
      </c>
      <c r="AG163" s="198">
        <v>18815933.03230823</v>
      </c>
      <c r="AH163" s="198">
        <v>11574744.752877565</v>
      </c>
      <c r="AI163" s="198">
        <v>4574947.530579078</v>
      </c>
      <c r="AJ163" s="198">
        <v>2666240.7488515847</v>
      </c>
      <c r="AK163" s="198">
        <v>927</v>
      </c>
      <c r="AL163" s="198">
        <v>9115</v>
      </c>
      <c r="AM163" s="198">
        <v>0.8158331583586088</v>
      </c>
      <c r="AN163" s="198">
        <v>333</v>
      </c>
      <c r="AO163" s="198">
        <v>0.01764612368183986</v>
      </c>
      <c r="AP163" s="198">
        <v>0.015922580076186636</v>
      </c>
      <c r="AQ163" s="198">
        <v>0</v>
      </c>
      <c r="AR163" s="198">
        <v>242</v>
      </c>
      <c r="AS163" s="198">
        <v>2</v>
      </c>
      <c r="AT163" s="198">
        <v>1</v>
      </c>
      <c r="AU163" s="198">
        <v>311.47</v>
      </c>
      <c r="AV163" s="198">
        <v>60.586894403955434</v>
      </c>
      <c r="AW163" s="198">
        <v>0.29713441277995173</v>
      </c>
      <c r="AX163" s="198">
        <v>678</v>
      </c>
      <c r="AY163" s="198">
        <v>6151</v>
      </c>
      <c r="AZ163" s="198">
        <v>0.11022597951552593</v>
      </c>
      <c r="BA163" s="198">
        <v>0.046537120819873753</v>
      </c>
      <c r="BB163" s="198">
        <v>0</v>
      </c>
      <c r="BC163" s="198">
        <v>6000</v>
      </c>
      <c r="BD163" s="198">
        <v>8199</v>
      </c>
      <c r="BE163" s="198">
        <v>0.7317965605561654</v>
      </c>
      <c r="BF163" s="198">
        <v>0.30215770625977684</v>
      </c>
      <c r="BG163" s="198">
        <v>0</v>
      </c>
      <c r="BH163" s="198">
        <v>2</v>
      </c>
      <c r="BI163" s="198">
        <v>-1887.1000000000001</v>
      </c>
      <c r="BJ163" s="198">
        <v>-4529.04</v>
      </c>
      <c r="BK163" s="198">
        <v>-77371.09999999999</v>
      </c>
      <c r="BL163" s="198">
        <v>-6982.2699999999995</v>
      </c>
      <c r="BM163" s="198">
        <v>-100582.43000000001</v>
      </c>
      <c r="BN163" s="198">
        <v>-2264.52</v>
      </c>
      <c r="BO163" s="198">
        <v>-111370</v>
      </c>
      <c r="BP163" s="198">
        <v>-180401.39770806208</v>
      </c>
      <c r="BQ163" s="198">
        <v>1126269</v>
      </c>
      <c r="BR163" s="198">
        <v>399804</v>
      </c>
      <c r="BS163" s="198">
        <v>766201.2766296709</v>
      </c>
      <c r="BT163" s="198">
        <v>14389.925838253772</v>
      </c>
      <c r="BU163" s="198">
        <v>-431494.31892511674</v>
      </c>
      <c r="BV163" s="198">
        <v>292074.77072624414</v>
      </c>
      <c r="BW163" s="198">
        <v>787486.1229818255</v>
      </c>
      <c r="BX163" s="198">
        <v>1698.3899999999999</v>
      </c>
      <c r="BY163" s="198">
        <v>-206526.12006763177</v>
      </c>
      <c r="BZ163" s="198">
        <v>2458131.649475184</v>
      </c>
      <c r="CA163" s="198">
        <v>2100903.619475184</v>
      </c>
      <c r="CB163" s="198">
        <v>2118519.9113435894</v>
      </c>
      <c r="CC163" s="232">
        <v>-3195306.0606002687</v>
      </c>
      <c r="CD163" s="198">
        <v>-1944080</v>
      </c>
      <c r="CE163" s="198">
        <v>734.6927800000994</v>
      </c>
      <c r="CH163" s="198">
        <v>18859</v>
      </c>
    </row>
    <row r="164" spans="1:86" ht="11.25">
      <c r="A164" s="198">
        <v>531</v>
      </c>
      <c r="B164" s="198" t="s">
        <v>240</v>
      </c>
      <c r="C164" s="198">
        <v>5651</v>
      </c>
      <c r="D164" s="198">
        <v>20852422.04</v>
      </c>
      <c r="E164" s="198">
        <v>6113650.500670101</v>
      </c>
      <c r="F164" s="198">
        <v>883177.9995144084</v>
      </c>
      <c r="G164" s="198">
        <v>27849250.54018451</v>
      </c>
      <c r="H164" s="198">
        <v>3642.26</v>
      </c>
      <c r="I164" s="198">
        <v>20582411.26</v>
      </c>
      <c r="J164" s="198">
        <v>7266839.280184507</v>
      </c>
      <c r="K164" s="198">
        <v>96361.47053684386</v>
      </c>
      <c r="L164" s="198">
        <v>1220913.6149256558</v>
      </c>
      <c r="M164" s="198">
        <v>242078.71781415297</v>
      </c>
      <c r="N164" s="198">
        <v>8826193.08346116</v>
      </c>
      <c r="O164" s="198">
        <v>3134420.1301728385</v>
      </c>
      <c r="P164" s="198">
        <v>11960613.213634</v>
      </c>
      <c r="Q164" s="198">
        <v>344</v>
      </c>
      <c r="R164" s="198">
        <v>56</v>
      </c>
      <c r="S164" s="198">
        <v>398</v>
      </c>
      <c r="T164" s="198">
        <v>208</v>
      </c>
      <c r="U164" s="198">
        <v>220</v>
      </c>
      <c r="V164" s="198">
        <v>3006</v>
      </c>
      <c r="W164" s="198">
        <v>821</v>
      </c>
      <c r="X164" s="198">
        <v>431</v>
      </c>
      <c r="Y164" s="198">
        <v>167</v>
      </c>
      <c r="Z164" s="198">
        <v>5580</v>
      </c>
      <c r="AA164" s="198">
        <v>22</v>
      </c>
      <c r="AB164" s="198">
        <v>0</v>
      </c>
      <c r="AC164" s="198">
        <v>49</v>
      </c>
      <c r="AD164" s="198">
        <v>182.91</v>
      </c>
      <c r="AE164" s="198">
        <v>30.894975671095075</v>
      </c>
      <c r="AF164" s="198">
        <v>1419</v>
      </c>
      <c r="AG164" s="198">
        <v>6113650.500670101</v>
      </c>
      <c r="AH164" s="198">
        <v>3942896.0463551707</v>
      </c>
      <c r="AI164" s="198">
        <v>1319641.7722711018</v>
      </c>
      <c r="AJ164" s="198">
        <v>851112.6820438282</v>
      </c>
      <c r="AK164" s="198">
        <v>319</v>
      </c>
      <c r="AL164" s="198">
        <v>2501</v>
      </c>
      <c r="AM164" s="198">
        <v>1.0231876341424384</v>
      </c>
      <c r="AN164" s="198">
        <v>49</v>
      </c>
      <c r="AO164" s="198">
        <v>0.008671031675809591</v>
      </c>
      <c r="AP164" s="198">
        <v>0.0069474880701563685</v>
      </c>
      <c r="AQ164" s="198">
        <v>0</v>
      </c>
      <c r="AR164" s="198">
        <v>22</v>
      </c>
      <c r="AS164" s="198">
        <v>0</v>
      </c>
      <c r="AT164" s="198">
        <v>0</v>
      </c>
      <c r="AU164" s="198">
        <v>182.91</v>
      </c>
      <c r="AV164" s="198">
        <v>30.894975671095075</v>
      </c>
      <c r="AW164" s="198">
        <v>0.5826983481887993</v>
      </c>
      <c r="AX164" s="198">
        <v>217</v>
      </c>
      <c r="AY164" s="198">
        <v>1692</v>
      </c>
      <c r="AZ164" s="198">
        <v>0.12825059101654845</v>
      </c>
      <c r="BA164" s="198">
        <v>0.06456173232089628</v>
      </c>
      <c r="BB164" s="198">
        <v>0</v>
      </c>
      <c r="BC164" s="198">
        <v>1495</v>
      </c>
      <c r="BD164" s="198">
        <v>2137</v>
      </c>
      <c r="BE164" s="198">
        <v>0.6995788488535329</v>
      </c>
      <c r="BF164" s="198">
        <v>0.2699399945571444</v>
      </c>
      <c r="BG164" s="198">
        <v>0</v>
      </c>
      <c r="BH164" s="198">
        <v>0</v>
      </c>
      <c r="BI164" s="198">
        <v>-565.1</v>
      </c>
      <c r="BJ164" s="198">
        <v>-1356.24</v>
      </c>
      <c r="BK164" s="198">
        <v>-23169.1</v>
      </c>
      <c r="BL164" s="198">
        <v>-2090.87</v>
      </c>
      <c r="BM164" s="198">
        <v>-30119.83</v>
      </c>
      <c r="BN164" s="198">
        <v>-678.12</v>
      </c>
      <c r="BO164" s="198">
        <v>-28716</v>
      </c>
      <c r="BP164" s="198">
        <v>-12822.98214763403</v>
      </c>
      <c r="BQ164" s="198">
        <v>438841</v>
      </c>
      <c r="BR164" s="198">
        <v>144033</v>
      </c>
      <c r="BS164" s="198">
        <v>315657.2615734365</v>
      </c>
      <c r="BT164" s="198">
        <v>13267.612924917235</v>
      </c>
      <c r="BU164" s="198">
        <v>5784.877426108886</v>
      </c>
      <c r="BV164" s="198">
        <v>154824.90383729787</v>
      </c>
      <c r="BW164" s="198">
        <v>267395.12476365437</v>
      </c>
      <c r="BX164" s="198">
        <v>508.59</v>
      </c>
      <c r="BY164" s="198">
        <v>29113.656547874874</v>
      </c>
      <c r="BZ164" s="198">
        <v>1327887.0449256557</v>
      </c>
      <c r="CA164" s="198">
        <v>1220913.6149256558</v>
      </c>
      <c r="CB164" s="198">
        <v>242078.71781415297</v>
      </c>
      <c r="CC164" s="232">
        <v>3134420.1301728385</v>
      </c>
      <c r="CD164" s="198">
        <v>-750623</v>
      </c>
      <c r="CE164" s="198">
        <v>-63254.55787400005</v>
      </c>
      <c r="CH164" s="198">
        <v>5706</v>
      </c>
    </row>
    <row r="165" spans="1:86" ht="11.25">
      <c r="A165" s="198">
        <v>532</v>
      </c>
      <c r="B165" s="198" t="s">
        <v>241</v>
      </c>
      <c r="C165" s="198">
        <v>14890</v>
      </c>
      <c r="D165" s="198">
        <v>50967509.080000006</v>
      </c>
      <c r="E165" s="198">
        <v>15907208.728744272</v>
      </c>
      <c r="F165" s="198">
        <v>2987535.8611659682</v>
      </c>
      <c r="G165" s="198">
        <v>69862253.66991025</v>
      </c>
      <c r="H165" s="198">
        <v>3642.26</v>
      </c>
      <c r="I165" s="198">
        <v>54233251.400000006</v>
      </c>
      <c r="J165" s="198">
        <v>15629002.269910246</v>
      </c>
      <c r="K165" s="198">
        <v>368582.9777587196</v>
      </c>
      <c r="L165" s="198">
        <v>3179913.6654859027</v>
      </c>
      <c r="M165" s="198">
        <v>0</v>
      </c>
      <c r="N165" s="198">
        <v>19177498.91315487</v>
      </c>
      <c r="O165" s="198">
        <v>5439849.647707327</v>
      </c>
      <c r="P165" s="198">
        <v>24617348.5608622</v>
      </c>
      <c r="Q165" s="198">
        <v>1058</v>
      </c>
      <c r="R165" s="198">
        <v>204</v>
      </c>
      <c r="S165" s="198">
        <v>1146</v>
      </c>
      <c r="T165" s="198">
        <v>500</v>
      </c>
      <c r="U165" s="198">
        <v>529</v>
      </c>
      <c r="V165" s="198">
        <v>8470</v>
      </c>
      <c r="W165" s="198">
        <v>1955</v>
      </c>
      <c r="X165" s="198">
        <v>777</v>
      </c>
      <c r="Y165" s="198">
        <v>251</v>
      </c>
      <c r="Z165" s="198">
        <v>14441</v>
      </c>
      <c r="AA165" s="198">
        <v>51</v>
      </c>
      <c r="AB165" s="198">
        <v>1</v>
      </c>
      <c r="AC165" s="198">
        <v>397</v>
      </c>
      <c r="AD165" s="198">
        <v>324.18</v>
      </c>
      <c r="AE165" s="198">
        <v>45.93127274970695</v>
      </c>
      <c r="AF165" s="198">
        <v>2983</v>
      </c>
      <c r="AG165" s="198">
        <v>15907208.728744272</v>
      </c>
      <c r="AH165" s="198">
        <v>9913789.576020699</v>
      </c>
      <c r="AI165" s="198">
        <v>3735365.0983215785</v>
      </c>
      <c r="AJ165" s="198">
        <v>2258054.0544019933</v>
      </c>
      <c r="AK165" s="198">
        <v>923</v>
      </c>
      <c r="AL165" s="198">
        <v>7239</v>
      </c>
      <c r="AM165" s="198">
        <v>1.0228251914676685</v>
      </c>
      <c r="AN165" s="198">
        <v>397</v>
      </c>
      <c r="AO165" s="198">
        <v>0.02666218938885158</v>
      </c>
      <c r="AP165" s="198">
        <v>0.024938645783198356</v>
      </c>
      <c r="AQ165" s="198">
        <v>0</v>
      </c>
      <c r="AR165" s="198">
        <v>51</v>
      </c>
      <c r="AS165" s="198">
        <v>1</v>
      </c>
      <c r="AT165" s="198">
        <v>0</v>
      </c>
      <c r="AU165" s="198">
        <v>324.18</v>
      </c>
      <c r="AV165" s="198">
        <v>45.93127274970695</v>
      </c>
      <c r="AW165" s="198">
        <v>0.3919432276344901</v>
      </c>
      <c r="AX165" s="198">
        <v>826</v>
      </c>
      <c r="AY165" s="198">
        <v>4926</v>
      </c>
      <c r="AZ165" s="198">
        <v>0.16768168899715793</v>
      </c>
      <c r="BA165" s="198">
        <v>0.10399283030150576</v>
      </c>
      <c r="BB165" s="198">
        <v>0</v>
      </c>
      <c r="BC165" s="198">
        <v>5090</v>
      </c>
      <c r="BD165" s="198">
        <v>6196</v>
      </c>
      <c r="BE165" s="198">
        <v>0.8214977404777276</v>
      </c>
      <c r="BF165" s="198">
        <v>0.39185888618133907</v>
      </c>
      <c r="BG165" s="198">
        <v>0</v>
      </c>
      <c r="BH165" s="198">
        <v>1</v>
      </c>
      <c r="BI165" s="198">
        <v>-1489</v>
      </c>
      <c r="BJ165" s="198">
        <v>-3573.6</v>
      </c>
      <c r="BK165" s="198">
        <v>-61048.99999999999</v>
      </c>
      <c r="BL165" s="198">
        <v>-5509.3</v>
      </c>
      <c r="BM165" s="198">
        <v>-79363.7</v>
      </c>
      <c r="BN165" s="198">
        <v>-1786.8</v>
      </c>
      <c r="BO165" s="198">
        <v>-3631</v>
      </c>
      <c r="BP165" s="198">
        <v>-84602.05379173532</v>
      </c>
      <c r="BQ165" s="198">
        <v>1098760</v>
      </c>
      <c r="BR165" s="198">
        <v>347963</v>
      </c>
      <c r="BS165" s="198">
        <v>749138.4861888026</v>
      </c>
      <c r="BT165" s="198">
        <v>21322.684571060472</v>
      </c>
      <c r="BU165" s="198">
        <v>80742.44161087277</v>
      </c>
      <c r="BV165" s="198">
        <v>384461.0759008755</v>
      </c>
      <c r="BW165" s="198">
        <v>714695.7535058131</v>
      </c>
      <c r="BX165" s="198">
        <v>1340.1</v>
      </c>
      <c r="BY165" s="198">
        <v>151590.87750021386</v>
      </c>
      <c r="BZ165" s="198">
        <v>3461781.365485903</v>
      </c>
      <c r="CA165" s="198">
        <v>3179913.6654859027</v>
      </c>
      <c r="CB165" s="198">
        <v>0</v>
      </c>
      <c r="CC165" s="232">
        <v>5439849.647707327</v>
      </c>
      <c r="CD165" s="198">
        <v>-2713034</v>
      </c>
      <c r="CE165" s="198">
        <v>-229108.33985400014</v>
      </c>
      <c r="CH165" s="198">
        <v>14985</v>
      </c>
    </row>
    <row r="166" spans="1:86" ht="11.25">
      <c r="A166" s="198">
        <v>535</v>
      </c>
      <c r="B166" s="198" t="s">
        <v>242</v>
      </c>
      <c r="C166" s="198">
        <v>10945</v>
      </c>
      <c r="D166" s="198">
        <v>45204861.080000006</v>
      </c>
      <c r="E166" s="198">
        <v>16542732.70497983</v>
      </c>
      <c r="F166" s="198">
        <v>1705965.2717199654</v>
      </c>
      <c r="G166" s="198">
        <v>63453559.0566998</v>
      </c>
      <c r="H166" s="198">
        <v>3642.26</v>
      </c>
      <c r="I166" s="198">
        <v>39864535.7</v>
      </c>
      <c r="J166" s="198">
        <v>23589023.356699795</v>
      </c>
      <c r="K166" s="198">
        <v>339068.4380067025</v>
      </c>
      <c r="L166" s="198">
        <v>2900229.108631914</v>
      </c>
      <c r="M166" s="198">
        <v>-680621.5565984548</v>
      </c>
      <c r="N166" s="198">
        <v>26147699.346739955</v>
      </c>
      <c r="O166" s="198">
        <v>10235191.029488372</v>
      </c>
      <c r="P166" s="198">
        <v>36382890.376228325</v>
      </c>
      <c r="Q166" s="198">
        <v>1092</v>
      </c>
      <c r="R166" s="198">
        <v>181</v>
      </c>
      <c r="S166" s="198">
        <v>1022</v>
      </c>
      <c r="T166" s="198">
        <v>475</v>
      </c>
      <c r="U166" s="198">
        <v>481</v>
      </c>
      <c r="V166" s="198">
        <v>5628</v>
      </c>
      <c r="W166" s="198">
        <v>1064</v>
      </c>
      <c r="X166" s="198">
        <v>700</v>
      </c>
      <c r="Y166" s="198">
        <v>302</v>
      </c>
      <c r="Z166" s="198">
        <v>10865</v>
      </c>
      <c r="AA166" s="198">
        <v>6</v>
      </c>
      <c r="AB166" s="198">
        <v>0</v>
      </c>
      <c r="AC166" s="198">
        <v>74</v>
      </c>
      <c r="AD166" s="198">
        <v>527.95</v>
      </c>
      <c r="AE166" s="198">
        <v>20.73112984184108</v>
      </c>
      <c r="AF166" s="198">
        <v>2066</v>
      </c>
      <c r="AG166" s="198">
        <v>16542732.70497983</v>
      </c>
      <c r="AH166" s="198">
        <v>9513742.445009438</v>
      </c>
      <c r="AI166" s="198">
        <v>5153068.4301595045</v>
      </c>
      <c r="AJ166" s="198">
        <v>1875921.8298108873</v>
      </c>
      <c r="AK166" s="198">
        <v>594</v>
      </c>
      <c r="AL166" s="198">
        <v>4585</v>
      </c>
      <c r="AM166" s="198">
        <v>1.0392628341403596</v>
      </c>
      <c r="AN166" s="198">
        <v>74</v>
      </c>
      <c r="AO166" s="198">
        <v>0.006761078117862037</v>
      </c>
      <c r="AP166" s="198">
        <v>0.005037534512208814</v>
      </c>
      <c r="AQ166" s="198">
        <v>0</v>
      </c>
      <c r="AR166" s="198">
        <v>6</v>
      </c>
      <c r="AS166" s="198">
        <v>0</v>
      </c>
      <c r="AT166" s="198">
        <v>0</v>
      </c>
      <c r="AU166" s="198">
        <v>527.95</v>
      </c>
      <c r="AV166" s="198">
        <v>20.73112984184108</v>
      </c>
      <c r="AW166" s="198">
        <v>0.8683777212444244</v>
      </c>
      <c r="AX166" s="198">
        <v>308</v>
      </c>
      <c r="AY166" s="198">
        <v>2903</v>
      </c>
      <c r="AZ166" s="198">
        <v>0.10609714088873579</v>
      </c>
      <c r="BA166" s="198">
        <v>0.04240828219308361</v>
      </c>
      <c r="BB166" s="198">
        <v>0</v>
      </c>
      <c r="BC166" s="198">
        <v>3648</v>
      </c>
      <c r="BD166" s="198">
        <v>3965</v>
      </c>
      <c r="BE166" s="198">
        <v>0.9200504413619168</v>
      </c>
      <c r="BF166" s="198">
        <v>0.4904115870655283</v>
      </c>
      <c r="BG166" s="198">
        <v>0</v>
      </c>
      <c r="BH166" s="198">
        <v>0</v>
      </c>
      <c r="BI166" s="198">
        <v>-1094.5</v>
      </c>
      <c r="BJ166" s="198">
        <v>-2626.7999999999997</v>
      </c>
      <c r="BK166" s="198">
        <v>-44874.49999999999</v>
      </c>
      <c r="BL166" s="198">
        <v>-4049.65</v>
      </c>
      <c r="BM166" s="198">
        <v>-58336.85</v>
      </c>
      <c r="BN166" s="198">
        <v>-1313.3999999999999</v>
      </c>
      <c r="BO166" s="198">
        <v>-75295</v>
      </c>
      <c r="BP166" s="198">
        <v>74965.71019779146</v>
      </c>
      <c r="BQ166" s="198">
        <v>959779</v>
      </c>
      <c r="BR166" s="198">
        <v>298038</v>
      </c>
      <c r="BS166" s="198">
        <v>742244.5716010841</v>
      </c>
      <c r="BT166" s="198">
        <v>31395.044960570765</v>
      </c>
      <c r="BU166" s="198">
        <v>86216.86642767818</v>
      </c>
      <c r="BV166" s="198">
        <v>384828.58999843674</v>
      </c>
      <c r="BW166" s="198">
        <v>588295.9657784256</v>
      </c>
      <c r="BX166" s="198">
        <v>985.05</v>
      </c>
      <c r="BY166" s="198">
        <v>15964.159667927612</v>
      </c>
      <c r="BZ166" s="198">
        <v>3107417.958631914</v>
      </c>
      <c r="CA166" s="198">
        <v>2900229.108631914</v>
      </c>
      <c r="CB166" s="198">
        <v>-680621.5565984548</v>
      </c>
      <c r="CC166" s="232">
        <v>10235191.029488372</v>
      </c>
      <c r="CD166" s="198">
        <v>-1610018</v>
      </c>
      <c r="CE166" s="198">
        <v>-35576.56393999999</v>
      </c>
      <c r="CH166" s="198">
        <v>10942</v>
      </c>
    </row>
    <row r="167" spans="1:86" ht="11.25">
      <c r="A167" s="198">
        <v>536</v>
      </c>
      <c r="B167" s="198" t="s">
        <v>243</v>
      </c>
      <c r="C167" s="198">
        <v>32847</v>
      </c>
      <c r="D167" s="198">
        <v>117908883.61</v>
      </c>
      <c r="E167" s="198">
        <v>32178924.98973848</v>
      </c>
      <c r="F167" s="198">
        <v>5522738.157475724</v>
      </c>
      <c r="G167" s="198">
        <v>155610546.7572142</v>
      </c>
      <c r="H167" s="198">
        <v>3642.26</v>
      </c>
      <c r="I167" s="198">
        <v>119637314.22000001</v>
      </c>
      <c r="J167" s="198">
        <v>35973232.537214175</v>
      </c>
      <c r="K167" s="198">
        <v>759991.1475703109</v>
      </c>
      <c r="L167" s="198">
        <v>5358825.8763356395</v>
      </c>
      <c r="M167" s="198">
        <v>0</v>
      </c>
      <c r="N167" s="198">
        <v>42092049.56112012</v>
      </c>
      <c r="O167" s="198">
        <v>1517887.8640000045</v>
      </c>
      <c r="P167" s="198">
        <v>43609937.42512013</v>
      </c>
      <c r="Q167" s="198">
        <v>2609</v>
      </c>
      <c r="R167" s="198">
        <v>488</v>
      </c>
      <c r="S167" s="198">
        <v>2639</v>
      </c>
      <c r="T167" s="198">
        <v>1191</v>
      </c>
      <c r="U167" s="198">
        <v>1136</v>
      </c>
      <c r="V167" s="198">
        <v>18818</v>
      </c>
      <c r="W167" s="198">
        <v>3519</v>
      </c>
      <c r="X167" s="198">
        <v>1789</v>
      </c>
      <c r="Y167" s="198">
        <v>658</v>
      </c>
      <c r="Z167" s="198">
        <v>31983</v>
      </c>
      <c r="AA167" s="198">
        <v>114</v>
      </c>
      <c r="AB167" s="198">
        <v>1</v>
      </c>
      <c r="AC167" s="198">
        <v>749</v>
      </c>
      <c r="AD167" s="198">
        <v>288.16</v>
      </c>
      <c r="AE167" s="198">
        <v>113.98875624652969</v>
      </c>
      <c r="AF167" s="198">
        <v>5966</v>
      </c>
      <c r="AG167" s="198">
        <v>32178924.98973848</v>
      </c>
      <c r="AH167" s="198">
        <v>19547095.13239062</v>
      </c>
      <c r="AI167" s="198">
        <v>8576017.382710433</v>
      </c>
      <c r="AJ167" s="198">
        <v>4055812.4746374264</v>
      </c>
      <c r="AK167" s="198">
        <v>2242</v>
      </c>
      <c r="AL167" s="198">
        <v>15813</v>
      </c>
      <c r="AM167" s="198">
        <v>1.1373643954399084</v>
      </c>
      <c r="AN167" s="198">
        <v>749</v>
      </c>
      <c r="AO167" s="198">
        <v>0.022802691265564588</v>
      </c>
      <c r="AP167" s="198">
        <v>0.021079147659911365</v>
      </c>
      <c r="AQ167" s="198">
        <v>0</v>
      </c>
      <c r="AR167" s="198">
        <v>114</v>
      </c>
      <c r="AS167" s="198">
        <v>1</v>
      </c>
      <c r="AT167" s="198">
        <v>0</v>
      </c>
      <c r="AU167" s="198">
        <v>288.16</v>
      </c>
      <c r="AV167" s="198">
        <v>113.98875624652969</v>
      </c>
      <c r="AW167" s="198">
        <v>0.1579318161165419</v>
      </c>
      <c r="AX167" s="198">
        <v>1218</v>
      </c>
      <c r="AY167" s="198">
        <v>11484</v>
      </c>
      <c r="AZ167" s="198">
        <v>0.10606060606060606</v>
      </c>
      <c r="BA167" s="198">
        <v>0.04237174736495389</v>
      </c>
      <c r="BB167" s="198">
        <v>0</v>
      </c>
      <c r="BC167" s="198">
        <v>10818</v>
      </c>
      <c r="BD167" s="198">
        <v>13592</v>
      </c>
      <c r="BE167" s="198">
        <v>0.7959093584461447</v>
      </c>
      <c r="BF167" s="198">
        <v>0.3662705041497562</v>
      </c>
      <c r="BG167" s="198">
        <v>0</v>
      </c>
      <c r="BH167" s="198">
        <v>1</v>
      </c>
      <c r="BI167" s="198">
        <v>-3284.7000000000003</v>
      </c>
      <c r="BJ167" s="198">
        <v>-7883.28</v>
      </c>
      <c r="BK167" s="198">
        <v>-134672.69999999998</v>
      </c>
      <c r="BL167" s="198">
        <v>-12153.39</v>
      </c>
      <c r="BM167" s="198">
        <v>-175074.51</v>
      </c>
      <c r="BN167" s="198">
        <v>-3941.64</v>
      </c>
      <c r="BO167" s="198">
        <v>591491</v>
      </c>
      <c r="BP167" s="198">
        <v>-794237.1566494778</v>
      </c>
      <c r="BQ167" s="198">
        <v>2025008</v>
      </c>
      <c r="BR167" s="198">
        <v>639058</v>
      </c>
      <c r="BS167" s="198">
        <v>1293658.0277316587</v>
      </c>
      <c r="BT167" s="198">
        <v>16113.233209466209</v>
      </c>
      <c r="BU167" s="198">
        <v>29726.065003372754</v>
      </c>
      <c r="BV167" s="198">
        <v>685453.0718300026</v>
      </c>
      <c r="BW167" s="198">
        <v>1299748.827575229</v>
      </c>
      <c r="BX167" s="198">
        <v>2956.23</v>
      </c>
      <c r="BY167" s="198">
        <v>191644.28763538686</v>
      </c>
      <c r="BZ167" s="198">
        <v>5980619.5863356395</v>
      </c>
      <c r="CA167" s="198">
        <v>5358825.8763356395</v>
      </c>
      <c r="CB167" s="198">
        <v>0</v>
      </c>
      <c r="CC167" s="232">
        <v>1517887.8640000045</v>
      </c>
      <c r="CD167" s="198">
        <v>-3617797</v>
      </c>
      <c r="CE167" s="198">
        <v>-616623.9145279998</v>
      </c>
      <c r="CH167" s="198">
        <v>32690</v>
      </c>
    </row>
    <row r="168" spans="1:86" ht="11.25">
      <c r="A168" s="198">
        <v>538</v>
      </c>
      <c r="B168" s="198" t="s">
        <v>244</v>
      </c>
      <c r="C168" s="198">
        <v>4844</v>
      </c>
      <c r="D168" s="198">
        <v>18071075.68</v>
      </c>
      <c r="E168" s="198">
        <v>4256361.953918886</v>
      </c>
      <c r="F168" s="198">
        <v>672626.8561371877</v>
      </c>
      <c r="G168" s="198">
        <v>23000064.49005607</v>
      </c>
      <c r="H168" s="198">
        <v>3642.26</v>
      </c>
      <c r="I168" s="198">
        <v>17643107.44</v>
      </c>
      <c r="J168" s="198">
        <v>5356957.05005607</v>
      </c>
      <c r="K168" s="198">
        <v>10063.843080642711</v>
      </c>
      <c r="L168" s="198">
        <v>1083358.370431736</v>
      </c>
      <c r="M168" s="198">
        <v>0</v>
      </c>
      <c r="N168" s="198">
        <v>6450379.263568449</v>
      </c>
      <c r="O168" s="198">
        <v>2020744.1543414637</v>
      </c>
      <c r="P168" s="198">
        <v>8471123.417909913</v>
      </c>
      <c r="Q168" s="198">
        <v>410</v>
      </c>
      <c r="R168" s="198">
        <v>64</v>
      </c>
      <c r="S168" s="198">
        <v>414</v>
      </c>
      <c r="T168" s="198">
        <v>214</v>
      </c>
      <c r="U168" s="198">
        <v>180</v>
      </c>
      <c r="V168" s="198">
        <v>2772</v>
      </c>
      <c r="W168" s="198">
        <v>454</v>
      </c>
      <c r="X168" s="198">
        <v>232</v>
      </c>
      <c r="Y168" s="198">
        <v>104</v>
      </c>
      <c r="Z168" s="198">
        <v>4745</v>
      </c>
      <c r="AA168" s="198">
        <v>33</v>
      </c>
      <c r="AB168" s="198">
        <v>1</v>
      </c>
      <c r="AC168" s="198">
        <v>65</v>
      </c>
      <c r="AD168" s="198">
        <v>198.81</v>
      </c>
      <c r="AE168" s="198">
        <v>24.364971580906392</v>
      </c>
      <c r="AF168" s="198">
        <v>790</v>
      </c>
      <c r="AG168" s="198">
        <v>4256361.953918886</v>
      </c>
      <c r="AH168" s="198">
        <v>2667105.7066537123</v>
      </c>
      <c r="AI168" s="198">
        <v>955264.1473753836</v>
      </c>
      <c r="AJ168" s="198">
        <v>633992.0998897904</v>
      </c>
      <c r="AK168" s="198">
        <v>211</v>
      </c>
      <c r="AL168" s="198">
        <v>2448</v>
      </c>
      <c r="AM168" s="198">
        <v>0.6914317741319641</v>
      </c>
      <c r="AN168" s="198">
        <v>65</v>
      </c>
      <c r="AO168" s="198">
        <v>0.013418662262592898</v>
      </c>
      <c r="AP168" s="198">
        <v>0.011695118656939675</v>
      </c>
      <c r="AQ168" s="198">
        <v>0</v>
      </c>
      <c r="AR168" s="198">
        <v>33</v>
      </c>
      <c r="AS168" s="198">
        <v>1</v>
      </c>
      <c r="AT168" s="198">
        <v>0</v>
      </c>
      <c r="AU168" s="198">
        <v>198.81</v>
      </c>
      <c r="AV168" s="198">
        <v>24.364971580906392</v>
      </c>
      <c r="AW168" s="198">
        <v>0.7388660902435799</v>
      </c>
      <c r="AX168" s="198">
        <v>207</v>
      </c>
      <c r="AY168" s="198">
        <v>1705</v>
      </c>
      <c r="AZ168" s="198">
        <v>0.12140762463343109</v>
      </c>
      <c r="BA168" s="198">
        <v>0.057718765937778915</v>
      </c>
      <c r="BB168" s="198">
        <v>0</v>
      </c>
      <c r="BC168" s="198">
        <v>1043</v>
      </c>
      <c r="BD168" s="198">
        <v>2255</v>
      </c>
      <c r="BE168" s="198">
        <v>0.46252771618625277</v>
      </c>
      <c r="BF168" s="198">
        <v>0.03288886188986423</v>
      </c>
      <c r="BG168" s="198">
        <v>0</v>
      </c>
      <c r="BH168" s="198">
        <v>1</v>
      </c>
      <c r="BI168" s="198">
        <v>-484.40000000000003</v>
      </c>
      <c r="BJ168" s="198">
        <v>-1162.56</v>
      </c>
      <c r="BK168" s="198">
        <v>-19860.399999999998</v>
      </c>
      <c r="BL168" s="198">
        <v>-1792.28</v>
      </c>
      <c r="BM168" s="198">
        <v>-25818.52</v>
      </c>
      <c r="BN168" s="198">
        <v>-581.28</v>
      </c>
      <c r="BO168" s="198">
        <v>-33501</v>
      </c>
      <c r="BP168" s="198">
        <v>79742.1947365161</v>
      </c>
      <c r="BQ168" s="198">
        <v>391270</v>
      </c>
      <c r="BR168" s="198">
        <v>123013</v>
      </c>
      <c r="BS168" s="198">
        <v>242596.63038865852</v>
      </c>
      <c r="BT168" s="198">
        <v>3579.7945299190155</v>
      </c>
      <c r="BU168" s="198">
        <v>17659.404046923213</v>
      </c>
      <c r="BV168" s="198">
        <v>96120.12557031705</v>
      </c>
      <c r="BW168" s="198">
        <v>248713.03756407168</v>
      </c>
      <c r="BX168" s="198">
        <v>435.96</v>
      </c>
      <c r="BY168" s="198">
        <v>5426.143595330752</v>
      </c>
      <c r="BZ168" s="198">
        <v>1175055.290431736</v>
      </c>
      <c r="CA168" s="198">
        <v>1083358.370431736</v>
      </c>
      <c r="CB168" s="198">
        <v>0</v>
      </c>
      <c r="CC168" s="232">
        <v>2020744.1543414637</v>
      </c>
      <c r="CD168" s="198">
        <v>101660</v>
      </c>
      <c r="CE168" s="198">
        <v>-99295.59708000002</v>
      </c>
      <c r="CH168" s="198">
        <v>4872</v>
      </c>
    </row>
    <row r="169" spans="1:86" ht="11.25">
      <c r="A169" s="198">
        <v>541</v>
      </c>
      <c r="B169" s="198" t="s">
        <v>245</v>
      </c>
      <c r="C169" s="198">
        <v>8082</v>
      </c>
      <c r="D169" s="198">
        <v>29653942.13</v>
      </c>
      <c r="E169" s="198">
        <v>17196624.877648696</v>
      </c>
      <c r="F169" s="198">
        <v>2565228.471183801</v>
      </c>
      <c r="G169" s="198">
        <v>49415795.47883249</v>
      </c>
      <c r="H169" s="198">
        <v>3642.26</v>
      </c>
      <c r="I169" s="198">
        <v>29436745.32</v>
      </c>
      <c r="J169" s="198">
        <v>19979050.15883249</v>
      </c>
      <c r="K169" s="198">
        <v>1839606.3004057445</v>
      </c>
      <c r="L169" s="198">
        <v>2550907.316347629</v>
      </c>
      <c r="M169" s="198">
        <v>-771410.4835091196</v>
      </c>
      <c r="N169" s="198">
        <v>23598153.292076744</v>
      </c>
      <c r="O169" s="198">
        <v>6123906.63687805</v>
      </c>
      <c r="P169" s="198">
        <v>29722059.928954795</v>
      </c>
      <c r="Q169" s="198">
        <v>372</v>
      </c>
      <c r="R169" s="198">
        <v>54</v>
      </c>
      <c r="S169" s="198">
        <v>436</v>
      </c>
      <c r="T169" s="198">
        <v>217</v>
      </c>
      <c r="U169" s="198">
        <v>221</v>
      </c>
      <c r="V169" s="198">
        <v>4339</v>
      </c>
      <c r="W169" s="198">
        <v>1282</v>
      </c>
      <c r="X169" s="198">
        <v>817</v>
      </c>
      <c r="Y169" s="198">
        <v>344</v>
      </c>
      <c r="Z169" s="198">
        <v>7961</v>
      </c>
      <c r="AA169" s="198">
        <v>6</v>
      </c>
      <c r="AB169" s="198">
        <v>0</v>
      </c>
      <c r="AC169" s="198">
        <v>115</v>
      </c>
      <c r="AD169" s="198">
        <v>1601.08</v>
      </c>
      <c r="AE169" s="198">
        <v>5.047842706173333</v>
      </c>
      <c r="AF169" s="198">
        <v>2443</v>
      </c>
      <c r="AG169" s="198">
        <v>17196624.877648696</v>
      </c>
      <c r="AH169" s="198">
        <v>9290442.90678288</v>
      </c>
      <c r="AI169" s="198">
        <v>6351598.602642906</v>
      </c>
      <c r="AJ169" s="198">
        <v>1554583.3682229111</v>
      </c>
      <c r="AK169" s="198">
        <v>523</v>
      </c>
      <c r="AL169" s="198">
        <v>3465</v>
      </c>
      <c r="AM169" s="198">
        <v>1.2108120694394864</v>
      </c>
      <c r="AN169" s="198">
        <v>115</v>
      </c>
      <c r="AO169" s="198">
        <v>0.01422915120019797</v>
      </c>
      <c r="AP169" s="198">
        <v>0.012505607594544747</v>
      </c>
      <c r="AQ169" s="198">
        <v>0</v>
      </c>
      <c r="AR169" s="198">
        <v>6</v>
      </c>
      <c r="AS169" s="198">
        <v>0</v>
      </c>
      <c r="AT169" s="198">
        <v>0</v>
      </c>
      <c r="AU169" s="198">
        <v>1601.08</v>
      </c>
      <c r="AV169" s="198">
        <v>5.047842706173333</v>
      </c>
      <c r="AW169" s="198">
        <v>3.5663653443210266</v>
      </c>
      <c r="AX169" s="198">
        <v>341</v>
      </c>
      <c r="AY169" s="198">
        <v>2058</v>
      </c>
      <c r="AZ169" s="198">
        <v>0.16569484936831877</v>
      </c>
      <c r="BA169" s="198">
        <v>0.1020059906726666</v>
      </c>
      <c r="BB169" s="198">
        <v>0.9097833333333334</v>
      </c>
      <c r="BC169" s="198">
        <v>2932</v>
      </c>
      <c r="BD169" s="198">
        <v>2833</v>
      </c>
      <c r="BE169" s="198">
        <v>1.0349452876809035</v>
      </c>
      <c r="BF169" s="198">
        <v>0.6053064333845151</v>
      </c>
      <c r="BG169" s="198">
        <v>0</v>
      </c>
      <c r="BH169" s="198">
        <v>0</v>
      </c>
      <c r="BI169" s="198">
        <v>-808.2</v>
      </c>
      <c r="BJ169" s="198">
        <v>-1939.6799999999998</v>
      </c>
      <c r="BK169" s="198">
        <v>-33136.2</v>
      </c>
      <c r="BL169" s="198">
        <v>-2990.34</v>
      </c>
      <c r="BM169" s="198">
        <v>-43077.06</v>
      </c>
      <c r="BN169" s="198">
        <v>-969.8399999999999</v>
      </c>
      <c r="BO169" s="198">
        <v>193779</v>
      </c>
      <c r="BP169" s="198">
        <v>-89808.90800933167</v>
      </c>
      <c r="BQ169" s="198">
        <v>756826</v>
      </c>
      <c r="BR169" s="198">
        <v>234773</v>
      </c>
      <c r="BS169" s="198">
        <v>639524.9180393966</v>
      </c>
      <c r="BT169" s="198">
        <v>35355.39664014255</v>
      </c>
      <c r="BU169" s="198">
        <v>112339.74465221076</v>
      </c>
      <c r="BV169" s="198">
        <v>332146.3313516602</v>
      </c>
      <c r="BW169" s="198">
        <v>443439.82960948703</v>
      </c>
      <c r="BX169" s="198">
        <v>727.38</v>
      </c>
      <c r="BY169" s="198">
        <v>44796.88406406356</v>
      </c>
      <c r="BZ169" s="198">
        <v>2703899.576347629</v>
      </c>
      <c r="CA169" s="198">
        <v>2550907.316347629</v>
      </c>
      <c r="CB169" s="198">
        <v>-771410.4835091196</v>
      </c>
      <c r="CC169" s="232">
        <v>6123906.63687805</v>
      </c>
      <c r="CD169" s="198">
        <v>-1224589</v>
      </c>
      <c r="CE169" s="198">
        <v>-90840.40390000002</v>
      </c>
      <c r="CH169" s="198">
        <v>8191</v>
      </c>
    </row>
    <row r="170" spans="1:86" ht="11.25">
      <c r="A170" s="198">
        <v>543</v>
      </c>
      <c r="B170" s="198" t="s">
        <v>246</v>
      </c>
      <c r="C170" s="198">
        <v>41577</v>
      </c>
      <c r="D170" s="198">
        <v>149563343.51</v>
      </c>
      <c r="E170" s="198">
        <v>34174516.053939275</v>
      </c>
      <c r="F170" s="198">
        <v>6239937.608712019</v>
      </c>
      <c r="G170" s="198">
        <v>189977797.1726513</v>
      </c>
      <c r="H170" s="198">
        <v>3642.26</v>
      </c>
      <c r="I170" s="198">
        <v>151434244.02</v>
      </c>
      <c r="J170" s="198">
        <v>38543553.15265128</v>
      </c>
      <c r="K170" s="198">
        <v>490395.09230149613</v>
      </c>
      <c r="L170" s="198">
        <v>5537594.552495152</v>
      </c>
      <c r="M170" s="198">
        <v>0</v>
      </c>
      <c r="N170" s="198">
        <v>44571542.79744793</v>
      </c>
      <c r="O170" s="198">
        <v>-6775836.561843796</v>
      </c>
      <c r="P170" s="198">
        <v>37795706.23560413</v>
      </c>
      <c r="Q170" s="198">
        <v>3411</v>
      </c>
      <c r="R170" s="198">
        <v>636</v>
      </c>
      <c r="S170" s="198">
        <v>3920</v>
      </c>
      <c r="T170" s="198">
        <v>1961</v>
      </c>
      <c r="U170" s="198">
        <v>1817</v>
      </c>
      <c r="V170" s="198">
        <v>23935</v>
      </c>
      <c r="W170" s="198">
        <v>3777</v>
      </c>
      <c r="X170" s="198">
        <v>1681</v>
      </c>
      <c r="Y170" s="198">
        <v>439</v>
      </c>
      <c r="Z170" s="198">
        <v>39748</v>
      </c>
      <c r="AA170" s="198">
        <v>480</v>
      </c>
      <c r="AB170" s="198">
        <v>1</v>
      </c>
      <c r="AC170" s="198">
        <v>1348</v>
      </c>
      <c r="AD170" s="198">
        <v>361.86</v>
      </c>
      <c r="AE170" s="198">
        <v>114.89802686121705</v>
      </c>
      <c r="AF170" s="198">
        <v>5897</v>
      </c>
      <c r="AG170" s="198">
        <v>34174516.053939275</v>
      </c>
      <c r="AH170" s="198">
        <v>21036073.517447215</v>
      </c>
      <c r="AI170" s="198">
        <v>8604964.78111575</v>
      </c>
      <c r="AJ170" s="198">
        <v>4533477.75537631</v>
      </c>
      <c r="AK170" s="198">
        <v>1427</v>
      </c>
      <c r="AL170" s="198">
        <v>20631</v>
      </c>
      <c r="AM170" s="198">
        <v>0.5548581704217929</v>
      </c>
      <c r="AN170" s="198">
        <v>1348</v>
      </c>
      <c r="AO170" s="198">
        <v>0.03242177165259639</v>
      </c>
      <c r="AP170" s="198">
        <v>0.030698228046943166</v>
      </c>
      <c r="AQ170" s="198">
        <v>0</v>
      </c>
      <c r="AR170" s="198">
        <v>480</v>
      </c>
      <c r="AS170" s="198">
        <v>1</v>
      </c>
      <c r="AT170" s="198">
        <v>0</v>
      </c>
      <c r="AU170" s="198">
        <v>361.86</v>
      </c>
      <c r="AV170" s="198">
        <v>114.89802686121705</v>
      </c>
      <c r="AW170" s="198">
        <v>0.15668198821747417</v>
      </c>
      <c r="AX170" s="198">
        <v>2185</v>
      </c>
      <c r="AY170" s="198">
        <v>15241</v>
      </c>
      <c r="AZ170" s="198">
        <v>0.14336329637162915</v>
      </c>
      <c r="BA170" s="198">
        <v>0.07967443767597697</v>
      </c>
      <c r="BB170" s="198">
        <v>0</v>
      </c>
      <c r="BC170" s="198">
        <v>12067</v>
      </c>
      <c r="BD170" s="198">
        <v>19578</v>
      </c>
      <c r="BE170" s="198">
        <v>0.61635509245071</v>
      </c>
      <c r="BF170" s="198">
        <v>0.18671623815432142</v>
      </c>
      <c r="BG170" s="198">
        <v>0</v>
      </c>
      <c r="BH170" s="198">
        <v>1</v>
      </c>
      <c r="BI170" s="198">
        <v>-4157.7</v>
      </c>
      <c r="BJ170" s="198">
        <v>-9978.48</v>
      </c>
      <c r="BK170" s="198">
        <v>-170465.69999999998</v>
      </c>
      <c r="BL170" s="198">
        <v>-15383.49</v>
      </c>
      <c r="BM170" s="198">
        <v>-221605.41</v>
      </c>
      <c r="BN170" s="198">
        <v>-4989.24</v>
      </c>
      <c r="BO170" s="198">
        <v>244629</v>
      </c>
      <c r="BP170" s="198">
        <v>-528898.4591088146</v>
      </c>
      <c r="BQ170" s="198">
        <v>2508951</v>
      </c>
      <c r="BR170" s="198">
        <v>815872</v>
      </c>
      <c r="BS170" s="198">
        <v>1541302.5968424971</v>
      </c>
      <c r="BT170" s="198">
        <v>-2689.5568037836974</v>
      </c>
      <c r="BU170" s="198">
        <v>-252744.74866968312</v>
      </c>
      <c r="BV170" s="198">
        <v>461128.2963192452</v>
      </c>
      <c r="BW170" s="198">
        <v>1632137.4333741565</v>
      </c>
      <c r="BX170" s="198">
        <v>3741.93</v>
      </c>
      <c r="BY170" s="198">
        <v>-98782.32945846539</v>
      </c>
      <c r="BZ170" s="198">
        <v>6324647.162495152</v>
      </c>
      <c r="CA170" s="198">
        <v>5537594.552495152</v>
      </c>
      <c r="CB170" s="198">
        <v>0</v>
      </c>
      <c r="CC170" s="232">
        <v>-6775836.561843796</v>
      </c>
      <c r="CD170" s="198">
        <v>-8723344</v>
      </c>
      <c r="CE170" s="198">
        <v>-502131.3840800001</v>
      </c>
      <c r="CH170" s="198">
        <v>41178</v>
      </c>
    </row>
    <row r="171" spans="1:86" ht="11.25">
      <c r="A171" s="198">
        <v>545</v>
      </c>
      <c r="B171" s="198" t="s">
        <v>247</v>
      </c>
      <c r="C171" s="198">
        <v>9389</v>
      </c>
      <c r="D171" s="198">
        <v>36542934.54000001</v>
      </c>
      <c r="E171" s="198">
        <v>10110664.712249992</v>
      </c>
      <c r="F171" s="198">
        <v>5700316.537117173</v>
      </c>
      <c r="G171" s="198">
        <v>52353915.78936718</v>
      </c>
      <c r="H171" s="198">
        <v>3642.26</v>
      </c>
      <c r="I171" s="198">
        <v>34197179.14</v>
      </c>
      <c r="J171" s="198">
        <v>18156736.649367176</v>
      </c>
      <c r="K171" s="198">
        <v>597128.193506907</v>
      </c>
      <c r="L171" s="198">
        <v>3023105.784709604</v>
      </c>
      <c r="M171" s="198">
        <v>310208.7689333186</v>
      </c>
      <c r="N171" s="198">
        <v>22087179.396517005</v>
      </c>
      <c r="O171" s="198">
        <v>5768693.813756099</v>
      </c>
      <c r="P171" s="198">
        <v>27855873.210273102</v>
      </c>
      <c r="Q171" s="198">
        <v>540</v>
      </c>
      <c r="R171" s="198">
        <v>91</v>
      </c>
      <c r="S171" s="198">
        <v>513</v>
      </c>
      <c r="T171" s="198">
        <v>259</v>
      </c>
      <c r="U171" s="198">
        <v>272</v>
      </c>
      <c r="V171" s="198">
        <v>5114</v>
      </c>
      <c r="W171" s="198">
        <v>1269</v>
      </c>
      <c r="X171" s="198">
        <v>844</v>
      </c>
      <c r="Y171" s="198">
        <v>487</v>
      </c>
      <c r="Z171" s="198">
        <v>530</v>
      </c>
      <c r="AA171" s="198">
        <v>7857</v>
      </c>
      <c r="AB171" s="198">
        <v>0</v>
      </c>
      <c r="AC171" s="198">
        <v>1002</v>
      </c>
      <c r="AD171" s="198">
        <v>977.51</v>
      </c>
      <c r="AE171" s="198">
        <v>9.605016828472342</v>
      </c>
      <c r="AF171" s="198">
        <v>2600</v>
      </c>
      <c r="AG171" s="198">
        <v>10110664.712249992</v>
      </c>
      <c r="AH171" s="198">
        <v>6422051.733339261</v>
      </c>
      <c r="AI171" s="198">
        <v>2464052.895561958</v>
      </c>
      <c r="AJ171" s="198">
        <v>1224560.0833487737</v>
      </c>
      <c r="AK171" s="198">
        <v>179</v>
      </c>
      <c r="AL171" s="198">
        <v>4440</v>
      </c>
      <c r="AM171" s="198">
        <v>0.32340620807227877</v>
      </c>
      <c r="AN171" s="198">
        <v>1002</v>
      </c>
      <c r="AO171" s="198">
        <v>0.10672063052508254</v>
      </c>
      <c r="AP171" s="198">
        <v>0.10499708691942933</v>
      </c>
      <c r="AQ171" s="198">
        <v>3</v>
      </c>
      <c r="AR171" s="198">
        <v>7857</v>
      </c>
      <c r="AS171" s="198">
        <v>0</v>
      </c>
      <c r="AT171" s="198">
        <v>1</v>
      </c>
      <c r="AU171" s="198">
        <v>977.51</v>
      </c>
      <c r="AV171" s="198">
        <v>9.605016828472342</v>
      </c>
      <c r="AW171" s="198">
        <v>1.8742758719084402</v>
      </c>
      <c r="AX171" s="198">
        <v>582</v>
      </c>
      <c r="AY171" s="198">
        <v>2756</v>
      </c>
      <c r="AZ171" s="198">
        <v>0.2111756168359942</v>
      </c>
      <c r="BA171" s="198">
        <v>0.147486758140342</v>
      </c>
      <c r="BB171" s="198">
        <v>0.12376666666666666</v>
      </c>
      <c r="BC171" s="198">
        <v>4318</v>
      </c>
      <c r="BD171" s="198">
        <v>4198</v>
      </c>
      <c r="BE171" s="198">
        <v>1.028585040495474</v>
      </c>
      <c r="BF171" s="198">
        <v>0.5989461861990855</v>
      </c>
      <c r="BG171" s="198">
        <v>0</v>
      </c>
      <c r="BH171" s="198">
        <v>0</v>
      </c>
      <c r="BI171" s="198">
        <v>-938.9000000000001</v>
      </c>
      <c r="BJ171" s="198">
        <v>-2253.36</v>
      </c>
      <c r="BK171" s="198">
        <v>-38494.899999999994</v>
      </c>
      <c r="BL171" s="198">
        <v>-3473.93</v>
      </c>
      <c r="BM171" s="198">
        <v>-50043.37</v>
      </c>
      <c r="BN171" s="198">
        <v>-1126.68</v>
      </c>
      <c r="BO171" s="198">
        <v>-230722</v>
      </c>
      <c r="BP171" s="198">
        <v>236161.79568575323</v>
      </c>
      <c r="BQ171" s="198">
        <v>882100</v>
      </c>
      <c r="BR171" s="198">
        <v>360351</v>
      </c>
      <c r="BS171" s="198">
        <v>862960.744308594</v>
      </c>
      <c r="BT171" s="198">
        <v>51821.1785332741</v>
      </c>
      <c r="BU171" s="198">
        <v>100620.96981149455</v>
      </c>
      <c r="BV171" s="198">
        <v>341477.81833302096</v>
      </c>
      <c r="BW171" s="198">
        <v>673713.0349173392</v>
      </c>
      <c r="BX171" s="198">
        <v>845.01</v>
      </c>
      <c r="BY171" s="198">
        <v>-78489.99687987202</v>
      </c>
      <c r="BZ171" s="198">
        <v>3200839.554709604</v>
      </c>
      <c r="CA171" s="198">
        <v>3023105.784709604</v>
      </c>
      <c r="CB171" s="198">
        <v>310208.7689333186</v>
      </c>
      <c r="CC171" s="232">
        <v>5768693.813756099</v>
      </c>
      <c r="CD171" s="198">
        <v>-546028</v>
      </c>
      <c r="CE171" s="198">
        <v>69086.02616000001</v>
      </c>
      <c r="CH171" s="198">
        <v>9335</v>
      </c>
    </row>
    <row r="172" spans="1:86" ht="11.25">
      <c r="A172" s="198">
        <v>560</v>
      </c>
      <c r="B172" s="198" t="s">
        <v>248</v>
      </c>
      <c r="C172" s="198">
        <v>16288</v>
      </c>
      <c r="D172" s="198">
        <v>59533377.660000004</v>
      </c>
      <c r="E172" s="198">
        <v>18123016.402502008</v>
      </c>
      <c r="F172" s="198">
        <v>3309869.606669124</v>
      </c>
      <c r="G172" s="198">
        <v>80966263.66917114</v>
      </c>
      <c r="H172" s="198">
        <v>3642.26</v>
      </c>
      <c r="I172" s="198">
        <v>59325130.88</v>
      </c>
      <c r="J172" s="198">
        <v>21641132.789171137</v>
      </c>
      <c r="K172" s="198">
        <v>308951.1932497987</v>
      </c>
      <c r="L172" s="198">
        <v>3981149.310426185</v>
      </c>
      <c r="M172" s="198">
        <v>0</v>
      </c>
      <c r="N172" s="198">
        <v>25931233.29284712</v>
      </c>
      <c r="O172" s="198">
        <v>9443364.472097555</v>
      </c>
      <c r="P172" s="198">
        <v>35374597.76494467</v>
      </c>
      <c r="Q172" s="198">
        <v>1038</v>
      </c>
      <c r="R172" s="198">
        <v>218</v>
      </c>
      <c r="S172" s="198">
        <v>1215</v>
      </c>
      <c r="T172" s="198">
        <v>608</v>
      </c>
      <c r="U172" s="198">
        <v>549</v>
      </c>
      <c r="V172" s="198">
        <v>9094</v>
      </c>
      <c r="W172" s="198">
        <v>2019</v>
      </c>
      <c r="X172" s="198">
        <v>1096</v>
      </c>
      <c r="Y172" s="198">
        <v>451</v>
      </c>
      <c r="Z172" s="198">
        <v>15871</v>
      </c>
      <c r="AA172" s="198">
        <v>95</v>
      </c>
      <c r="AB172" s="198">
        <v>3</v>
      </c>
      <c r="AC172" s="198">
        <v>319</v>
      </c>
      <c r="AD172" s="198">
        <v>785.35</v>
      </c>
      <c r="AE172" s="198">
        <v>20.739797542496976</v>
      </c>
      <c r="AF172" s="198">
        <v>3566</v>
      </c>
      <c r="AG172" s="198">
        <v>18123016.402502008</v>
      </c>
      <c r="AH172" s="198">
        <v>10886528.216329362</v>
      </c>
      <c r="AI172" s="198">
        <v>4935010.015339843</v>
      </c>
      <c r="AJ172" s="198">
        <v>2301478.170832801</v>
      </c>
      <c r="AK172" s="198">
        <v>1003</v>
      </c>
      <c r="AL172" s="198">
        <v>7676</v>
      </c>
      <c r="AM172" s="198">
        <v>1.0482002487128426</v>
      </c>
      <c r="AN172" s="198">
        <v>319</v>
      </c>
      <c r="AO172" s="198">
        <v>0.019584970530451867</v>
      </c>
      <c r="AP172" s="198">
        <v>0.017861426924798644</v>
      </c>
      <c r="AQ172" s="198">
        <v>0</v>
      </c>
      <c r="AR172" s="198">
        <v>95</v>
      </c>
      <c r="AS172" s="198">
        <v>3</v>
      </c>
      <c r="AT172" s="198">
        <v>0</v>
      </c>
      <c r="AU172" s="198">
        <v>785.35</v>
      </c>
      <c r="AV172" s="198">
        <v>20.739797542496976</v>
      </c>
      <c r="AW172" s="198">
        <v>0.8680148036157169</v>
      </c>
      <c r="AX172" s="198">
        <v>830</v>
      </c>
      <c r="AY172" s="198">
        <v>5294</v>
      </c>
      <c r="AZ172" s="198">
        <v>0.15678126180581792</v>
      </c>
      <c r="BA172" s="198">
        <v>0.09309240311016574</v>
      </c>
      <c r="BB172" s="198">
        <v>0</v>
      </c>
      <c r="BC172" s="198">
        <v>4859</v>
      </c>
      <c r="BD172" s="198">
        <v>6657</v>
      </c>
      <c r="BE172" s="198">
        <v>0.7299083671323419</v>
      </c>
      <c r="BF172" s="198">
        <v>0.3002695128359533</v>
      </c>
      <c r="BG172" s="198">
        <v>0</v>
      </c>
      <c r="BH172" s="198">
        <v>3</v>
      </c>
      <c r="BI172" s="198">
        <v>-1628.8000000000002</v>
      </c>
      <c r="BJ172" s="198">
        <v>-3909.12</v>
      </c>
      <c r="BK172" s="198">
        <v>-66780.79999999999</v>
      </c>
      <c r="BL172" s="198">
        <v>-6026.5599999999995</v>
      </c>
      <c r="BM172" s="198">
        <v>-86815.04000000001</v>
      </c>
      <c r="BN172" s="198">
        <v>-1954.56</v>
      </c>
      <c r="BO172" s="198">
        <v>-142897</v>
      </c>
      <c r="BP172" s="198">
        <v>195649.91878824774</v>
      </c>
      <c r="BQ172" s="198">
        <v>1347206</v>
      </c>
      <c r="BR172" s="198">
        <v>448989</v>
      </c>
      <c r="BS172" s="198">
        <v>1044372.1029025062</v>
      </c>
      <c r="BT172" s="198">
        <v>40840.80575134025</v>
      </c>
      <c r="BU172" s="198">
        <v>25536.415548027293</v>
      </c>
      <c r="BV172" s="198">
        <v>410477.114387732</v>
      </c>
      <c r="BW172" s="198">
        <v>848689.3843334243</v>
      </c>
      <c r="BX172" s="198">
        <v>1465.9199999999998</v>
      </c>
      <c r="BY172" s="198">
        <v>69151.48871490645</v>
      </c>
      <c r="BZ172" s="198">
        <v>4289481.150426185</v>
      </c>
      <c r="CA172" s="198">
        <v>3981149.310426185</v>
      </c>
      <c r="CB172" s="198">
        <v>0</v>
      </c>
      <c r="CC172" s="232">
        <v>9443364.472097555</v>
      </c>
      <c r="CD172" s="198">
        <v>-2450967</v>
      </c>
      <c r="CE172" s="198">
        <v>-90039.71329400002</v>
      </c>
      <c r="CH172" s="198">
        <v>16347</v>
      </c>
    </row>
    <row r="173" spans="1:86" ht="11.25">
      <c r="A173" s="198">
        <v>561</v>
      </c>
      <c r="B173" s="198" t="s">
        <v>249</v>
      </c>
      <c r="C173" s="198">
        <v>1417</v>
      </c>
      <c r="D173" s="198">
        <v>5706977.02</v>
      </c>
      <c r="E173" s="198">
        <v>1491583.1600735127</v>
      </c>
      <c r="F173" s="198">
        <v>410523.90179311926</v>
      </c>
      <c r="G173" s="198">
        <v>7609084.081866632</v>
      </c>
      <c r="H173" s="198">
        <v>3642.26</v>
      </c>
      <c r="I173" s="198">
        <v>5161082.42</v>
      </c>
      <c r="J173" s="198">
        <v>2448001.6618666323</v>
      </c>
      <c r="K173" s="198">
        <v>31683.293733099476</v>
      </c>
      <c r="L173" s="198">
        <v>475455.85131384793</v>
      </c>
      <c r="M173" s="198">
        <v>127633.28035770079</v>
      </c>
      <c r="N173" s="198">
        <v>3082774.0872712806</v>
      </c>
      <c r="O173" s="198">
        <v>1097764.85548718</v>
      </c>
      <c r="P173" s="198">
        <v>4180538.9427584605</v>
      </c>
      <c r="Q173" s="198">
        <v>98</v>
      </c>
      <c r="R173" s="198">
        <v>26</v>
      </c>
      <c r="S173" s="198">
        <v>125</v>
      </c>
      <c r="T173" s="198">
        <v>54</v>
      </c>
      <c r="U173" s="198">
        <v>49</v>
      </c>
      <c r="V173" s="198">
        <v>738</v>
      </c>
      <c r="W173" s="198">
        <v>157</v>
      </c>
      <c r="X173" s="198">
        <v>122</v>
      </c>
      <c r="Y173" s="198">
        <v>48</v>
      </c>
      <c r="Z173" s="198">
        <v>1333</v>
      </c>
      <c r="AA173" s="198">
        <v>2</v>
      </c>
      <c r="AB173" s="198">
        <v>0</v>
      </c>
      <c r="AC173" s="198">
        <v>82</v>
      </c>
      <c r="AD173" s="198">
        <v>117.61</v>
      </c>
      <c r="AE173" s="198">
        <v>12.048295212992093</v>
      </c>
      <c r="AF173" s="198">
        <v>327</v>
      </c>
      <c r="AG173" s="198">
        <v>1491583.1600735127</v>
      </c>
      <c r="AH173" s="198">
        <v>864003.45609713</v>
      </c>
      <c r="AI173" s="198">
        <v>419143.9451085064</v>
      </c>
      <c r="AJ173" s="198">
        <v>208435.75886787634</v>
      </c>
      <c r="AK173" s="198">
        <v>64</v>
      </c>
      <c r="AL173" s="198">
        <v>646</v>
      </c>
      <c r="AM173" s="198">
        <v>0.7947412360189801</v>
      </c>
      <c r="AN173" s="198">
        <v>82</v>
      </c>
      <c r="AO173" s="198">
        <v>0.05786873676781934</v>
      </c>
      <c r="AP173" s="198">
        <v>0.05614519316216612</v>
      </c>
      <c r="AQ173" s="198">
        <v>0</v>
      </c>
      <c r="AR173" s="198">
        <v>2</v>
      </c>
      <c r="AS173" s="198">
        <v>0</v>
      </c>
      <c r="AT173" s="198">
        <v>0</v>
      </c>
      <c r="AU173" s="198">
        <v>117.61</v>
      </c>
      <c r="AV173" s="198">
        <v>12.048295212992093</v>
      </c>
      <c r="AW173" s="198">
        <v>1.4941907525197071</v>
      </c>
      <c r="AX173" s="198">
        <v>74</v>
      </c>
      <c r="AY173" s="198">
        <v>411</v>
      </c>
      <c r="AZ173" s="198">
        <v>0.18004866180048662</v>
      </c>
      <c r="BA173" s="198">
        <v>0.11635980310483444</v>
      </c>
      <c r="BB173" s="198">
        <v>0</v>
      </c>
      <c r="BC173" s="198">
        <v>449</v>
      </c>
      <c r="BD173" s="198">
        <v>573</v>
      </c>
      <c r="BE173" s="198">
        <v>0.7835951134380453</v>
      </c>
      <c r="BF173" s="198">
        <v>0.3539562591416568</v>
      </c>
      <c r="BG173" s="198">
        <v>0</v>
      </c>
      <c r="BH173" s="198">
        <v>0</v>
      </c>
      <c r="BI173" s="198">
        <v>-141.70000000000002</v>
      </c>
      <c r="BJ173" s="198">
        <v>-340.08</v>
      </c>
      <c r="BK173" s="198">
        <v>-5809.7</v>
      </c>
      <c r="BL173" s="198">
        <v>-524.29</v>
      </c>
      <c r="BM173" s="198">
        <v>-7552.61</v>
      </c>
      <c r="BN173" s="198">
        <v>-170.04</v>
      </c>
      <c r="BO173" s="198">
        <v>-16189</v>
      </c>
      <c r="BP173" s="198">
        <v>69611.57795016142</v>
      </c>
      <c r="BQ173" s="198">
        <v>125388</v>
      </c>
      <c r="BR173" s="198">
        <v>47164</v>
      </c>
      <c r="BS173" s="198">
        <v>120705.51309423543</v>
      </c>
      <c r="BT173" s="198">
        <v>6912.047351031206</v>
      </c>
      <c r="BU173" s="198">
        <v>16468.420393850014</v>
      </c>
      <c r="BV173" s="198">
        <v>44923.49796783315</v>
      </c>
      <c r="BW173" s="198">
        <v>94257.94818481983</v>
      </c>
      <c r="BX173" s="198">
        <v>127.53</v>
      </c>
      <c r="BY173" s="198">
        <v>-7089.873628083123</v>
      </c>
      <c r="BZ173" s="198">
        <v>502279.66131384793</v>
      </c>
      <c r="CA173" s="198">
        <v>475455.85131384793</v>
      </c>
      <c r="CB173" s="198">
        <v>127633.28035770079</v>
      </c>
      <c r="CC173" s="232">
        <v>1097764.85548718</v>
      </c>
      <c r="CD173" s="198">
        <v>-372856</v>
      </c>
      <c r="CE173" s="198">
        <v>-613904.3060000001</v>
      </c>
      <c r="CH173" s="198">
        <v>1423</v>
      </c>
    </row>
    <row r="174" spans="1:86" ht="11.25">
      <c r="A174" s="198">
        <v>562</v>
      </c>
      <c r="B174" s="198" t="s">
        <v>250</v>
      </c>
      <c r="C174" s="198">
        <v>9579</v>
      </c>
      <c r="D174" s="198">
        <v>35960560.550000004</v>
      </c>
      <c r="E174" s="198">
        <v>11807488.79110045</v>
      </c>
      <c r="F174" s="198">
        <v>1936609.2098066974</v>
      </c>
      <c r="G174" s="198">
        <v>49704658.55090715</v>
      </c>
      <c r="H174" s="198">
        <v>3642.26</v>
      </c>
      <c r="I174" s="198">
        <v>34889208.54</v>
      </c>
      <c r="J174" s="198">
        <v>14815450.01090715</v>
      </c>
      <c r="K174" s="198">
        <v>218254.36331720804</v>
      </c>
      <c r="L174" s="198">
        <v>2568006.801992316</v>
      </c>
      <c r="M174" s="198">
        <v>2118190.2146297544</v>
      </c>
      <c r="N174" s="198">
        <v>19719901.39084643</v>
      </c>
      <c r="O174" s="198">
        <v>6230003.627906976</v>
      </c>
      <c r="P174" s="198">
        <v>25949905.01875341</v>
      </c>
      <c r="Q174" s="198">
        <v>574</v>
      </c>
      <c r="R174" s="198">
        <v>97</v>
      </c>
      <c r="S174" s="198">
        <v>641</v>
      </c>
      <c r="T174" s="198">
        <v>292</v>
      </c>
      <c r="U174" s="198">
        <v>345</v>
      </c>
      <c r="V174" s="198">
        <v>5102</v>
      </c>
      <c r="W174" s="198">
        <v>1365</v>
      </c>
      <c r="X174" s="198">
        <v>808</v>
      </c>
      <c r="Y174" s="198">
        <v>355</v>
      </c>
      <c r="Z174" s="198">
        <v>9437</v>
      </c>
      <c r="AA174" s="198">
        <v>15</v>
      </c>
      <c r="AB174" s="198">
        <v>0</v>
      </c>
      <c r="AC174" s="198">
        <v>127</v>
      </c>
      <c r="AD174" s="198">
        <v>799.57</v>
      </c>
      <c r="AE174" s="198">
        <v>11.980189351776579</v>
      </c>
      <c r="AF174" s="198">
        <v>2528</v>
      </c>
      <c r="AG174" s="198">
        <v>11807488.79110045</v>
      </c>
      <c r="AH174" s="198">
        <v>7018092.487045074</v>
      </c>
      <c r="AI174" s="198">
        <v>3434563.8714141785</v>
      </c>
      <c r="AJ174" s="198">
        <v>1354832.432641196</v>
      </c>
      <c r="AK174" s="198">
        <v>562</v>
      </c>
      <c r="AL174" s="198">
        <v>4247</v>
      </c>
      <c r="AM174" s="198">
        <v>1.0615301801976496</v>
      </c>
      <c r="AN174" s="198">
        <v>127</v>
      </c>
      <c r="AO174" s="198">
        <v>0.013258168911159829</v>
      </c>
      <c r="AP174" s="198">
        <v>0.011534625305506606</v>
      </c>
      <c r="AQ174" s="198">
        <v>0</v>
      </c>
      <c r="AR174" s="198">
        <v>15</v>
      </c>
      <c r="AS174" s="198">
        <v>0</v>
      </c>
      <c r="AT174" s="198">
        <v>0</v>
      </c>
      <c r="AU174" s="198">
        <v>799.57</v>
      </c>
      <c r="AV174" s="198">
        <v>11.980189351776579</v>
      </c>
      <c r="AW174" s="198">
        <v>1.5026850379631607</v>
      </c>
      <c r="AX174" s="198">
        <v>339</v>
      </c>
      <c r="AY174" s="198">
        <v>2785</v>
      </c>
      <c r="AZ174" s="198">
        <v>0.12172351885098744</v>
      </c>
      <c r="BA174" s="198">
        <v>0.05803466015533526</v>
      </c>
      <c r="BB174" s="198">
        <v>0</v>
      </c>
      <c r="BC174" s="198">
        <v>2876</v>
      </c>
      <c r="BD174" s="198">
        <v>3639</v>
      </c>
      <c r="BE174" s="198">
        <v>0.7903270129156361</v>
      </c>
      <c r="BF174" s="198">
        <v>0.3606881586192476</v>
      </c>
      <c r="BG174" s="198">
        <v>0</v>
      </c>
      <c r="BH174" s="198">
        <v>0</v>
      </c>
      <c r="BI174" s="198">
        <v>-957.9000000000001</v>
      </c>
      <c r="BJ174" s="198">
        <v>-2298.96</v>
      </c>
      <c r="BK174" s="198">
        <v>-39273.899999999994</v>
      </c>
      <c r="BL174" s="198">
        <v>-3544.23</v>
      </c>
      <c r="BM174" s="198">
        <v>-51056.07</v>
      </c>
      <c r="BN174" s="198">
        <v>-1149.48</v>
      </c>
      <c r="BO174" s="198">
        <v>126949</v>
      </c>
      <c r="BP174" s="198">
        <v>-13207.785282626748</v>
      </c>
      <c r="BQ174" s="198">
        <v>830958</v>
      </c>
      <c r="BR174" s="198">
        <v>272171</v>
      </c>
      <c r="BS174" s="198">
        <v>596253.0285823218</v>
      </c>
      <c r="BT174" s="198">
        <v>27439.14402939919</v>
      </c>
      <c r="BU174" s="198">
        <v>84570.05489581006</v>
      </c>
      <c r="BV174" s="198">
        <v>269120.68028650165</v>
      </c>
      <c r="BW174" s="198">
        <v>507717.6609956176</v>
      </c>
      <c r="BX174" s="198">
        <v>862.11</v>
      </c>
      <c r="BY174" s="198">
        <v>46504.37848529253</v>
      </c>
      <c r="BZ174" s="198">
        <v>2749337.271992316</v>
      </c>
      <c r="CA174" s="198">
        <v>2568006.801992316</v>
      </c>
      <c r="CB174" s="198">
        <v>2118190.2146297544</v>
      </c>
      <c r="CC174" s="232">
        <v>6230003.627906976</v>
      </c>
      <c r="CD174" s="198">
        <v>-1210462</v>
      </c>
      <c r="CE174" s="198">
        <v>-83779.88175999999</v>
      </c>
      <c r="CH174" s="198">
        <v>9630</v>
      </c>
    </row>
    <row r="175" spans="1:86" ht="11.25">
      <c r="A175" s="198">
        <v>563</v>
      </c>
      <c r="B175" s="198" t="s">
        <v>251</v>
      </c>
      <c r="C175" s="198">
        <v>7725</v>
      </c>
      <c r="D175" s="198">
        <v>30824361.42</v>
      </c>
      <c r="E175" s="198">
        <v>13189624.007143995</v>
      </c>
      <c r="F175" s="198">
        <v>1499419.7928606037</v>
      </c>
      <c r="G175" s="198">
        <v>45513405.2200046</v>
      </c>
      <c r="H175" s="198">
        <v>3642.26</v>
      </c>
      <c r="I175" s="198">
        <v>28136458.5</v>
      </c>
      <c r="J175" s="198">
        <v>17376946.720004603</v>
      </c>
      <c r="K175" s="198">
        <v>282692.80855088757</v>
      </c>
      <c r="L175" s="198">
        <v>1762634.899995543</v>
      </c>
      <c r="M175" s="198">
        <v>0</v>
      </c>
      <c r="N175" s="198">
        <v>19422274.428551033</v>
      </c>
      <c r="O175" s="198">
        <v>5646733.929302327</v>
      </c>
      <c r="P175" s="198">
        <v>25069008.35785336</v>
      </c>
      <c r="Q175" s="198">
        <v>563</v>
      </c>
      <c r="R175" s="198">
        <v>106</v>
      </c>
      <c r="S175" s="198">
        <v>617</v>
      </c>
      <c r="T175" s="198">
        <v>339</v>
      </c>
      <c r="U175" s="198">
        <v>298</v>
      </c>
      <c r="V175" s="198">
        <v>4075</v>
      </c>
      <c r="W175" s="198">
        <v>895</v>
      </c>
      <c r="X175" s="198">
        <v>571</v>
      </c>
      <c r="Y175" s="198">
        <v>261</v>
      </c>
      <c r="Z175" s="198">
        <v>7635</v>
      </c>
      <c r="AA175" s="198">
        <v>13</v>
      </c>
      <c r="AB175" s="198">
        <v>1</v>
      </c>
      <c r="AC175" s="198">
        <v>76</v>
      </c>
      <c r="AD175" s="198">
        <v>587.75</v>
      </c>
      <c r="AE175" s="198">
        <v>13.143343258188006</v>
      </c>
      <c r="AF175" s="198">
        <v>1727</v>
      </c>
      <c r="AG175" s="198">
        <v>13189624.007143995</v>
      </c>
      <c r="AH175" s="198">
        <v>7389954.442274634</v>
      </c>
      <c r="AI175" s="198">
        <v>4314564.782935743</v>
      </c>
      <c r="AJ175" s="198">
        <v>1485104.781933619</v>
      </c>
      <c r="AK175" s="198">
        <v>487</v>
      </c>
      <c r="AL175" s="198">
        <v>3289</v>
      </c>
      <c r="AM175" s="198">
        <v>1.1878001593096457</v>
      </c>
      <c r="AN175" s="198">
        <v>76</v>
      </c>
      <c r="AO175" s="198">
        <v>0.009838187702265373</v>
      </c>
      <c r="AP175" s="198">
        <v>0.00811464409661215</v>
      </c>
      <c r="AQ175" s="198">
        <v>0</v>
      </c>
      <c r="AR175" s="198">
        <v>13</v>
      </c>
      <c r="AS175" s="198">
        <v>1</v>
      </c>
      <c r="AT175" s="198">
        <v>0</v>
      </c>
      <c r="AU175" s="198">
        <v>587.75</v>
      </c>
      <c r="AV175" s="198">
        <v>13.143343258188006</v>
      </c>
      <c r="AW175" s="198">
        <v>1.3697010674711794</v>
      </c>
      <c r="AX175" s="198">
        <v>214</v>
      </c>
      <c r="AY175" s="198">
        <v>2060</v>
      </c>
      <c r="AZ175" s="198">
        <v>0.10388349514563107</v>
      </c>
      <c r="BA175" s="198">
        <v>0.04019463644997889</v>
      </c>
      <c r="BB175" s="198">
        <v>0</v>
      </c>
      <c r="BC175" s="198">
        <v>2821</v>
      </c>
      <c r="BD175" s="198">
        <v>2796</v>
      </c>
      <c r="BE175" s="198">
        <v>1.0089413447782547</v>
      </c>
      <c r="BF175" s="198">
        <v>0.5793024904818662</v>
      </c>
      <c r="BG175" s="198">
        <v>0</v>
      </c>
      <c r="BH175" s="198">
        <v>1</v>
      </c>
      <c r="BI175" s="198">
        <v>-772.5</v>
      </c>
      <c r="BJ175" s="198">
        <v>-1854</v>
      </c>
      <c r="BK175" s="198">
        <v>-31672.499999999996</v>
      </c>
      <c r="BL175" s="198">
        <v>-2858.25</v>
      </c>
      <c r="BM175" s="198">
        <v>-41174.25</v>
      </c>
      <c r="BN175" s="198">
        <v>-927</v>
      </c>
      <c r="BO175" s="198">
        <v>-80932</v>
      </c>
      <c r="BP175" s="198">
        <v>-140909.5184260942</v>
      </c>
      <c r="BQ175" s="198">
        <v>671353</v>
      </c>
      <c r="BR175" s="198">
        <v>207901</v>
      </c>
      <c r="BS175" s="198">
        <v>489424.8735210157</v>
      </c>
      <c r="BT175" s="198">
        <v>20115.51790016979</v>
      </c>
      <c r="BU175" s="198">
        <v>47737.777973836666</v>
      </c>
      <c r="BV175" s="198">
        <v>243027.83338420675</v>
      </c>
      <c r="BW175" s="198">
        <v>382898.68350161717</v>
      </c>
      <c r="BX175" s="198">
        <v>695.25</v>
      </c>
      <c r="BY175" s="198">
        <v>67556.73214079102</v>
      </c>
      <c r="BZ175" s="198">
        <v>1908869.149995543</v>
      </c>
      <c r="CA175" s="198">
        <v>1762634.899995543</v>
      </c>
      <c r="CB175" s="198">
        <v>0</v>
      </c>
      <c r="CC175" s="232">
        <v>5646733.929302327</v>
      </c>
      <c r="CD175" s="198">
        <v>-798335</v>
      </c>
      <c r="CE175" s="198">
        <v>76246.16766000002</v>
      </c>
      <c r="CH175" s="198">
        <v>7772</v>
      </c>
    </row>
    <row r="176" spans="1:86" ht="11.25">
      <c r="A176" s="198">
        <v>564</v>
      </c>
      <c r="B176" s="198" t="s">
        <v>252</v>
      </c>
      <c r="C176" s="198">
        <v>196291</v>
      </c>
      <c r="D176" s="198">
        <v>661863388.8100001</v>
      </c>
      <c r="E176" s="198">
        <v>220926180.72553253</v>
      </c>
      <c r="F176" s="198">
        <v>39018213.3368413</v>
      </c>
      <c r="G176" s="198">
        <v>921807782.8723739</v>
      </c>
      <c r="H176" s="198">
        <v>3642.26</v>
      </c>
      <c r="I176" s="198">
        <v>714942857.6600001</v>
      </c>
      <c r="J176" s="198">
        <v>206864925.21237385</v>
      </c>
      <c r="K176" s="198">
        <v>7737371.874320149</v>
      </c>
      <c r="L176" s="198">
        <v>40298904.669702366</v>
      </c>
      <c r="M176" s="198">
        <v>0</v>
      </c>
      <c r="N176" s="198">
        <v>254901201.75639635</v>
      </c>
      <c r="O176" s="198">
        <v>28734399.778500028</v>
      </c>
      <c r="P176" s="198">
        <v>283635601.5348964</v>
      </c>
      <c r="Q176" s="198">
        <v>16128</v>
      </c>
      <c r="R176" s="198">
        <v>2669</v>
      </c>
      <c r="S176" s="198">
        <v>14816</v>
      </c>
      <c r="T176" s="198">
        <v>6664</v>
      </c>
      <c r="U176" s="198">
        <v>6930</v>
      </c>
      <c r="V176" s="198">
        <v>121636</v>
      </c>
      <c r="W176" s="198">
        <v>15927</v>
      </c>
      <c r="X176" s="198">
        <v>8535</v>
      </c>
      <c r="Y176" s="198">
        <v>2986</v>
      </c>
      <c r="Z176" s="198">
        <v>189300</v>
      </c>
      <c r="AA176" s="198">
        <v>451</v>
      </c>
      <c r="AB176" s="198">
        <v>111</v>
      </c>
      <c r="AC176" s="198">
        <v>6429</v>
      </c>
      <c r="AD176" s="198">
        <v>3031</v>
      </c>
      <c r="AE176" s="198">
        <v>64.76113493896403</v>
      </c>
      <c r="AF176" s="198">
        <v>27448</v>
      </c>
      <c r="AG176" s="198">
        <v>220926180.72553253</v>
      </c>
      <c r="AH176" s="198">
        <v>136452902.9097426</v>
      </c>
      <c r="AI176" s="198">
        <v>50784848.28876941</v>
      </c>
      <c r="AJ176" s="198">
        <v>33688429.52702051</v>
      </c>
      <c r="AK176" s="198">
        <v>15105</v>
      </c>
      <c r="AL176" s="198">
        <v>93191</v>
      </c>
      <c r="AM176" s="198">
        <v>1.3002445708046988</v>
      </c>
      <c r="AN176" s="198">
        <v>6429</v>
      </c>
      <c r="AO176" s="198">
        <v>0.032752393130607106</v>
      </c>
      <c r="AP176" s="198">
        <v>0.031028849524953883</v>
      </c>
      <c r="AQ176" s="198">
        <v>0</v>
      </c>
      <c r="AR176" s="198">
        <v>451</v>
      </c>
      <c r="AS176" s="198">
        <v>111</v>
      </c>
      <c r="AT176" s="198">
        <v>0</v>
      </c>
      <c r="AU176" s="198">
        <v>3031</v>
      </c>
      <c r="AV176" s="198">
        <v>64.76113493896403</v>
      </c>
      <c r="AW176" s="198">
        <v>0.27798233165381</v>
      </c>
      <c r="AX176" s="198">
        <v>5539</v>
      </c>
      <c r="AY176" s="198">
        <v>64001</v>
      </c>
      <c r="AZ176" s="198">
        <v>0.0865455227262074</v>
      </c>
      <c r="BA176" s="198">
        <v>0.022856664030555224</v>
      </c>
      <c r="BB176" s="198">
        <v>0</v>
      </c>
      <c r="BC176" s="198">
        <v>84078</v>
      </c>
      <c r="BD176" s="198">
        <v>79798</v>
      </c>
      <c r="BE176" s="198">
        <v>1.053635429459385</v>
      </c>
      <c r="BF176" s="198">
        <v>0.6239965751629966</v>
      </c>
      <c r="BG176" s="198">
        <v>0</v>
      </c>
      <c r="BH176" s="198">
        <v>111</v>
      </c>
      <c r="BI176" s="198">
        <v>-19629.100000000002</v>
      </c>
      <c r="BJ176" s="198">
        <v>-47109.84</v>
      </c>
      <c r="BK176" s="198">
        <v>-804793.1</v>
      </c>
      <c r="BL176" s="198">
        <v>-72627.67</v>
      </c>
      <c r="BM176" s="198">
        <v>-1046231.03</v>
      </c>
      <c r="BN176" s="198">
        <v>-23554.92</v>
      </c>
      <c r="BO176" s="198">
        <v>2164676</v>
      </c>
      <c r="BP176" s="198">
        <v>-1916537.577849215</v>
      </c>
      <c r="BQ176" s="198">
        <v>11522544</v>
      </c>
      <c r="BR176" s="198">
        <v>4098255</v>
      </c>
      <c r="BS176" s="198">
        <v>9979124.861138187</v>
      </c>
      <c r="BT176" s="198">
        <v>334871.9485142128</v>
      </c>
      <c r="BU176" s="198">
        <v>2477521.5332884975</v>
      </c>
      <c r="BV176" s="198">
        <v>4353592.101941553</v>
      </c>
      <c r="BW176" s="198">
        <v>9057739.562691158</v>
      </c>
      <c r="BX176" s="198">
        <v>17666.19</v>
      </c>
      <c r="BY176" s="198">
        <v>1925239.6799779816</v>
      </c>
      <c r="BZ176" s="198">
        <v>44014693.29970237</v>
      </c>
      <c r="CA176" s="198">
        <v>40298904.669702366</v>
      </c>
      <c r="CB176" s="198">
        <v>0</v>
      </c>
      <c r="CC176" s="232">
        <v>28734399.778500028</v>
      </c>
      <c r="CD176" s="198">
        <v>-15695369</v>
      </c>
      <c r="CE176" s="198">
        <v>-8702580.427171998</v>
      </c>
      <c r="CH176" s="198">
        <v>193798</v>
      </c>
    </row>
    <row r="177" spans="1:86" ht="11.25">
      <c r="A177" s="198">
        <v>309</v>
      </c>
      <c r="B177" s="198" t="s">
        <v>253</v>
      </c>
      <c r="C177" s="198">
        <v>7172</v>
      </c>
      <c r="D177" s="198">
        <v>25698673.060000002</v>
      </c>
      <c r="E177" s="198">
        <v>12300481.64213766</v>
      </c>
      <c r="F177" s="198">
        <v>1744084.6893596007</v>
      </c>
      <c r="G177" s="198">
        <v>39743239.39149726</v>
      </c>
      <c r="H177" s="198">
        <v>3642.26</v>
      </c>
      <c r="I177" s="198">
        <v>26122288.720000003</v>
      </c>
      <c r="J177" s="198">
        <v>13620950.67149726</v>
      </c>
      <c r="K177" s="198">
        <v>307710.6297124276</v>
      </c>
      <c r="L177" s="198">
        <v>2014430.4630527105</v>
      </c>
      <c r="M177" s="198">
        <v>0</v>
      </c>
      <c r="N177" s="198">
        <v>15943091.764262397</v>
      </c>
      <c r="O177" s="198">
        <v>5465170.124674156</v>
      </c>
      <c r="P177" s="198">
        <v>21408261.888936553</v>
      </c>
      <c r="Q177" s="198">
        <v>435</v>
      </c>
      <c r="R177" s="198">
        <v>59</v>
      </c>
      <c r="S177" s="198">
        <v>386</v>
      </c>
      <c r="T177" s="198">
        <v>213</v>
      </c>
      <c r="U177" s="198">
        <v>231</v>
      </c>
      <c r="V177" s="198">
        <v>3942</v>
      </c>
      <c r="W177" s="198">
        <v>1032</v>
      </c>
      <c r="X177" s="198">
        <v>639</v>
      </c>
      <c r="Y177" s="198">
        <v>235</v>
      </c>
      <c r="Z177" s="198">
        <v>6939</v>
      </c>
      <c r="AA177" s="198">
        <v>8</v>
      </c>
      <c r="AB177" s="198">
        <v>0</v>
      </c>
      <c r="AC177" s="198">
        <v>225</v>
      </c>
      <c r="AD177" s="198">
        <v>445.82</v>
      </c>
      <c r="AE177" s="198">
        <v>16.087210084787582</v>
      </c>
      <c r="AF177" s="198">
        <v>1906</v>
      </c>
      <c r="AG177" s="198">
        <v>12300481.64213766</v>
      </c>
      <c r="AH177" s="198">
        <v>7607652.767058735</v>
      </c>
      <c r="AI177" s="198">
        <v>3311941.972579243</v>
      </c>
      <c r="AJ177" s="198">
        <v>1380886.9024996809</v>
      </c>
      <c r="AK177" s="198">
        <v>458</v>
      </c>
      <c r="AL177" s="198">
        <v>2980</v>
      </c>
      <c r="AM177" s="198">
        <v>1.232899014358555</v>
      </c>
      <c r="AN177" s="198">
        <v>225</v>
      </c>
      <c r="AO177" s="198">
        <v>0.031372002230897936</v>
      </c>
      <c r="AP177" s="198">
        <v>0.029648458625244713</v>
      </c>
      <c r="AQ177" s="198">
        <v>0</v>
      </c>
      <c r="AR177" s="198">
        <v>8</v>
      </c>
      <c r="AS177" s="198">
        <v>0</v>
      </c>
      <c r="AT177" s="198">
        <v>0</v>
      </c>
      <c r="AU177" s="198">
        <v>445.82</v>
      </c>
      <c r="AV177" s="198">
        <v>16.087210084787582</v>
      </c>
      <c r="AW177" s="198">
        <v>1.1190536579057766</v>
      </c>
      <c r="AX177" s="198">
        <v>250</v>
      </c>
      <c r="AY177" s="198">
        <v>1866</v>
      </c>
      <c r="AZ177" s="198">
        <v>0.1339764201500536</v>
      </c>
      <c r="BA177" s="198">
        <v>0.07028756145440142</v>
      </c>
      <c r="BB177" s="198">
        <v>0.0194</v>
      </c>
      <c r="BC177" s="198">
        <v>2490</v>
      </c>
      <c r="BD177" s="198">
        <v>2383</v>
      </c>
      <c r="BE177" s="198">
        <v>1.0449013848090642</v>
      </c>
      <c r="BF177" s="198">
        <v>0.6152625305126758</v>
      </c>
      <c r="BG177" s="198">
        <v>0</v>
      </c>
      <c r="BH177" s="198">
        <v>0</v>
      </c>
      <c r="BI177" s="198">
        <v>-717.2</v>
      </c>
      <c r="BJ177" s="198">
        <v>-1721.28</v>
      </c>
      <c r="BK177" s="198">
        <v>-29405.199999999997</v>
      </c>
      <c r="BL177" s="198">
        <v>-2653.64</v>
      </c>
      <c r="BM177" s="198">
        <v>-38226.76</v>
      </c>
      <c r="BN177" s="198">
        <v>-860.64</v>
      </c>
      <c r="BO177" s="198">
        <v>-98614</v>
      </c>
      <c r="BP177" s="198">
        <v>145432.3681433089</v>
      </c>
      <c r="BQ177" s="198">
        <v>623638</v>
      </c>
      <c r="BR177" s="198">
        <v>194928</v>
      </c>
      <c r="BS177" s="198">
        <v>495129.1066012289</v>
      </c>
      <c r="BT177" s="198">
        <v>27465.201518653055</v>
      </c>
      <c r="BU177" s="198">
        <v>76620.8839905472</v>
      </c>
      <c r="BV177" s="198">
        <v>277622.93648706295</v>
      </c>
      <c r="BW177" s="198">
        <v>357903.15902306745</v>
      </c>
      <c r="BX177" s="198">
        <v>645.48</v>
      </c>
      <c r="BY177" s="198">
        <v>49425.28728884207</v>
      </c>
      <c r="BZ177" s="198">
        <v>2150196.4230527105</v>
      </c>
      <c r="CA177" s="198">
        <v>2014430.4630527105</v>
      </c>
      <c r="CB177" s="198">
        <v>0</v>
      </c>
      <c r="CC177" s="232">
        <v>5465170.124674156</v>
      </c>
      <c r="CD177" s="198">
        <v>-998063</v>
      </c>
      <c r="CE177" s="198">
        <v>59435.400660000014</v>
      </c>
      <c r="CH177" s="198">
        <v>7262</v>
      </c>
    </row>
    <row r="178" spans="1:86" ht="11.25">
      <c r="A178" s="198">
        <v>576</v>
      </c>
      <c r="B178" s="198" t="s">
        <v>254</v>
      </c>
      <c r="C178" s="198">
        <v>3197</v>
      </c>
      <c r="D178" s="198">
        <v>12124084.61</v>
      </c>
      <c r="E178" s="198">
        <v>5148278.5981418</v>
      </c>
      <c r="F178" s="198">
        <v>879492.377980263</v>
      </c>
      <c r="G178" s="198">
        <v>18151855.586122062</v>
      </c>
      <c r="H178" s="198">
        <v>3642.26</v>
      </c>
      <c r="I178" s="198">
        <v>11644305.22</v>
      </c>
      <c r="J178" s="198">
        <v>6507550.366122061</v>
      </c>
      <c r="K178" s="198">
        <v>300567.6151714382</v>
      </c>
      <c r="L178" s="198">
        <v>1023937.1733222282</v>
      </c>
      <c r="M178" s="198">
        <v>0</v>
      </c>
      <c r="N178" s="198">
        <v>7832055.154615728</v>
      </c>
      <c r="O178" s="198">
        <v>2425588.0739999996</v>
      </c>
      <c r="P178" s="198">
        <v>10257643.228615727</v>
      </c>
      <c r="Q178" s="198">
        <v>112</v>
      </c>
      <c r="R178" s="198">
        <v>26</v>
      </c>
      <c r="S178" s="198">
        <v>167</v>
      </c>
      <c r="T178" s="198">
        <v>96</v>
      </c>
      <c r="U178" s="198">
        <v>98</v>
      </c>
      <c r="V178" s="198">
        <v>1590</v>
      </c>
      <c r="W178" s="198">
        <v>592</v>
      </c>
      <c r="X178" s="198">
        <v>370</v>
      </c>
      <c r="Y178" s="198">
        <v>146</v>
      </c>
      <c r="Z178" s="198">
        <v>3144</v>
      </c>
      <c r="AA178" s="198">
        <v>11</v>
      </c>
      <c r="AB178" s="198">
        <v>0</v>
      </c>
      <c r="AC178" s="198">
        <v>42</v>
      </c>
      <c r="AD178" s="198">
        <v>523.18</v>
      </c>
      <c r="AE178" s="198">
        <v>6.110707595856112</v>
      </c>
      <c r="AF178" s="198">
        <v>1108</v>
      </c>
      <c r="AG178" s="198">
        <v>5148278.5981418</v>
      </c>
      <c r="AH178" s="198">
        <v>3091348.777128634</v>
      </c>
      <c r="AI178" s="198">
        <v>1648743.126563574</v>
      </c>
      <c r="AJ178" s="198">
        <v>408186.6944495911</v>
      </c>
      <c r="AK178" s="198">
        <v>169</v>
      </c>
      <c r="AL178" s="198">
        <v>1305</v>
      </c>
      <c r="AM178" s="198">
        <v>1.038853923624714</v>
      </c>
      <c r="AN178" s="198">
        <v>42</v>
      </c>
      <c r="AO178" s="198">
        <v>0.013137316233969347</v>
      </c>
      <c r="AP178" s="198">
        <v>0.011413772628316124</v>
      </c>
      <c r="AQ178" s="198">
        <v>0</v>
      </c>
      <c r="AR178" s="198">
        <v>11</v>
      </c>
      <c r="AS178" s="198">
        <v>0</v>
      </c>
      <c r="AT178" s="198">
        <v>0</v>
      </c>
      <c r="AU178" s="198">
        <v>523.18</v>
      </c>
      <c r="AV178" s="198">
        <v>6.110707595856112</v>
      </c>
      <c r="AW178" s="198">
        <v>2.9460501927940954</v>
      </c>
      <c r="AX178" s="198">
        <v>130</v>
      </c>
      <c r="AY178" s="198">
        <v>787</v>
      </c>
      <c r="AZ178" s="198">
        <v>0.16518424396442186</v>
      </c>
      <c r="BA178" s="198">
        <v>0.10149538526876968</v>
      </c>
      <c r="BB178" s="198">
        <v>0.3509333333333333</v>
      </c>
      <c r="BC178" s="198">
        <v>859</v>
      </c>
      <c r="BD178" s="198">
        <v>1128</v>
      </c>
      <c r="BE178" s="198">
        <v>0.7615248226950354</v>
      </c>
      <c r="BF178" s="198">
        <v>0.33188596839864687</v>
      </c>
      <c r="BG178" s="198">
        <v>0</v>
      </c>
      <c r="BH178" s="198">
        <v>0</v>
      </c>
      <c r="BI178" s="198">
        <v>-319.70000000000005</v>
      </c>
      <c r="BJ178" s="198">
        <v>-767.28</v>
      </c>
      <c r="BK178" s="198">
        <v>-13107.699999999999</v>
      </c>
      <c r="BL178" s="198">
        <v>-1182.8899999999999</v>
      </c>
      <c r="BM178" s="198">
        <v>-17040.010000000002</v>
      </c>
      <c r="BN178" s="198">
        <v>-383.64</v>
      </c>
      <c r="BO178" s="198">
        <v>39631</v>
      </c>
      <c r="BP178" s="198">
        <v>31367.59674635902</v>
      </c>
      <c r="BQ178" s="198">
        <v>333500</v>
      </c>
      <c r="BR178" s="198">
        <v>98579</v>
      </c>
      <c r="BS178" s="198">
        <v>244053.0007171452</v>
      </c>
      <c r="BT178" s="198">
        <v>13893.435066114844</v>
      </c>
      <c r="BU178" s="198">
        <v>51242.601931801124</v>
      </c>
      <c r="BV178" s="198">
        <v>118125.36311008477</v>
      </c>
      <c r="BW178" s="198">
        <v>177639.70311188183</v>
      </c>
      <c r="BX178" s="198">
        <v>287.72999999999996</v>
      </c>
      <c r="BY178" s="198">
        <v>-23863.047361158522</v>
      </c>
      <c r="BZ178" s="198">
        <v>1084456.3833222282</v>
      </c>
      <c r="CA178" s="198">
        <v>1023937.1733222282</v>
      </c>
      <c r="CB178" s="198">
        <v>0</v>
      </c>
      <c r="CC178" s="232">
        <v>2425588.0739999996</v>
      </c>
      <c r="CD178" s="198">
        <v>-411076</v>
      </c>
      <c r="CE178" s="198">
        <v>-42338.22800000001</v>
      </c>
      <c r="CH178" s="198">
        <v>3279</v>
      </c>
    </row>
    <row r="179" spans="1:86" ht="11.25">
      <c r="A179" s="198">
        <v>577</v>
      </c>
      <c r="B179" s="198" t="s">
        <v>255</v>
      </c>
      <c r="C179" s="198">
        <v>10628</v>
      </c>
      <c r="D179" s="198">
        <v>38382865.53</v>
      </c>
      <c r="E179" s="198">
        <v>9956480.58144038</v>
      </c>
      <c r="F179" s="198">
        <v>1167834.6387276324</v>
      </c>
      <c r="G179" s="198">
        <v>49507180.75016802</v>
      </c>
      <c r="H179" s="198">
        <v>3642.26</v>
      </c>
      <c r="I179" s="198">
        <v>38709939.28</v>
      </c>
      <c r="J179" s="198">
        <v>10797241.470168017</v>
      </c>
      <c r="K179" s="198">
        <v>214692.33568441364</v>
      </c>
      <c r="L179" s="198">
        <v>1968284.713712328</v>
      </c>
      <c r="M179" s="198">
        <v>0</v>
      </c>
      <c r="N179" s="198">
        <v>12980218.519564759</v>
      </c>
      <c r="O179" s="198">
        <v>1793924.099160491</v>
      </c>
      <c r="P179" s="198">
        <v>14774142.61872525</v>
      </c>
      <c r="Q179" s="198">
        <v>864</v>
      </c>
      <c r="R179" s="198">
        <v>131</v>
      </c>
      <c r="S179" s="198">
        <v>800</v>
      </c>
      <c r="T179" s="198">
        <v>380</v>
      </c>
      <c r="U179" s="198">
        <v>388</v>
      </c>
      <c r="V179" s="198">
        <v>6022</v>
      </c>
      <c r="W179" s="198">
        <v>1230</v>
      </c>
      <c r="X179" s="198">
        <v>568</v>
      </c>
      <c r="Y179" s="198">
        <v>245</v>
      </c>
      <c r="Z179" s="198">
        <v>10377</v>
      </c>
      <c r="AA179" s="198">
        <v>91</v>
      </c>
      <c r="AB179" s="198">
        <v>0</v>
      </c>
      <c r="AC179" s="198">
        <v>160</v>
      </c>
      <c r="AD179" s="198">
        <v>238.36</v>
      </c>
      <c r="AE179" s="198">
        <v>44.58801812384628</v>
      </c>
      <c r="AF179" s="198">
        <v>2043</v>
      </c>
      <c r="AG179" s="198">
        <v>9956480.58144038</v>
      </c>
      <c r="AH179" s="198">
        <v>6113577.929073385</v>
      </c>
      <c r="AI179" s="198">
        <v>2540179.1594427675</v>
      </c>
      <c r="AJ179" s="198">
        <v>1302723.492924227</v>
      </c>
      <c r="AK179" s="198">
        <v>367</v>
      </c>
      <c r="AL179" s="198">
        <v>5175</v>
      </c>
      <c r="AM179" s="198">
        <v>0.5688974689548666</v>
      </c>
      <c r="AN179" s="198">
        <v>160</v>
      </c>
      <c r="AO179" s="198">
        <v>0.015054572826496047</v>
      </c>
      <c r="AP179" s="198">
        <v>0.013331029220842824</v>
      </c>
      <c r="AQ179" s="198">
        <v>0</v>
      </c>
      <c r="AR179" s="198">
        <v>91</v>
      </c>
      <c r="AS179" s="198">
        <v>0</v>
      </c>
      <c r="AT179" s="198">
        <v>0</v>
      </c>
      <c r="AU179" s="198">
        <v>238.36</v>
      </c>
      <c r="AV179" s="198">
        <v>44.58801812384628</v>
      </c>
      <c r="AW179" s="198">
        <v>0.40375087407736304</v>
      </c>
      <c r="AX179" s="198">
        <v>364</v>
      </c>
      <c r="AY179" s="198">
        <v>3544</v>
      </c>
      <c r="AZ179" s="198">
        <v>0.10270880361173815</v>
      </c>
      <c r="BA179" s="198">
        <v>0.03901994491608597</v>
      </c>
      <c r="BB179" s="198">
        <v>0</v>
      </c>
      <c r="BC179" s="198">
        <v>3559</v>
      </c>
      <c r="BD179" s="198">
        <v>4749</v>
      </c>
      <c r="BE179" s="198">
        <v>0.7494209307222574</v>
      </c>
      <c r="BF179" s="198">
        <v>0.3197820764258688</v>
      </c>
      <c r="BG179" s="198">
        <v>0</v>
      </c>
      <c r="BH179" s="198">
        <v>0</v>
      </c>
      <c r="BI179" s="198">
        <v>-1062.8</v>
      </c>
      <c r="BJ179" s="198">
        <v>-2550.72</v>
      </c>
      <c r="BK179" s="198">
        <v>-43574.799999999996</v>
      </c>
      <c r="BL179" s="198">
        <v>-3932.36</v>
      </c>
      <c r="BM179" s="198">
        <v>-56647.24</v>
      </c>
      <c r="BN179" s="198">
        <v>-1275.36</v>
      </c>
      <c r="BO179" s="198">
        <v>-100689</v>
      </c>
      <c r="BP179" s="198">
        <v>95634.59417682327</v>
      </c>
      <c r="BQ179" s="198">
        <v>715882</v>
      </c>
      <c r="BR179" s="198">
        <v>239696</v>
      </c>
      <c r="BS179" s="198">
        <v>484639.5318536193</v>
      </c>
      <c r="BT179" s="198">
        <v>8500.406288134975</v>
      </c>
      <c r="BU179" s="198">
        <v>9666.312235117239</v>
      </c>
      <c r="BV179" s="198">
        <v>210520.21530560398</v>
      </c>
      <c r="BW179" s="198">
        <v>509310.35091214615</v>
      </c>
      <c r="BX179" s="198">
        <v>956.52</v>
      </c>
      <c r="BY179" s="198">
        <v>-4644.177059116657</v>
      </c>
      <c r="BZ179" s="198">
        <v>2169472.753712328</v>
      </c>
      <c r="CA179" s="198">
        <v>1968284.713712328</v>
      </c>
      <c r="CB179" s="198">
        <v>0</v>
      </c>
      <c r="CC179" s="232">
        <v>1793924.099160491</v>
      </c>
      <c r="CD179" s="198">
        <v>-847257</v>
      </c>
      <c r="CE179" s="198">
        <v>-59622.18695999999</v>
      </c>
      <c r="CH179" s="198">
        <v>10590</v>
      </c>
    </row>
    <row r="180" spans="1:86" ht="11.25">
      <c r="A180" s="198">
        <v>578</v>
      </c>
      <c r="B180" s="198" t="s">
        <v>256</v>
      </c>
      <c r="C180" s="198">
        <v>3564</v>
      </c>
      <c r="D180" s="198">
        <v>12889046.94</v>
      </c>
      <c r="E180" s="198">
        <v>6841928.918946386</v>
      </c>
      <c r="F180" s="198">
        <v>1362882.481526413</v>
      </c>
      <c r="G180" s="198">
        <v>21093858.3404728</v>
      </c>
      <c r="H180" s="198">
        <v>3642.26</v>
      </c>
      <c r="I180" s="198">
        <v>12981014.64</v>
      </c>
      <c r="J180" s="198">
        <v>8112843.700472798</v>
      </c>
      <c r="K180" s="198">
        <v>147285.20078381352</v>
      </c>
      <c r="L180" s="198">
        <v>1364380.9859555112</v>
      </c>
      <c r="M180" s="198">
        <v>-256244.12172621302</v>
      </c>
      <c r="N180" s="198">
        <v>9368265.76548591</v>
      </c>
      <c r="O180" s="198">
        <v>3402314.0592727284</v>
      </c>
      <c r="P180" s="198">
        <v>12770579.82475864</v>
      </c>
      <c r="Q180" s="198">
        <v>177</v>
      </c>
      <c r="R180" s="198">
        <v>31</v>
      </c>
      <c r="S180" s="198">
        <v>209</v>
      </c>
      <c r="T180" s="198">
        <v>105</v>
      </c>
      <c r="U180" s="198">
        <v>125</v>
      </c>
      <c r="V180" s="198">
        <v>1912</v>
      </c>
      <c r="W180" s="198">
        <v>546</v>
      </c>
      <c r="X180" s="198">
        <v>334</v>
      </c>
      <c r="Y180" s="198">
        <v>125</v>
      </c>
      <c r="Z180" s="198">
        <v>3525</v>
      </c>
      <c r="AA180" s="198">
        <v>3</v>
      </c>
      <c r="AB180" s="198">
        <v>0</v>
      </c>
      <c r="AC180" s="198">
        <v>36</v>
      </c>
      <c r="AD180" s="198">
        <v>918.57</v>
      </c>
      <c r="AE180" s="198">
        <v>3.8799438257291223</v>
      </c>
      <c r="AF180" s="198">
        <v>1005</v>
      </c>
      <c r="AG180" s="198">
        <v>6841928.918946386</v>
      </c>
      <c r="AH180" s="198">
        <v>4076608.734696756</v>
      </c>
      <c r="AI180" s="198">
        <v>2009740.558353579</v>
      </c>
      <c r="AJ180" s="198">
        <v>755579.6258960515</v>
      </c>
      <c r="AK180" s="198">
        <v>292</v>
      </c>
      <c r="AL180" s="198">
        <v>1501</v>
      </c>
      <c r="AM180" s="198">
        <v>1.5605599270562567</v>
      </c>
      <c r="AN180" s="198">
        <v>36</v>
      </c>
      <c r="AO180" s="198">
        <v>0.010101010101010102</v>
      </c>
      <c r="AP180" s="198">
        <v>0.008377466495356879</v>
      </c>
      <c r="AQ180" s="198">
        <v>0</v>
      </c>
      <c r="AR180" s="198">
        <v>3</v>
      </c>
      <c r="AS180" s="198">
        <v>0</v>
      </c>
      <c r="AT180" s="198">
        <v>0</v>
      </c>
      <c r="AU180" s="198">
        <v>918.57</v>
      </c>
      <c r="AV180" s="198">
        <v>3.8799438257291223</v>
      </c>
      <c r="AW180" s="198">
        <v>4.639874209389411</v>
      </c>
      <c r="AX180" s="198">
        <v>157</v>
      </c>
      <c r="AY180" s="198">
        <v>958</v>
      </c>
      <c r="AZ180" s="198">
        <v>0.1638830897703549</v>
      </c>
      <c r="BA180" s="198">
        <v>0.10019423107470272</v>
      </c>
      <c r="BB180" s="198">
        <v>0.06771666666666666</v>
      </c>
      <c r="BC180" s="198">
        <v>1038</v>
      </c>
      <c r="BD180" s="198">
        <v>1206</v>
      </c>
      <c r="BE180" s="198">
        <v>0.8606965174129353</v>
      </c>
      <c r="BF180" s="198">
        <v>0.43105766311654675</v>
      </c>
      <c r="BG180" s="198">
        <v>0</v>
      </c>
      <c r="BH180" s="198">
        <v>0</v>
      </c>
      <c r="BI180" s="198">
        <v>-356.40000000000003</v>
      </c>
      <c r="BJ180" s="198">
        <v>-855.36</v>
      </c>
      <c r="BK180" s="198">
        <v>-14612.4</v>
      </c>
      <c r="BL180" s="198">
        <v>-1318.68</v>
      </c>
      <c r="BM180" s="198">
        <v>-18996.12</v>
      </c>
      <c r="BN180" s="198">
        <v>-427.68</v>
      </c>
      <c r="BO180" s="198">
        <v>118187</v>
      </c>
      <c r="BP180" s="198">
        <v>99190.47213805467</v>
      </c>
      <c r="BQ180" s="198">
        <v>359413</v>
      </c>
      <c r="BR180" s="198">
        <v>117091</v>
      </c>
      <c r="BS180" s="198">
        <v>292961.8091873133</v>
      </c>
      <c r="BT180" s="198">
        <v>17070.764551890865</v>
      </c>
      <c r="BU180" s="198">
        <v>64056.44933309336</v>
      </c>
      <c r="BV180" s="198">
        <v>149275.4613426207</v>
      </c>
      <c r="BW180" s="198">
        <v>226470.50735732843</v>
      </c>
      <c r="BX180" s="198">
        <v>320.76</v>
      </c>
      <c r="BY180" s="198">
        <v>-12189.717954790236</v>
      </c>
      <c r="BZ180" s="198">
        <v>1431847.5059555112</v>
      </c>
      <c r="CA180" s="198">
        <v>1364380.9859555112</v>
      </c>
      <c r="CB180" s="198">
        <v>-256244.12172621302</v>
      </c>
      <c r="CC180" s="232">
        <v>3402314.0592727284</v>
      </c>
      <c r="CD180" s="198">
        <v>-100500</v>
      </c>
      <c r="CE180" s="198">
        <v>2552.7460999999967</v>
      </c>
      <c r="CH180" s="198">
        <v>3620</v>
      </c>
    </row>
    <row r="181" spans="1:86" ht="11.25">
      <c r="A181" s="198">
        <v>445</v>
      </c>
      <c r="B181" s="198" t="s">
        <v>427</v>
      </c>
      <c r="C181" s="198">
        <v>15494</v>
      </c>
      <c r="D181" s="198">
        <v>57010852.74000001</v>
      </c>
      <c r="E181" s="198">
        <v>14400667.380597804</v>
      </c>
      <c r="F181" s="198">
        <v>11005591.927283015</v>
      </c>
      <c r="G181" s="198">
        <v>82417112.04788083</v>
      </c>
      <c r="H181" s="198">
        <v>3642.26</v>
      </c>
      <c r="I181" s="198">
        <v>56433176.440000005</v>
      </c>
      <c r="J181" s="198">
        <v>25983935.607880823</v>
      </c>
      <c r="K181" s="198">
        <v>380194.0921383376</v>
      </c>
      <c r="L181" s="198">
        <v>3612803.767422608</v>
      </c>
      <c r="M181" s="198">
        <v>1797130.8961418683</v>
      </c>
      <c r="N181" s="198">
        <v>31774064.36358364</v>
      </c>
      <c r="O181" s="198">
        <v>1131404.8719999944</v>
      </c>
      <c r="P181" s="198">
        <v>32905469.235583633</v>
      </c>
      <c r="Q181" s="198">
        <v>962</v>
      </c>
      <c r="R181" s="198">
        <v>147</v>
      </c>
      <c r="S181" s="198">
        <v>1095</v>
      </c>
      <c r="T181" s="198">
        <v>551</v>
      </c>
      <c r="U181" s="198">
        <v>583</v>
      </c>
      <c r="V181" s="198">
        <v>8463</v>
      </c>
      <c r="W181" s="198">
        <v>2099</v>
      </c>
      <c r="X181" s="198">
        <v>1107</v>
      </c>
      <c r="Y181" s="198">
        <v>487</v>
      </c>
      <c r="Z181" s="198">
        <v>6437</v>
      </c>
      <c r="AA181" s="198">
        <v>8700</v>
      </c>
      <c r="AB181" s="198">
        <v>0</v>
      </c>
      <c r="AC181" s="198">
        <v>357</v>
      </c>
      <c r="AD181" s="198">
        <v>882.13</v>
      </c>
      <c r="AE181" s="198">
        <v>17.564304580957455</v>
      </c>
      <c r="AF181" s="198">
        <v>3693</v>
      </c>
      <c r="AG181" s="198">
        <v>14400667.380597804</v>
      </c>
      <c r="AH181" s="198">
        <v>9096500.891337596</v>
      </c>
      <c r="AI181" s="198">
        <v>3289287.4868707354</v>
      </c>
      <c r="AJ181" s="198">
        <v>2014879.002389471</v>
      </c>
      <c r="AK181" s="198">
        <v>510</v>
      </c>
      <c r="AL181" s="198">
        <v>7171</v>
      </c>
      <c r="AM181" s="198">
        <v>0.5705172038828553</v>
      </c>
      <c r="AN181" s="198">
        <v>357</v>
      </c>
      <c r="AO181" s="198">
        <v>0.023041177229895442</v>
      </c>
      <c r="AP181" s="198">
        <v>0.02131763362424222</v>
      </c>
      <c r="AQ181" s="198">
        <v>3</v>
      </c>
      <c r="AR181" s="198">
        <v>8700</v>
      </c>
      <c r="AS181" s="198">
        <v>0</v>
      </c>
      <c r="AT181" s="198">
        <v>2</v>
      </c>
      <c r="AU181" s="198">
        <v>882.13</v>
      </c>
      <c r="AV181" s="198">
        <v>17.564304580957455</v>
      </c>
      <c r="AW181" s="198">
        <v>1.0249452921920865</v>
      </c>
      <c r="AX181" s="198">
        <v>628</v>
      </c>
      <c r="AY181" s="198">
        <v>4801</v>
      </c>
      <c r="AZ181" s="198">
        <v>0.1308060820662362</v>
      </c>
      <c r="BA181" s="198">
        <v>0.06711722337058403</v>
      </c>
      <c r="BB181" s="198">
        <v>0</v>
      </c>
      <c r="BC181" s="198">
        <v>5383</v>
      </c>
      <c r="BD181" s="198">
        <v>6580</v>
      </c>
      <c r="BE181" s="198">
        <v>0.8180851063829787</v>
      </c>
      <c r="BF181" s="198">
        <v>0.38844625208659017</v>
      </c>
      <c r="BG181" s="198">
        <v>0</v>
      </c>
      <c r="BH181" s="198">
        <v>0</v>
      </c>
      <c r="BI181" s="198">
        <v>-1549.4</v>
      </c>
      <c r="BJ181" s="198">
        <v>-3718.56</v>
      </c>
      <c r="BK181" s="198">
        <v>-63525.399999999994</v>
      </c>
      <c r="BL181" s="198">
        <v>-5732.78</v>
      </c>
      <c r="BM181" s="198">
        <v>-82583.02</v>
      </c>
      <c r="BN181" s="198">
        <v>-1859.28</v>
      </c>
      <c r="BO181" s="198">
        <v>85094</v>
      </c>
      <c r="BP181" s="198">
        <v>391772.4688114561</v>
      </c>
      <c r="BQ181" s="198">
        <v>1173170</v>
      </c>
      <c r="BR181" s="198">
        <v>399015</v>
      </c>
      <c r="BS181" s="198">
        <v>745570.3645870736</v>
      </c>
      <c r="BT181" s="198">
        <v>19521.031900683436</v>
      </c>
      <c r="BU181" s="198">
        <v>49051.652122313404</v>
      </c>
      <c r="BV181" s="198">
        <v>382602.86645309394</v>
      </c>
      <c r="BW181" s="198">
        <v>712437.4721997583</v>
      </c>
      <c r="BX181" s="198">
        <v>1394.46</v>
      </c>
      <c r="BY181" s="198">
        <v>-53524.12865177099</v>
      </c>
      <c r="BZ181" s="198">
        <v>3906105.187422608</v>
      </c>
      <c r="CA181" s="198">
        <v>3612803.767422608</v>
      </c>
      <c r="CB181" s="198">
        <v>1797130.8961418683</v>
      </c>
      <c r="CC181" s="232">
        <v>1131404.8719999944</v>
      </c>
      <c r="CD181" s="198">
        <v>-1350819</v>
      </c>
      <c r="CE181" s="198">
        <v>5790.375300000014</v>
      </c>
      <c r="CH181" s="198">
        <v>15507</v>
      </c>
    </row>
    <row r="182" spans="1:86" ht="11.25">
      <c r="A182" s="198">
        <v>580</v>
      </c>
      <c r="B182" s="198" t="s">
        <v>257</v>
      </c>
      <c r="C182" s="198">
        <v>5373</v>
      </c>
      <c r="D182" s="198">
        <v>19875346.02</v>
      </c>
      <c r="E182" s="198">
        <v>8982454.49176134</v>
      </c>
      <c r="F182" s="198">
        <v>1331945.8832885837</v>
      </c>
      <c r="G182" s="198">
        <v>30189746.395049922</v>
      </c>
      <c r="H182" s="198">
        <v>3642.26</v>
      </c>
      <c r="I182" s="198">
        <v>19569862.98</v>
      </c>
      <c r="J182" s="198">
        <v>10619883.415049922</v>
      </c>
      <c r="K182" s="198">
        <v>700516.4072368273</v>
      </c>
      <c r="L182" s="198">
        <v>2191824.3376660533</v>
      </c>
      <c r="M182" s="198">
        <v>1148219.70360706</v>
      </c>
      <c r="N182" s="198">
        <v>14660443.863559863</v>
      </c>
      <c r="O182" s="198">
        <v>4148328.3835897427</v>
      </c>
      <c r="P182" s="198">
        <v>18808772.247149605</v>
      </c>
      <c r="Q182" s="198">
        <v>216</v>
      </c>
      <c r="R182" s="198">
        <v>31</v>
      </c>
      <c r="S182" s="198">
        <v>211</v>
      </c>
      <c r="T182" s="198">
        <v>128</v>
      </c>
      <c r="U182" s="198">
        <v>160</v>
      </c>
      <c r="V182" s="198">
        <v>2787</v>
      </c>
      <c r="W182" s="198">
        <v>972</v>
      </c>
      <c r="X182" s="198">
        <v>603</v>
      </c>
      <c r="Y182" s="198">
        <v>265</v>
      </c>
      <c r="Z182" s="198">
        <v>5264</v>
      </c>
      <c r="AA182" s="198">
        <v>10</v>
      </c>
      <c r="AB182" s="198">
        <v>0</v>
      </c>
      <c r="AC182" s="198">
        <v>99</v>
      </c>
      <c r="AD182" s="198">
        <v>592.92</v>
      </c>
      <c r="AE182" s="198">
        <v>9.061930783242259</v>
      </c>
      <c r="AF182" s="198">
        <v>1840</v>
      </c>
      <c r="AG182" s="198">
        <v>8982454.49176134</v>
      </c>
      <c r="AH182" s="198">
        <v>5091600.714782141</v>
      </c>
      <c r="AI182" s="198">
        <v>3117904.5045108236</v>
      </c>
      <c r="AJ182" s="198">
        <v>772949.2724683746</v>
      </c>
      <c r="AK182" s="198">
        <v>297</v>
      </c>
      <c r="AL182" s="198">
        <v>2252</v>
      </c>
      <c r="AM182" s="198">
        <v>1.05795295171704</v>
      </c>
      <c r="AN182" s="198">
        <v>99</v>
      </c>
      <c r="AO182" s="198">
        <v>0.018425460636515914</v>
      </c>
      <c r="AP182" s="198">
        <v>0.01670191703086269</v>
      </c>
      <c r="AQ182" s="198">
        <v>0</v>
      </c>
      <c r="AR182" s="198">
        <v>10</v>
      </c>
      <c r="AS182" s="198">
        <v>0</v>
      </c>
      <c r="AT182" s="198">
        <v>1</v>
      </c>
      <c r="AU182" s="198">
        <v>592.92</v>
      </c>
      <c r="AV182" s="198">
        <v>9.061930783242259</v>
      </c>
      <c r="AW182" s="198">
        <v>1.9866021625514074</v>
      </c>
      <c r="AX182" s="198">
        <v>224</v>
      </c>
      <c r="AY182" s="198">
        <v>1386</v>
      </c>
      <c r="AZ182" s="198">
        <v>0.16161616161616163</v>
      </c>
      <c r="BA182" s="198">
        <v>0.09792730292050945</v>
      </c>
      <c r="BB182" s="198">
        <v>0.4963166666666667</v>
      </c>
      <c r="BC182" s="198">
        <v>1590</v>
      </c>
      <c r="BD182" s="198">
        <v>1853</v>
      </c>
      <c r="BE182" s="198">
        <v>0.8580679978413384</v>
      </c>
      <c r="BF182" s="198">
        <v>0.4284291435449498</v>
      </c>
      <c r="BG182" s="198">
        <v>0</v>
      </c>
      <c r="BH182" s="198">
        <v>0</v>
      </c>
      <c r="BI182" s="198">
        <v>-537.3000000000001</v>
      </c>
      <c r="BJ182" s="198">
        <v>-1289.52</v>
      </c>
      <c r="BK182" s="198">
        <v>-22029.3</v>
      </c>
      <c r="BL182" s="198">
        <v>-1988.01</v>
      </c>
      <c r="BM182" s="198">
        <v>-28638.09</v>
      </c>
      <c r="BN182" s="198">
        <v>-644.76</v>
      </c>
      <c r="BO182" s="198">
        <v>404678</v>
      </c>
      <c r="BP182" s="198">
        <v>111271.02164894715</v>
      </c>
      <c r="BQ182" s="198">
        <v>548728</v>
      </c>
      <c r="BR182" s="198">
        <v>164426</v>
      </c>
      <c r="BS182" s="198">
        <v>449529.5316733578</v>
      </c>
      <c r="BT182" s="198">
        <v>24829.50885809744</v>
      </c>
      <c r="BU182" s="198">
        <v>64431.62000573984</v>
      </c>
      <c r="BV182" s="198">
        <v>213722.76312997163</v>
      </c>
      <c r="BW182" s="198">
        <v>287905.04035384447</v>
      </c>
      <c r="BX182" s="198">
        <v>483.57</v>
      </c>
      <c r="BY182" s="198">
        <v>23530.1719960954</v>
      </c>
      <c r="BZ182" s="198">
        <v>2293535.2276660535</v>
      </c>
      <c r="CA182" s="198">
        <v>2191824.3376660533</v>
      </c>
      <c r="CB182" s="198">
        <v>1148219.70360706</v>
      </c>
      <c r="CC182" s="232">
        <v>4148328.3835897427</v>
      </c>
      <c r="CD182" s="198">
        <v>-670734</v>
      </c>
      <c r="CE182" s="198">
        <v>-136316.64174</v>
      </c>
      <c r="CH182" s="198">
        <v>5509</v>
      </c>
    </row>
    <row r="183" spans="1:86" ht="11.25">
      <c r="A183" s="198">
        <v>581</v>
      </c>
      <c r="B183" s="198" t="s">
        <v>258</v>
      </c>
      <c r="C183" s="198">
        <v>6808</v>
      </c>
      <c r="D183" s="198">
        <v>25177838.47</v>
      </c>
      <c r="E183" s="198">
        <v>10160462.588639475</v>
      </c>
      <c r="F183" s="198">
        <v>1671540.2789481725</v>
      </c>
      <c r="G183" s="198">
        <v>37009841.33758765</v>
      </c>
      <c r="H183" s="198">
        <v>3642.26</v>
      </c>
      <c r="I183" s="198">
        <v>24796506.080000002</v>
      </c>
      <c r="J183" s="198">
        <v>12213335.257587645</v>
      </c>
      <c r="K183" s="198">
        <v>573663.5583412264</v>
      </c>
      <c r="L183" s="198">
        <v>1857416.2271531036</v>
      </c>
      <c r="M183" s="198">
        <v>0</v>
      </c>
      <c r="N183" s="198">
        <v>14644415.043081975</v>
      </c>
      <c r="O183" s="198">
        <v>4486586.476</v>
      </c>
      <c r="P183" s="198">
        <v>19131001.519081973</v>
      </c>
      <c r="Q183" s="198">
        <v>355</v>
      </c>
      <c r="R183" s="198">
        <v>77</v>
      </c>
      <c r="S183" s="198">
        <v>408</v>
      </c>
      <c r="T183" s="198">
        <v>236</v>
      </c>
      <c r="U183" s="198">
        <v>199</v>
      </c>
      <c r="V183" s="198">
        <v>3638</v>
      </c>
      <c r="W183" s="198">
        <v>1034</v>
      </c>
      <c r="X183" s="198">
        <v>621</v>
      </c>
      <c r="Y183" s="198">
        <v>240</v>
      </c>
      <c r="Z183" s="198">
        <v>6669</v>
      </c>
      <c r="AA183" s="198">
        <v>7</v>
      </c>
      <c r="AB183" s="198">
        <v>0</v>
      </c>
      <c r="AC183" s="198">
        <v>132</v>
      </c>
      <c r="AD183" s="198">
        <v>852.06</v>
      </c>
      <c r="AE183" s="198">
        <v>7.990047649226581</v>
      </c>
      <c r="AF183" s="198">
        <v>1895</v>
      </c>
      <c r="AG183" s="198">
        <v>10160462.588639475</v>
      </c>
      <c r="AH183" s="198">
        <v>5930642.949346434</v>
      </c>
      <c r="AI183" s="198">
        <v>3031314.0258027515</v>
      </c>
      <c r="AJ183" s="198">
        <v>1198505.6134902888</v>
      </c>
      <c r="AK183" s="198">
        <v>342</v>
      </c>
      <c r="AL183" s="198">
        <v>2952</v>
      </c>
      <c r="AM183" s="198">
        <v>0.929368705306494</v>
      </c>
      <c r="AN183" s="198">
        <v>132</v>
      </c>
      <c r="AO183" s="198">
        <v>0.019388954171562868</v>
      </c>
      <c r="AP183" s="198">
        <v>0.017665410565909645</v>
      </c>
      <c r="AQ183" s="198">
        <v>0</v>
      </c>
      <c r="AR183" s="198">
        <v>7</v>
      </c>
      <c r="AS183" s="198">
        <v>0</v>
      </c>
      <c r="AT183" s="198">
        <v>0</v>
      </c>
      <c r="AU183" s="198">
        <v>852.06</v>
      </c>
      <c r="AV183" s="198">
        <v>7.990047649226581</v>
      </c>
      <c r="AW183" s="198">
        <v>2.2531093782178933</v>
      </c>
      <c r="AX183" s="198">
        <v>283</v>
      </c>
      <c r="AY183" s="198">
        <v>1835</v>
      </c>
      <c r="AZ183" s="198">
        <v>0.1542234332425068</v>
      </c>
      <c r="BA183" s="198">
        <v>0.09053457454685464</v>
      </c>
      <c r="BB183" s="198">
        <v>0.23446666666666666</v>
      </c>
      <c r="BC183" s="198">
        <v>2512</v>
      </c>
      <c r="BD183" s="198">
        <v>2535</v>
      </c>
      <c r="BE183" s="198">
        <v>0.9909270216962525</v>
      </c>
      <c r="BF183" s="198">
        <v>0.561288167399864</v>
      </c>
      <c r="BG183" s="198">
        <v>0</v>
      </c>
      <c r="BH183" s="198">
        <v>0</v>
      </c>
      <c r="BI183" s="198">
        <v>-680.8000000000001</v>
      </c>
      <c r="BJ183" s="198">
        <v>-1633.9199999999998</v>
      </c>
      <c r="BK183" s="198">
        <v>-27912.8</v>
      </c>
      <c r="BL183" s="198">
        <v>-2518.96</v>
      </c>
      <c r="BM183" s="198">
        <v>-36286.64</v>
      </c>
      <c r="BN183" s="198">
        <v>-816.9599999999999</v>
      </c>
      <c r="BO183" s="198">
        <v>77466</v>
      </c>
      <c r="BP183" s="198">
        <v>-46909.599780224264</v>
      </c>
      <c r="BQ183" s="198">
        <v>631294</v>
      </c>
      <c r="BR183" s="198">
        <v>193783</v>
      </c>
      <c r="BS183" s="198">
        <v>483072.9142818386</v>
      </c>
      <c r="BT183" s="198">
        <v>24805.22083597808</v>
      </c>
      <c r="BU183" s="198">
        <v>35617.50781714254</v>
      </c>
      <c r="BV183" s="198">
        <v>244726.99378497124</v>
      </c>
      <c r="BW183" s="198">
        <v>371625.2785836288</v>
      </c>
      <c r="BX183" s="198">
        <v>612.72</v>
      </c>
      <c r="BY183" s="198">
        <v>-29802.368370231685</v>
      </c>
      <c r="BZ183" s="198">
        <v>1986291.6671531035</v>
      </c>
      <c r="CA183" s="198">
        <v>1857416.2271531036</v>
      </c>
      <c r="CB183" s="198">
        <v>0</v>
      </c>
      <c r="CC183" s="232">
        <v>4486586.476</v>
      </c>
      <c r="CD183" s="198">
        <v>-834749</v>
      </c>
      <c r="CE183" s="198">
        <v>44181.18616000001</v>
      </c>
      <c r="CH183" s="198">
        <v>6836</v>
      </c>
    </row>
    <row r="184" spans="1:86" ht="11.25">
      <c r="A184" s="198">
        <v>599</v>
      </c>
      <c r="B184" s="198" t="s">
        <v>259</v>
      </c>
      <c r="C184" s="198">
        <v>11060</v>
      </c>
      <c r="D184" s="198">
        <v>44015936.489999995</v>
      </c>
      <c r="E184" s="198">
        <v>8931697.877877891</v>
      </c>
      <c r="F184" s="198">
        <v>4263769.227688318</v>
      </c>
      <c r="G184" s="198">
        <v>57211403.595566206</v>
      </c>
      <c r="H184" s="198">
        <v>3642.26</v>
      </c>
      <c r="I184" s="198">
        <v>40283395.6</v>
      </c>
      <c r="J184" s="198">
        <v>16928007.995566204</v>
      </c>
      <c r="K184" s="198">
        <v>256153.41109586047</v>
      </c>
      <c r="L184" s="198">
        <v>2772205.199806476</v>
      </c>
      <c r="M184" s="198">
        <v>0</v>
      </c>
      <c r="N184" s="198">
        <v>19956366.606468543</v>
      </c>
      <c r="O184" s="198">
        <v>6128467.379121952</v>
      </c>
      <c r="P184" s="198">
        <v>26084833.985590495</v>
      </c>
      <c r="Q184" s="198">
        <v>1047</v>
      </c>
      <c r="R184" s="198">
        <v>201</v>
      </c>
      <c r="S184" s="198">
        <v>1050</v>
      </c>
      <c r="T184" s="198">
        <v>497</v>
      </c>
      <c r="U184" s="198">
        <v>537</v>
      </c>
      <c r="V184" s="198">
        <v>5876</v>
      </c>
      <c r="W184" s="198">
        <v>1077</v>
      </c>
      <c r="X184" s="198">
        <v>521</v>
      </c>
      <c r="Y184" s="198">
        <v>254</v>
      </c>
      <c r="Z184" s="198">
        <v>982</v>
      </c>
      <c r="AA184" s="198">
        <v>9887</v>
      </c>
      <c r="AB184" s="198">
        <v>0</v>
      </c>
      <c r="AC184" s="198">
        <v>191</v>
      </c>
      <c r="AD184" s="198">
        <v>794.28</v>
      </c>
      <c r="AE184" s="198">
        <v>13.9245606083497</v>
      </c>
      <c r="AF184" s="198">
        <v>1852</v>
      </c>
      <c r="AG184" s="198">
        <v>8931697.877877891</v>
      </c>
      <c r="AH184" s="198">
        <v>5539648.942387527</v>
      </c>
      <c r="AI184" s="198">
        <v>2254337.0850032065</v>
      </c>
      <c r="AJ184" s="198">
        <v>1137711.8504871582</v>
      </c>
      <c r="AK184" s="198">
        <v>187</v>
      </c>
      <c r="AL184" s="198">
        <v>5162</v>
      </c>
      <c r="AM184" s="198">
        <v>0.29060420740981213</v>
      </c>
      <c r="AN184" s="198">
        <v>191</v>
      </c>
      <c r="AO184" s="198">
        <v>0.017269439421338156</v>
      </c>
      <c r="AP184" s="198">
        <v>0.015545895815684933</v>
      </c>
      <c r="AQ184" s="198">
        <v>3</v>
      </c>
      <c r="AR184" s="198">
        <v>9887</v>
      </c>
      <c r="AS184" s="198">
        <v>0</v>
      </c>
      <c r="AT184" s="198">
        <v>0</v>
      </c>
      <c r="AU184" s="198">
        <v>794.28</v>
      </c>
      <c r="AV184" s="198">
        <v>13.9245606083497</v>
      </c>
      <c r="AW184" s="198">
        <v>1.2928559684738117</v>
      </c>
      <c r="AX184" s="198">
        <v>396</v>
      </c>
      <c r="AY184" s="198">
        <v>3113</v>
      </c>
      <c r="AZ184" s="198">
        <v>0.127208480565371</v>
      </c>
      <c r="BA184" s="198">
        <v>0.06351962186971884</v>
      </c>
      <c r="BB184" s="198">
        <v>0</v>
      </c>
      <c r="BC184" s="198">
        <v>3975</v>
      </c>
      <c r="BD184" s="198">
        <v>4992</v>
      </c>
      <c r="BE184" s="198">
        <v>0.7962740384615384</v>
      </c>
      <c r="BF184" s="198">
        <v>0.3666351841651499</v>
      </c>
      <c r="BG184" s="198">
        <v>0</v>
      </c>
      <c r="BH184" s="198">
        <v>0</v>
      </c>
      <c r="BI184" s="198">
        <v>-1106</v>
      </c>
      <c r="BJ184" s="198">
        <v>-2654.4</v>
      </c>
      <c r="BK184" s="198">
        <v>-45345.99999999999</v>
      </c>
      <c r="BL184" s="198">
        <v>-4092.2</v>
      </c>
      <c r="BM184" s="198">
        <v>-58949.8</v>
      </c>
      <c r="BN184" s="198">
        <v>-1327.2</v>
      </c>
      <c r="BO184" s="198">
        <v>-119051</v>
      </c>
      <c r="BP184" s="198">
        <v>228177.65468864888</v>
      </c>
      <c r="BQ184" s="198">
        <v>874829</v>
      </c>
      <c r="BR184" s="198">
        <v>310573</v>
      </c>
      <c r="BS184" s="198">
        <v>740032.4773345407</v>
      </c>
      <c r="BT184" s="198">
        <v>30702.727293643246</v>
      </c>
      <c r="BU184" s="198">
        <v>54599.82824247546</v>
      </c>
      <c r="BV184" s="198">
        <v>334874.17945873406</v>
      </c>
      <c r="BW184" s="198">
        <v>648640.3808352577</v>
      </c>
      <c r="BX184" s="198">
        <v>995.4</v>
      </c>
      <c r="BY184" s="198">
        <v>-122802.64804682478</v>
      </c>
      <c r="BZ184" s="198">
        <v>2981570.999806476</v>
      </c>
      <c r="CA184" s="198">
        <v>2772205.199806476</v>
      </c>
      <c r="CB184" s="198">
        <v>0</v>
      </c>
      <c r="CC184" s="232">
        <v>6128467.379121952</v>
      </c>
      <c r="CD184" s="198">
        <v>-1095925</v>
      </c>
      <c r="CE184" s="198">
        <v>-303490.3802400001</v>
      </c>
      <c r="CH184" s="198">
        <v>10970</v>
      </c>
    </row>
    <row r="185" spans="1:86" ht="11.25">
      <c r="A185" s="198">
        <v>583</v>
      </c>
      <c r="B185" s="198" t="s">
        <v>260</v>
      </c>
      <c r="C185" s="198">
        <v>947</v>
      </c>
      <c r="D185" s="198">
        <v>2858453.35</v>
      </c>
      <c r="E185" s="198">
        <v>1488415.7609030297</v>
      </c>
      <c r="F185" s="198">
        <v>949427.2841232122</v>
      </c>
      <c r="G185" s="198">
        <v>5296296.395026242</v>
      </c>
      <c r="H185" s="198">
        <v>3642.26</v>
      </c>
      <c r="I185" s="198">
        <v>3449220.22</v>
      </c>
      <c r="J185" s="198">
        <v>1847076.1750262422</v>
      </c>
      <c r="K185" s="198">
        <v>1028526.9627764972</v>
      </c>
      <c r="L185" s="198">
        <v>721282.6163565081</v>
      </c>
      <c r="M185" s="198">
        <v>128313.39337268425</v>
      </c>
      <c r="N185" s="198">
        <v>3725199.1475319318</v>
      </c>
      <c r="O185" s="198">
        <v>531096.0024615383</v>
      </c>
      <c r="P185" s="198">
        <v>4256295.14999347</v>
      </c>
      <c r="Q185" s="198">
        <v>34</v>
      </c>
      <c r="R185" s="198">
        <v>6</v>
      </c>
      <c r="S185" s="198">
        <v>28</v>
      </c>
      <c r="T185" s="198">
        <v>13</v>
      </c>
      <c r="U185" s="198">
        <v>17</v>
      </c>
      <c r="V185" s="198">
        <v>553</v>
      </c>
      <c r="W185" s="198">
        <v>172</v>
      </c>
      <c r="X185" s="198">
        <v>97</v>
      </c>
      <c r="Y185" s="198">
        <v>27</v>
      </c>
      <c r="Z185" s="198">
        <v>938</v>
      </c>
      <c r="AA185" s="198">
        <v>2</v>
      </c>
      <c r="AB185" s="198">
        <v>1</v>
      </c>
      <c r="AC185" s="198">
        <v>6</v>
      </c>
      <c r="AD185" s="198">
        <v>1836.17</v>
      </c>
      <c r="AE185" s="198">
        <v>0.5157474525779203</v>
      </c>
      <c r="AF185" s="198">
        <v>296</v>
      </c>
      <c r="AG185" s="198">
        <v>1488415.7609030297</v>
      </c>
      <c r="AH185" s="198">
        <v>867683.3230680502</v>
      </c>
      <c r="AI185" s="198">
        <v>368872.5625362954</v>
      </c>
      <c r="AJ185" s="198">
        <v>251859.8752986839</v>
      </c>
      <c r="AK185" s="198">
        <v>105</v>
      </c>
      <c r="AL185" s="198">
        <v>425</v>
      </c>
      <c r="AM185" s="198">
        <v>1.9818859573223315</v>
      </c>
      <c r="AN185" s="198">
        <v>6</v>
      </c>
      <c r="AO185" s="198">
        <v>0.006335797254487857</v>
      </c>
      <c r="AP185" s="198">
        <v>0.004612253648834634</v>
      </c>
      <c r="AQ185" s="198">
        <v>0</v>
      </c>
      <c r="AR185" s="198">
        <v>2</v>
      </c>
      <c r="AS185" s="198">
        <v>1</v>
      </c>
      <c r="AT185" s="198">
        <v>0</v>
      </c>
      <c r="AU185" s="198">
        <v>1836.17</v>
      </c>
      <c r="AV185" s="198">
        <v>0.5157474525779203</v>
      </c>
      <c r="AW185" s="198">
        <v>34.90555542426143</v>
      </c>
      <c r="AX185" s="198">
        <v>30</v>
      </c>
      <c r="AY185" s="198">
        <v>234</v>
      </c>
      <c r="AZ185" s="198">
        <v>0.1282051282051282</v>
      </c>
      <c r="BA185" s="198">
        <v>0.06451626950947602</v>
      </c>
      <c r="BB185" s="198">
        <v>1.6671333333333334</v>
      </c>
      <c r="BC185" s="198">
        <v>370</v>
      </c>
      <c r="BD185" s="198">
        <v>324</v>
      </c>
      <c r="BE185" s="198">
        <v>1.1419753086419753</v>
      </c>
      <c r="BF185" s="198">
        <v>0.7123364543455868</v>
      </c>
      <c r="BG185" s="198">
        <v>0</v>
      </c>
      <c r="BH185" s="198">
        <v>1</v>
      </c>
      <c r="BI185" s="198">
        <v>-94.7</v>
      </c>
      <c r="BJ185" s="198">
        <v>-227.28</v>
      </c>
      <c r="BK185" s="198">
        <v>-3882.7</v>
      </c>
      <c r="BL185" s="198">
        <v>-350.39</v>
      </c>
      <c r="BM185" s="198">
        <v>-5047.51</v>
      </c>
      <c r="BN185" s="198">
        <v>-113.64</v>
      </c>
      <c r="BO185" s="198">
        <v>86897</v>
      </c>
      <c r="BP185" s="198">
        <v>326846.61793812085</v>
      </c>
      <c r="BQ185" s="198">
        <v>98737</v>
      </c>
      <c r="BR185" s="198">
        <v>30421</v>
      </c>
      <c r="BS185" s="198">
        <v>86707.59390611005</v>
      </c>
      <c r="BT185" s="198">
        <v>4883.322780735451</v>
      </c>
      <c r="BU185" s="198">
        <v>12434.331455737256</v>
      </c>
      <c r="BV185" s="198">
        <v>32710.82356139678</v>
      </c>
      <c r="BW185" s="198">
        <v>48128.1656671962</v>
      </c>
      <c r="BX185" s="198">
        <v>85.22999999999999</v>
      </c>
      <c r="BY185" s="198">
        <v>11358.24104721152</v>
      </c>
      <c r="BZ185" s="198">
        <v>739209.3263565081</v>
      </c>
      <c r="CA185" s="198">
        <v>721282.6163565081</v>
      </c>
      <c r="CB185" s="198">
        <v>128313.39337268425</v>
      </c>
      <c r="CC185" s="232">
        <v>531096.0024615383</v>
      </c>
      <c r="CD185" s="198">
        <v>-256801</v>
      </c>
      <c r="CE185" s="198">
        <v>56035.89</v>
      </c>
      <c r="CH185" s="198">
        <v>966</v>
      </c>
    </row>
    <row r="186" spans="1:86" ht="11.25">
      <c r="A186" s="198">
        <v>854</v>
      </c>
      <c r="B186" s="198" t="s">
        <v>261</v>
      </c>
      <c r="C186" s="198">
        <v>3676</v>
      </c>
      <c r="D186" s="198">
        <v>13050459.64</v>
      </c>
      <c r="E186" s="198">
        <v>6443240.762669504</v>
      </c>
      <c r="F186" s="198">
        <v>1876477.0833443766</v>
      </c>
      <c r="G186" s="198">
        <v>21370177.48601388</v>
      </c>
      <c r="H186" s="198">
        <v>3642.26</v>
      </c>
      <c r="I186" s="198">
        <v>13388947.760000002</v>
      </c>
      <c r="J186" s="198">
        <v>7981229.72601388</v>
      </c>
      <c r="K186" s="198">
        <v>3872200.423660289</v>
      </c>
      <c r="L186" s="198">
        <v>860506.289882979</v>
      </c>
      <c r="M186" s="198">
        <v>15128.349862990906</v>
      </c>
      <c r="N186" s="198">
        <v>12729064.789420139</v>
      </c>
      <c r="O186" s="198">
        <v>2592076.296987654</v>
      </c>
      <c r="P186" s="198">
        <v>15321141.086407794</v>
      </c>
      <c r="Q186" s="198">
        <v>118</v>
      </c>
      <c r="R186" s="198">
        <v>15</v>
      </c>
      <c r="S186" s="198">
        <v>157</v>
      </c>
      <c r="T186" s="198">
        <v>91</v>
      </c>
      <c r="U186" s="198">
        <v>118</v>
      </c>
      <c r="V186" s="198">
        <v>1930</v>
      </c>
      <c r="W186" s="198">
        <v>646</v>
      </c>
      <c r="X186" s="198">
        <v>451</v>
      </c>
      <c r="Y186" s="198">
        <v>150</v>
      </c>
      <c r="Z186" s="198">
        <v>3625</v>
      </c>
      <c r="AA186" s="198">
        <v>14</v>
      </c>
      <c r="AB186" s="198">
        <v>3</v>
      </c>
      <c r="AC186" s="198">
        <v>34</v>
      </c>
      <c r="AD186" s="198">
        <v>1737.56</v>
      </c>
      <c r="AE186" s="198">
        <v>2.1156103961877575</v>
      </c>
      <c r="AF186" s="198">
        <v>1247</v>
      </c>
      <c r="AG186" s="198">
        <v>6443240.762669504</v>
      </c>
      <c r="AH186" s="198">
        <v>3828852.735451069</v>
      </c>
      <c r="AI186" s="198">
        <v>1745905.6986022824</v>
      </c>
      <c r="AJ186" s="198">
        <v>868482.3286161514</v>
      </c>
      <c r="AK186" s="198">
        <v>252</v>
      </c>
      <c r="AL186" s="198">
        <v>1530</v>
      </c>
      <c r="AM186" s="198">
        <v>1.3212573048815541</v>
      </c>
      <c r="AN186" s="198">
        <v>34</v>
      </c>
      <c r="AO186" s="198">
        <v>0.009249183895538629</v>
      </c>
      <c r="AP186" s="198">
        <v>0.007525640289885406</v>
      </c>
      <c r="AQ186" s="198">
        <v>0</v>
      </c>
      <c r="AR186" s="198">
        <v>14</v>
      </c>
      <c r="AS186" s="198">
        <v>3</v>
      </c>
      <c r="AT186" s="198">
        <v>0</v>
      </c>
      <c r="AU186" s="198">
        <v>1737.56</v>
      </c>
      <c r="AV186" s="198">
        <v>2.1156103961877575</v>
      </c>
      <c r="AW186" s="198">
        <v>8.50934147578397</v>
      </c>
      <c r="AX186" s="198">
        <v>139</v>
      </c>
      <c r="AY186" s="198">
        <v>860</v>
      </c>
      <c r="AZ186" s="198">
        <v>0.16162790697674417</v>
      </c>
      <c r="BA186" s="198">
        <v>0.097939048281092</v>
      </c>
      <c r="BB186" s="198">
        <v>1.6320000000000001</v>
      </c>
      <c r="BC186" s="198">
        <v>1222</v>
      </c>
      <c r="BD186" s="198">
        <v>1258</v>
      </c>
      <c r="BE186" s="198">
        <v>0.9713831478537361</v>
      </c>
      <c r="BF186" s="198">
        <v>0.5417442935573475</v>
      </c>
      <c r="BG186" s="198">
        <v>0</v>
      </c>
      <c r="BH186" s="198">
        <v>3</v>
      </c>
      <c r="BI186" s="198">
        <v>-367.6</v>
      </c>
      <c r="BJ186" s="198">
        <v>-882.24</v>
      </c>
      <c r="BK186" s="198">
        <v>-15071.599999999999</v>
      </c>
      <c r="BL186" s="198">
        <v>-1360.12</v>
      </c>
      <c r="BM186" s="198">
        <v>-19593.08</v>
      </c>
      <c r="BN186" s="198">
        <v>-441.12</v>
      </c>
      <c r="BO186" s="198">
        <v>-10827</v>
      </c>
      <c r="BP186" s="198">
        <v>-196013.11219165102</v>
      </c>
      <c r="BQ186" s="198">
        <v>360045</v>
      </c>
      <c r="BR186" s="198">
        <v>112878</v>
      </c>
      <c r="BS186" s="198">
        <v>279775.4705817744</v>
      </c>
      <c r="BT186" s="198">
        <v>17209.577726508884</v>
      </c>
      <c r="BU186" s="198">
        <v>62791.6321954701</v>
      </c>
      <c r="BV186" s="198">
        <v>135895.88612350414</v>
      </c>
      <c r="BW186" s="198">
        <v>187939.26279651126</v>
      </c>
      <c r="BX186" s="198">
        <v>330.84</v>
      </c>
      <c r="BY186" s="198">
        <v>-19932.58734913855</v>
      </c>
      <c r="BZ186" s="198">
        <v>930092.969882979</v>
      </c>
      <c r="CA186" s="198">
        <v>860506.289882979</v>
      </c>
      <c r="CB186" s="198">
        <v>15128.349862990906</v>
      </c>
      <c r="CC186" s="232">
        <v>2592076.296987654</v>
      </c>
      <c r="CD186" s="198">
        <v>-419505</v>
      </c>
      <c r="CE186" s="198">
        <v>-33185.6993</v>
      </c>
      <c r="CH186" s="198">
        <v>3739</v>
      </c>
    </row>
    <row r="187" spans="1:86" ht="11.25">
      <c r="A187" s="198">
        <v>584</v>
      </c>
      <c r="B187" s="198" t="s">
        <v>262</v>
      </c>
      <c r="C187" s="198">
        <v>2893</v>
      </c>
      <c r="D187" s="198">
        <v>12526652.47</v>
      </c>
      <c r="E187" s="198">
        <v>3552134.180372715</v>
      </c>
      <c r="F187" s="198">
        <v>999542.816201771</v>
      </c>
      <c r="G187" s="198">
        <v>17078329.466574486</v>
      </c>
      <c r="H187" s="198">
        <v>3642.26</v>
      </c>
      <c r="I187" s="198">
        <v>10537058.18</v>
      </c>
      <c r="J187" s="198">
        <v>6541271.286574487</v>
      </c>
      <c r="K187" s="198">
        <v>668839.4937360653</v>
      </c>
      <c r="L187" s="198">
        <v>922485.5789834597</v>
      </c>
      <c r="M187" s="198">
        <v>174911.46819204095</v>
      </c>
      <c r="N187" s="198">
        <v>8307507.827486052</v>
      </c>
      <c r="O187" s="198">
        <v>3358649.3634285727</v>
      </c>
      <c r="P187" s="198">
        <v>11666157.190914625</v>
      </c>
      <c r="Q187" s="198">
        <v>304</v>
      </c>
      <c r="R187" s="198">
        <v>45</v>
      </c>
      <c r="S187" s="198">
        <v>306</v>
      </c>
      <c r="T187" s="198">
        <v>144</v>
      </c>
      <c r="U187" s="198">
        <v>125</v>
      </c>
      <c r="V187" s="198">
        <v>1394</v>
      </c>
      <c r="W187" s="198">
        <v>312</v>
      </c>
      <c r="X187" s="198">
        <v>182</v>
      </c>
      <c r="Y187" s="198">
        <v>81</v>
      </c>
      <c r="Z187" s="198">
        <v>2860</v>
      </c>
      <c r="AA187" s="198">
        <v>10</v>
      </c>
      <c r="AB187" s="198">
        <v>0</v>
      </c>
      <c r="AC187" s="198">
        <v>23</v>
      </c>
      <c r="AD187" s="198">
        <v>747.92</v>
      </c>
      <c r="AE187" s="198">
        <v>3.86806075516098</v>
      </c>
      <c r="AF187" s="198">
        <v>575</v>
      </c>
      <c r="AG187" s="198">
        <v>3552134.180372715</v>
      </c>
      <c r="AH187" s="198">
        <v>2221223.064478114</v>
      </c>
      <c r="AI187" s="198">
        <v>870615.4817280413</v>
      </c>
      <c r="AJ187" s="198">
        <v>460295.6341665602</v>
      </c>
      <c r="AK187" s="198">
        <v>136</v>
      </c>
      <c r="AL187" s="198">
        <v>1147</v>
      </c>
      <c r="AM187" s="198">
        <v>0.9511604461595944</v>
      </c>
      <c r="AN187" s="198">
        <v>23</v>
      </c>
      <c r="AO187" s="198">
        <v>0.007950224680262703</v>
      </c>
      <c r="AP187" s="198">
        <v>0.00622668107460948</v>
      </c>
      <c r="AQ187" s="198">
        <v>0</v>
      </c>
      <c r="AR187" s="198">
        <v>10</v>
      </c>
      <c r="AS187" s="198">
        <v>0</v>
      </c>
      <c r="AT187" s="198">
        <v>0</v>
      </c>
      <c r="AU187" s="198">
        <v>747.92</v>
      </c>
      <c r="AV187" s="198">
        <v>3.86806075516098</v>
      </c>
      <c r="AW187" s="198">
        <v>4.65412836829421</v>
      </c>
      <c r="AX187" s="198">
        <v>143</v>
      </c>
      <c r="AY187" s="198">
        <v>664</v>
      </c>
      <c r="AZ187" s="198">
        <v>0.21536144578313254</v>
      </c>
      <c r="BA187" s="198">
        <v>0.15167258708748038</v>
      </c>
      <c r="BB187" s="198">
        <v>0.9480999999999999</v>
      </c>
      <c r="BC187" s="198">
        <v>945</v>
      </c>
      <c r="BD187" s="198">
        <v>979</v>
      </c>
      <c r="BE187" s="198">
        <v>0.965270684371808</v>
      </c>
      <c r="BF187" s="198">
        <v>0.5356318300754195</v>
      </c>
      <c r="BG187" s="198">
        <v>0</v>
      </c>
      <c r="BH187" s="198">
        <v>0</v>
      </c>
      <c r="BI187" s="198">
        <v>-289.3</v>
      </c>
      <c r="BJ187" s="198">
        <v>-694.3199999999999</v>
      </c>
      <c r="BK187" s="198">
        <v>-11861.3</v>
      </c>
      <c r="BL187" s="198">
        <v>-1070.41</v>
      </c>
      <c r="BM187" s="198">
        <v>-15419.69</v>
      </c>
      <c r="BN187" s="198">
        <v>-347.15999999999997</v>
      </c>
      <c r="BO187" s="198">
        <v>25831</v>
      </c>
      <c r="BP187" s="198">
        <v>40403.31963919662</v>
      </c>
      <c r="BQ187" s="198">
        <v>248802</v>
      </c>
      <c r="BR187" s="198">
        <v>81810</v>
      </c>
      <c r="BS187" s="198">
        <v>237809.04534196263</v>
      </c>
      <c r="BT187" s="198">
        <v>12373.570511656304</v>
      </c>
      <c r="BU187" s="198">
        <v>37925.0929076098</v>
      </c>
      <c r="BV187" s="198">
        <v>123013.57808496512</v>
      </c>
      <c r="BW187" s="198">
        <v>168820.2578543815</v>
      </c>
      <c r="BX187" s="198">
        <v>260.37</v>
      </c>
      <c r="BY187" s="198">
        <v>201.8346436877764</v>
      </c>
      <c r="BZ187" s="198">
        <v>977250.0689834597</v>
      </c>
      <c r="CA187" s="198">
        <v>922485.5789834597</v>
      </c>
      <c r="CB187" s="198">
        <v>174911.46819204095</v>
      </c>
      <c r="CC187" s="232">
        <v>3358649.3634285727</v>
      </c>
      <c r="CD187" s="198">
        <v>-40469</v>
      </c>
      <c r="CE187" s="198">
        <v>15540.620159999995</v>
      </c>
      <c r="CH187" s="198">
        <v>2923</v>
      </c>
    </row>
    <row r="188" spans="1:86" ht="11.25">
      <c r="A188" s="198">
        <v>588</v>
      </c>
      <c r="B188" s="198" t="s">
        <v>263</v>
      </c>
      <c r="C188" s="198">
        <v>1832</v>
      </c>
      <c r="D188" s="198">
        <v>7113717.59</v>
      </c>
      <c r="E188" s="198">
        <v>2854481.5285913683</v>
      </c>
      <c r="F188" s="198">
        <v>553766.940905201</v>
      </c>
      <c r="G188" s="198">
        <v>10521966.059496569</v>
      </c>
      <c r="H188" s="198">
        <v>3642.26</v>
      </c>
      <c r="I188" s="198">
        <v>6672620.32</v>
      </c>
      <c r="J188" s="198">
        <v>3849345.739496568</v>
      </c>
      <c r="K188" s="198">
        <v>145495.3208459752</v>
      </c>
      <c r="L188" s="198">
        <v>649459.2157651583</v>
      </c>
      <c r="M188" s="198">
        <v>267600.5479482077</v>
      </c>
      <c r="N188" s="198">
        <v>4911900.824055909</v>
      </c>
      <c r="O188" s="198">
        <v>1712994.4810476191</v>
      </c>
      <c r="P188" s="198">
        <v>6624895.305103528</v>
      </c>
      <c r="Q188" s="198">
        <v>60</v>
      </c>
      <c r="R188" s="198">
        <v>17</v>
      </c>
      <c r="S188" s="198">
        <v>109</v>
      </c>
      <c r="T188" s="198">
        <v>62</v>
      </c>
      <c r="U188" s="198">
        <v>45</v>
      </c>
      <c r="V188" s="198">
        <v>947</v>
      </c>
      <c r="W188" s="198">
        <v>302</v>
      </c>
      <c r="X188" s="198">
        <v>198</v>
      </c>
      <c r="Y188" s="198">
        <v>92</v>
      </c>
      <c r="Z188" s="198">
        <v>1803</v>
      </c>
      <c r="AA188" s="198">
        <v>2</v>
      </c>
      <c r="AB188" s="198">
        <v>1</v>
      </c>
      <c r="AC188" s="198">
        <v>26</v>
      </c>
      <c r="AD188" s="198">
        <v>374.49</v>
      </c>
      <c r="AE188" s="198">
        <v>4.891986434884776</v>
      </c>
      <c r="AF188" s="198">
        <v>592</v>
      </c>
      <c r="AG188" s="198">
        <v>2854481.5285913683</v>
      </c>
      <c r="AH188" s="198">
        <v>1747643.7244373136</v>
      </c>
      <c r="AI188" s="198">
        <v>785499.3425660786</v>
      </c>
      <c r="AJ188" s="198">
        <v>321338.46158797597</v>
      </c>
      <c r="AK188" s="198">
        <v>89</v>
      </c>
      <c r="AL188" s="198">
        <v>740</v>
      </c>
      <c r="AM188" s="198">
        <v>0.9647984084390886</v>
      </c>
      <c r="AN188" s="198">
        <v>26</v>
      </c>
      <c r="AO188" s="198">
        <v>0.014192139737991267</v>
      </c>
      <c r="AP188" s="198">
        <v>0.012468596132338043</v>
      </c>
      <c r="AQ188" s="198">
        <v>0</v>
      </c>
      <c r="AR188" s="198">
        <v>2</v>
      </c>
      <c r="AS188" s="198">
        <v>1</v>
      </c>
      <c r="AT188" s="198">
        <v>0</v>
      </c>
      <c r="AU188" s="198">
        <v>374.49</v>
      </c>
      <c r="AV188" s="198">
        <v>4.891986434884776</v>
      </c>
      <c r="AW188" s="198">
        <v>3.679987982490034</v>
      </c>
      <c r="AX188" s="198">
        <v>85</v>
      </c>
      <c r="AY188" s="198">
        <v>494</v>
      </c>
      <c r="AZ188" s="198">
        <v>0.1720647773279352</v>
      </c>
      <c r="BA188" s="198">
        <v>0.10837591863228303</v>
      </c>
      <c r="BB188" s="198">
        <v>0.20413333333333333</v>
      </c>
      <c r="BC188" s="198">
        <v>643</v>
      </c>
      <c r="BD188" s="198">
        <v>634</v>
      </c>
      <c r="BE188" s="198">
        <v>1.0141955835962144</v>
      </c>
      <c r="BF188" s="198">
        <v>0.5845567292998259</v>
      </c>
      <c r="BG188" s="198">
        <v>0</v>
      </c>
      <c r="BH188" s="198">
        <v>1</v>
      </c>
      <c r="BI188" s="198">
        <v>-183.20000000000002</v>
      </c>
      <c r="BJ188" s="198">
        <v>-439.68</v>
      </c>
      <c r="BK188" s="198">
        <v>-7511.199999999999</v>
      </c>
      <c r="BL188" s="198">
        <v>-677.84</v>
      </c>
      <c r="BM188" s="198">
        <v>-9764.56</v>
      </c>
      <c r="BN188" s="198">
        <v>-219.84</v>
      </c>
      <c r="BO188" s="198">
        <v>-43711</v>
      </c>
      <c r="BP188" s="198">
        <v>63048.20871804934</v>
      </c>
      <c r="BQ188" s="198">
        <v>234115</v>
      </c>
      <c r="BR188" s="198">
        <v>67290</v>
      </c>
      <c r="BS188" s="198">
        <v>168977.94436263852</v>
      </c>
      <c r="BT188" s="198">
        <v>9010.292511181933</v>
      </c>
      <c r="BU188" s="198">
        <v>8334.40104357321</v>
      </c>
      <c r="BV188" s="198">
        <v>76406.0058587274</v>
      </c>
      <c r="BW188" s="198">
        <v>104365.83633943133</v>
      </c>
      <c r="BX188" s="198">
        <v>164.88</v>
      </c>
      <c r="BY188" s="198">
        <v>-3862.5930684434243</v>
      </c>
      <c r="BZ188" s="198">
        <v>684138.9757651583</v>
      </c>
      <c r="CA188" s="198">
        <v>649459.2157651583</v>
      </c>
      <c r="CB188" s="198">
        <v>267600.5479482077</v>
      </c>
      <c r="CC188" s="232">
        <v>1712994.4810476191</v>
      </c>
      <c r="CD188" s="198">
        <v>-518203</v>
      </c>
      <c r="CE188" s="198">
        <v>-33621.53400000001</v>
      </c>
      <c r="CH188" s="198">
        <v>1842</v>
      </c>
    </row>
    <row r="189" spans="1:86" ht="11.25">
      <c r="A189" s="198">
        <v>592</v>
      </c>
      <c r="B189" s="198" t="s">
        <v>264</v>
      </c>
      <c r="C189" s="198">
        <v>4081</v>
      </c>
      <c r="D189" s="198">
        <v>15810088.720000003</v>
      </c>
      <c r="E189" s="198">
        <v>4941503.731705463</v>
      </c>
      <c r="F189" s="198">
        <v>884901.3560122611</v>
      </c>
      <c r="G189" s="198">
        <v>21636493.807717726</v>
      </c>
      <c r="H189" s="198">
        <v>3642.26</v>
      </c>
      <c r="I189" s="198">
        <v>14864063.06</v>
      </c>
      <c r="J189" s="198">
        <v>6772430.747717725</v>
      </c>
      <c r="K189" s="198">
        <v>51951.1022543458</v>
      </c>
      <c r="L189" s="198">
        <v>1177209.352813103</v>
      </c>
      <c r="M189" s="198">
        <v>11598.236697584374</v>
      </c>
      <c r="N189" s="198">
        <v>8013189.439482759</v>
      </c>
      <c r="O189" s="198">
        <v>3211476.573364706</v>
      </c>
      <c r="P189" s="198">
        <v>11224666.012847465</v>
      </c>
      <c r="Q189" s="198">
        <v>329</v>
      </c>
      <c r="R189" s="198">
        <v>57</v>
      </c>
      <c r="S189" s="198">
        <v>337</v>
      </c>
      <c r="T189" s="198">
        <v>151</v>
      </c>
      <c r="U189" s="198">
        <v>158</v>
      </c>
      <c r="V189" s="198">
        <v>2167</v>
      </c>
      <c r="W189" s="198">
        <v>495</v>
      </c>
      <c r="X189" s="198">
        <v>266</v>
      </c>
      <c r="Y189" s="198">
        <v>121</v>
      </c>
      <c r="Z189" s="198">
        <v>4034</v>
      </c>
      <c r="AA189" s="198">
        <v>4</v>
      </c>
      <c r="AB189" s="198">
        <v>0</v>
      </c>
      <c r="AC189" s="198">
        <v>43</v>
      </c>
      <c r="AD189" s="198">
        <v>456.39</v>
      </c>
      <c r="AE189" s="198">
        <v>8.941913714147988</v>
      </c>
      <c r="AF189" s="198">
        <v>882</v>
      </c>
      <c r="AG189" s="198">
        <v>4941503.731705463</v>
      </c>
      <c r="AH189" s="198">
        <v>3061339.9504586933</v>
      </c>
      <c r="AI189" s="198">
        <v>1315650.2676462703</v>
      </c>
      <c r="AJ189" s="198">
        <v>564513.5136004984</v>
      </c>
      <c r="AK189" s="198">
        <v>248</v>
      </c>
      <c r="AL189" s="198">
        <v>1783</v>
      </c>
      <c r="AM189" s="198">
        <v>1.1157801452969778</v>
      </c>
      <c r="AN189" s="198">
        <v>43</v>
      </c>
      <c r="AO189" s="198">
        <v>0.010536633178142612</v>
      </c>
      <c r="AP189" s="198">
        <v>0.008813089572489389</v>
      </c>
      <c r="AQ189" s="198">
        <v>0</v>
      </c>
      <c r="AR189" s="198">
        <v>4</v>
      </c>
      <c r="AS189" s="198">
        <v>0</v>
      </c>
      <c r="AT189" s="198">
        <v>0</v>
      </c>
      <c r="AU189" s="198">
        <v>456.39</v>
      </c>
      <c r="AV189" s="198">
        <v>8.941913714147988</v>
      </c>
      <c r="AW189" s="198">
        <v>2.0132660486755287</v>
      </c>
      <c r="AX189" s="198">
        <v>140</v>
      </c>
      <c r="AY189" s="198">
        <v>1274</v>
      </c>
      <c r="AZ189" s="198">
        <v>0.10989010989010989</v>
      </c>
      <c r="BA189" s="198">
        <v>0.04620125119445771</v>
      </c>
      <c r="BB189" s="198">
        <v>0</v>
      </c>
      <c r="BC189" s="198">
        <v>948</v>
      </c>
      <c r="BD189" s="198">
        <v>1502</v>
      </c>
      <c r="BE189" s="198">
        <v>0.6311584553928096</v>
      </c>
      <c r="BF189" s="198">
        <v>0.20151960109642103</v>
      </c>
      <c r="BG189" s="198">
        <v>0</v>
      </c>
      <c r="BH189" s="198">
        <v>0</v>
      </c>
      <c r="BI189" s="198">
        <v>-408.1</v>
      </c>
      <c r="BJ189" s="198">
        <v>-979.4399999999999</v>
      </c>
      <c r="BK189" s="198">
        <v>-16732.1</v>
      </c>
      <c r="BL189" s="198">
        <v>-1509.97</v>
      </c>
      <c r="BM189" s="198">
        <v>-21751.73</v>
      </c>
      <c r="BN189" s="198">
        <v>-489.71999999999997</v>
      </c>
      <c r="BO189" s="198">
        <v>123623</v>
      </c>
      <c r="BP189" s="198">
        <v>36948.840584326535</v>
      </c>
      <c r="BQ189" s="198">
        <v>354457</v>
      </c>
      <c r="BR189" s="198">
        <v>106582</v>
      </c>
      <c r="BS189" s="198">
        <v>254905.20955377643</v>
      </c>
      <c r="BT189" s="198">
        <v>8332.65349028518</v>
      </c>
      <c r="BU189" s="198">
        <v>26530.701781500757</v>
      </c>
      <c r="BV189" s="198">
        <v>123476.20413054695</v>
      </c>
      <c r="BW189" s="198">
        <v>208455.23624832294</v>
      </c>
      <c r="BX189" s="198">
        <v>367.28999999999996</v>
      </c>
      <c r="BY189" s="198">
        <v>10784.547024344334</v>
      </c>
      <c r="BZ189" s="198">
        <v>1254462.682813103</v>
      </c>
      <c r="CA189" s="198">
        <v>1177209.352813103</v>
      </c>
      <c r="CB189" s="198">
        <v>11598.236697584374</v>
      </c>
      <c r="CC189" s="232">
        <v>3211476.573364706</v>
      </c>
      <c r="CD189" s="198">
        <v>-367864</v>
      </c>
      <c r="CE189" s="198">
        <v>77640.8387</v>
      </c>
      <c r="CH189" s="198">
        <v>4125</v>
      </c>
    </row>
    <row r="190" spans="1:86" ht="11.25">
      <c r="A190" s="198">
        <v>593</v>
      </c>
      <c r="B190" s="198" t="s">
        <v>265</v>
      </c>
      <c r="C190" s="198">
        <v>19051</v>
      </c>
      <c r="D190" s="198">
        <v>68118186.02</v>
      </c>
      <c r="E190" s="198">
        <v>35010377.55042664</v>
      </c>
      <c r="F190" s="198">
        <v>4058247.232238559</v>
      </c>
      <c r="G190" s="198">
        <v>107186810.8026652</v>
      </c>
      <c r="H190" s="198">
        <v>3642.26</v>
      </c>
      <c r="I190" s="198">
        <v>69388695.26</v>
      </c>
      <c r="J190" s="198">
        <v>37798115.5426652</v>
      </c>
      <c r="K190" s="198">
        <v>685226.3354508572</v>
      </c>
      <c r="L190" s="198">
        <v>4638796.507593981</v>
      </c>
      <c r="M190" s="198">
        <v>-116757.63374062636</v>
      </c>
      <c r="N190" s="198">
        <v>43005380.75196941</v>
      </c>
      <c r="O190" s="198">
        <v>9094951.101756096</v>
      </c>
      <c r="P190" s="198">
        <v>52100331.85372551</v>
      </c>
      <c r="Q190" s="198">
        <v>898</v>
      </c>
      <c r="R190" s="198">
        <v>163</v>
      </c>
      <c r="S190" s="198">
        <v>977</v>
      </c>
      <c r="T190" s="198">
        <v>564</v>
      </c>
      <c r="U190" s="198">
        <v>640</v>
      </c>
      <c r="V190" s="198">
        <v>10602</v>
      </c>
      <c r="W190" s="198">
        <v>2711</v>
      </c>
      <c r="X190" s="198">
        <v>1785</v>
      </c>
      <c r="Y190" s="198">
        <v>711</v>
      </c>
      <c r="Z190" s="198">
        <v>18647</v>
      </c>
      <c r="AA190" s="198">
        <v>21</v>
      </c>
      <c r="AB190" s="198">
        <v>0</v>
      </c>
      <c r="AC190" s="198">
        <v>383</v>
      </c>
      <c r="AD190" s="198">
        <v>1568.64</v>
      </c>
      <c r="AE190" s="198">
        <v>12.144915340677274</v>
      </c>
      <c r="AF190" s="198">
        <v>5207</v>
      </c>
      <c r="AG190" s="198">
        <v>35010377.55042664</v>
      </c>
      <c r="AH190" s="198">
        <v>20090575.6622817</v>
      </c>
      <c r="AI190" s="198">
        <v>10421063.425913278</v>
      </c>
      <c r="AJ190" s="198">
        <v>4498738.462231664</v>
      </c>
      <c r="AK190" s="198">
        <v>1057</v>
      </c>
      <c r="AL190" s="198">
        <v>8317</v>
      </c>
      <c r="AM190" s="198">
        <v>1.0194984674855567</v>
      </c>
      <c r="AN190" s="198">
        <v>383</v>
      </c>
      <c r="AO190" s="198">
        <v>0.020103931552149495</v>
      </c>
      <c r="AP190" s="198">
        <v>0.018380387946496272</v>
      </c>
      <c r="AQ190" s="198">
        <v>0</v>
      </c>
      <c r="AR190" s="198">
        <v>21</v>
      </c>
      <c r="AS190" s="198">
        <v>0</v>
      </c>
      <c r="AT190" s="198">
        <v>0</v>
      </c>
      <c r="AU190" s="198">
        <v>1568.64</v>
      </c>
      <c r="AV190" s="198">
        <v>12.144915340677274</v>
      </c>
      <c r="AW190" s="198">
        <v>1.4823035637460702</v>
      </c>
      <c r="AX190" s="198">
        <v>664</v>
      </c>
      <c r="AY190" s="198">
        <v>5246</v>
      </c>
      <c r="AZ190" s="198">
        <v>0.12657262676324818</v>
      </c>
      <c r="BA190" s="198">
        <v>0.062883768067596</v>
      </c>
      <c r="BB190" s="198">
        <v>0</v>
      </c>
      <c r="BC190" s="198">
        <v>7158</v>
      </c>
      <c r="BD190" s="198">
        <v>7165</v>
      </c>
      <c r="BE190" s="198">
        <v>0.999023028611305</v>
      </c>
      <c r="BF190" s="198">
        <v>0.5693841743149164</v>
      </c>
      <c r="BG190" s="198">
        <v>0</v>
      </c>
      <c r="BH190" s="198">
        <v>0</v>
      </c>
      <c r="BI190" s="198">
        <v>-1905.1000000000001</v>
      </c>
      <c r="BJ190" s="198">
        <v>-4572.24</v>
      </c>
      <c r="BK190" s="198">
        <v>-78109.09999999999</v>
      </c>
      <c r="BL190" s="198">
        <v>-7048.87</v>
      </c>
      <c r="BM190" s="198">
        <v>-101541.83</v>
      </c>
      <c r="BN190" s="198">
        <v>-2286.12</v>
      </c>
      <c r="BO190" s="198">
        <v>-13406</v>
      </c>
      <c r="BP190" s="198">
        <v>-146001.90130151063</v>
      </c>
      <c r="BQ190" s="198">
        <v>1560090</v>
      </c>
      <c r="BR190" s="198">
        <v>513971</v>
      </c>
      <c r="BS190" s="198">
        <v>1260126.626801296</v>
      </c>
      <c r="BT190" s="198">
        <v>63467.03263140767</v>
      </c>
      <c r="BU190" s="198">
        <v>157346.3627602417</v>
      </c>
      <c r="BV190" s="198">
        <v>647965.8766096516</v>
      </c>
      <c r="BW190" s="198">
        <v>1001592.6920698886</v>
      </c>
      <c r="BX190" s="198">
        <v>1714.59</v>
      </c>
      <c r="BY190" s="198">
        <v>-47434.341976993484</v>
      </c>
      <c r="BZ190" s="198">
        <v>4999431.937593981</v>
      </c>
      <c r="CA190" s="198">
        <v>4638796.507593981</v>
      </c>
      <c r="CB190" s="198">
        <v>-116757.63374062636</v>
      </c>
      <c r="CC190" s="232">
        <v>9094951.101756096</v>
      </c>
      <c r="CD190" s="198">
        <v>-2807667</v>
      </c>
      <c r="CE190" s="198">
        <v>-168103.934274</v>
      </c>
      <c r="CH190" s="198">
        <v>19288</v>
      </c>
    </row>
    <row r="191" spans="1:86" ht="11.25">
      <c r="A191" s="198">
        <v>595</v>
      </c>
      <c r="B191" s="198" t="s">
        <v>266</v>
      </c>
      <c r="C191" s="198">
        <v>4787</v>
      </c>
      <c r="D191" s="198">
        <v>18959539.97</v>
      </c>
      <c r="E191" s="198">
        <v>9630157.207088627</v>
      </c>
      <c r="F191" s="198">
        <v>1548189.8593231936</v>
      </c>
      <c r="G191" s="198">
        <v>30137887.036411818</v>
      </c>
      <c r="H191" s="198">
        <v>3642.26</v>
      </c>
      <c r="I191" s="198">
        <v>17435498.62</v>
      </c>
      <c r="J191" s="198">
        <v>12702388.416411817</v>
      </c>
      <c r="K191" s="198">
        <v>589314.8691855213</v>
      </c>
      <c r="L191" s="198">
        <v>1700940.6696684973</v>
      </c>
      <c r="M191" s="198">
        <v>0</v>
      </c>
      <c r="N191" s="198">
        <v>14992643.955265837</v>
      </c>
      <c r="O191" s="198">
        <v>4713699.865349399</v>
      </c>
      <c r="P191" s="198">
        <v>19706343.820615236</v>
      </c>
      <c r="Q191" s="198">
        <v>238</v>
      </c>
      <c r="R191" s="198">
        <v>47</v>
      </c>
      <c r="S191" s="198">
        <v>313</v>
      </c>
      <c r="T191" s="198">
        <v>140</v>
      </c>
      <c r="U191" s="198">
        <v>163</v>
      </c>
      <c r="V191" s="198">
        <v>2372</v>
      </c>
      <c r="W191" s="198">
        <v>784</v>
      </c>
      <c r="X191" s="198">
        <v>503</v>
      </c>
      <c r="Y191" s="198">
        <v>227</v>
      </c>
      <c r="Z191" s="198">
        <v>4702</v>
      </c>
      <c r="AA191" s="198">
        <v>5</v>
      </c>
      <c r="AB191" s="198">
        <v>0</v>
      </c>
      <c r="AC191" s="198">
        <v>80</v>
      </c>
      <c r="AD191" s="198">
        <v>1153.23</v>
      </c>
      <c r="AE191" s="198">
        <v>4.150949940601614</v>
      </c>
      <c r="AF191" s="198">
        <v>1514</v>
      </c>
      <c r="AG191" s="198">
        <v>9630157.207088627</v>
      </c>
      <c r="AH191" s="198">
        <v>5350331.184551723</v>
      </c>
      <c r="AI191" s="198">
        <v>3272386.5213421676</v>
      </c>
      <c r="AJ191" s="198">
        <v>1007439.5011947355</v>
      </c>
      <c r="AK191" s="198">
        <v>224</v>
      </c>
      <c r="AL191" s="198">
        <v>1847</v>
      </c>
      <c r="AM191" s="198">
        <v>0.9728803111201482</v>
      </c>
      <c r="AN191" s="198">
        <v>80</v>
      </c>
      <c r="AO191" s="198">
        <v>0.016711928138709004</v>
      </c>
      <c r="AP191" s="198">
        <v>0.01498838453305578</v>
      </c>
      <c r="AQ191" s="198">
        <v>0</v>
      </c>
      <c r="AR191" s="198">
        <v>5</v>
      </c>
      <c r="AS191" s="198">
        <v>0</v>
      </c>
      <c r="AT191" s="198">
        <v>0</v>
      </c>
      <c r="AU191" s="198">
        <v>1153.23</v>
      </c>
      <c r="AV191" s="198">
        <v>4.150949940601614</v>
      </c>
      <c r="AW191" s="198">
        <v>4.336947336992234</v>
      </c>
      <c r="AX191" s="198">
        <v>166</v>
      </c>
      <c r="AY191" s="198">
        <v>1125</v>
      </c>
      <c r="AZ191" s="198">
        <v>0.14755555555555555</v>
      </c>
      <c r="BA191" s="198">
        <v>0.08386669685990338</v>
      </c>
      <c r="BB191" s="198">
        <v>0.4548</v>
      </c>
      <c r="BC191" s="198">
        <v>1354</v>
      </c>
      <c r="BD191" s="198">
        <v>1539</v>
      </c>
      <c r="BE191" s="198">
        <v>0.8797920727745289</v>
      </c>
      <c r="BF191" s="198">
        <v>0.4501532184781403</v>
      </c>
      <c r="BG191" s="198">
        <v>0</v>
      </c>
      <c r="BH191" s="198">
        <v>0</v>
      </c>
      <c r="BI191" s="198">
        <v>-478.70000000000005</v>
      </c>
      <c r="BJ191" s="198">
        <v>-1148.8799999999999</v>
      </c>
      <c r="BK191" s="198">
        <v>-19626.699999999997</v>
      </c>
      <c r="BL191" s="198">
        <v>-1771.19</v>
      </c>
      <c r="BM191" s="198">
        <v>-25514.71</v>
      </c>
      <c r="BN191" s="198">
        <v>-574.4399999999999</v>
      </c>
      <c r="BO191" s="198">
        <v>17169</v>
      </c>
      <c r="BP191" s="198">
        <v>172400.20626162738</v>
      </c>
      <c r="BQ191" s="198">
        <v>533260</v>
      </c>
      <c r="BR191" s="198">
        <v>148458</v>
      </c>
      <c r="BS191" s="198">
        <v>383608.90878330654</v>
      </c>
      <c r="BT191" s="198">
        <v>21691.08045287163</v>
      </c>
      <c r="BU191" s="198">
        <v>60410.255073567154</v>
      </c>
      <c r="BV191" s="198">
        <v>212891.88876775064</v>
      </c>
      <c r="BW191" s="198">
        <v>247904.19945890977</v>
      </c>
      <c r="BX191" s="198">
        <v>430.83</v>
      </c>
      <c r="BY191" s="198">
        <v>-6665.789129536213</v>
      </c>
      <c r="BZ191" s="198">
        <v>1791558.5796684972</v>
      </c>
      <c r="CA191" s="198">
        <v>1700940.6696684973</v>
      </c>
      <c r="CB191" s="198">
        <v>0</v>
      </c>
      <c r="CC191" s="232">
        <v>4713699.865349399</v>
      </c>
      <c r="CD191" s="198">
        <v>-159639</v>
      </c>
      <c r="CE191" s="198">
        <v>29885.808000000005</v>
      </c>
      <c r="CH191" s="198">
        <v>4824</v>
      </c>
    </row>
    <row r="192" spans="1:86" ht="11.25">
      <c r="A192" s="198">
        <v>598</v>
      </c>
      <c r="B192" s="198" t="s">
        <v>267</v>
      </c>
      <c r="C192" s="198">
        <v>19577</v>
      </c>
      <c r="D192" s="198">
        <v>71816500.35</v>
      </c>
      <c r="E192" s="198">
        <v>23057456.502207577</v>
      </c>
      <c r="F192" s="198">
        <v>8096275.016096009</v>
      </c>
      <c r="G192" s="198">
        <v>102970231.86830358</v>
      </c>
      <c r="H192" s="198">
        <v>3642.26</v>
      </c>
      <c r="I192" s="198">
        <v>71304524.02000001</v>
      </c>
      <c r="J192" s="198">
        <v>31665707.84830357</v>
      </c>
      <c r="K192" s="198">
        <v>1104658.089771806</v>
      </c>
      <c r="L192" s="198">
        <v>4036644.6907902197</v>
      </c>
      <c r="M192" s="198">
        <v>0</v>
      </c>
      <c r="N192" s="198">
        <v>36807010.6288656</v>
      </c>
      <c r="O192" s="198">
        <v>1975158.9828705844</v>
      </c>
      <c r="P192" s="198">
        <v>38782169.611736186</v>
      </c>
      <c r="Q192" s="198">
        <v>1197</v>
      </c>
      <c r="R192" s="198">
        <v>216</v>
      </c>
      <c r="S192" s="198">
        <v>1322</v>
      </c>
      <c r="T192" s="198">
        <v>642</v>
      </c>
      <c r="U192" s="198">
        <v>742</v>
      </c>
      <c r="V192" s="198">
        <v>10792</v>
      </c>
      <c r="W192" s="198">
        <v>2503</v>
      </c>
      <c r="X192" s="198">
        <v>1537</v>
      </c>
      <c r="Y192" s="198">
        <v>626</v>
      </c>
      <c r="Z192" s="198">
        <v>7222</v>
      </c>
      <c r="AA192" s="198">
        <v>10966</v>
      </c>
      <c r="AB192" s="198">
        <v>2</v>
      </c>
      <c r="AC192" s="198">
        <v>1387</v>
      </c>
      <c r="AD192" s="198">
        <v>88.41</v>
      </c>
      <c r="AE192" s="198">
        <v>221.43422689740981</v>
      </c>
      <c r="AF192" s="198">
        <v>4666</v>
      </c>
      <c r="AG192" s="198">
        <v>23057456.502207577</v>
      </c>
      <c r="AH192" s="198">
        <v>13825911.513636753</v>
      </c>
      <c r="AI192" s="198">
        <v>6330814.010992878</v>
      </c>
      <c r="AJ192" s="198">
        <v>2900730.9775779457</v>
      </c>
      <c r="AK192" s="198">
        <v>886</v>
      </c>
      <c r="AL192" s="198">
        <v>8913</v>
      </c>
      <c r="AM192" s="198">
        <v>0.7974218046723874</v>
      </c>
      <c r="AN192" s="198">
        <v>1387</v>
      </c>
      <c r="AO192" s="198">
        <v>0.0708484446033611</v>
      </c>
      <c r="AP192" s="198">
        <v>0.06912490099770788</v>
      </c>
      <c r="AQ192" s="198">
        <v>3</v>
      </c>
      <c r="AR192" s="198">
        <v>10966</v>
      </c>
      <c r="AS192" s="198">
        <v>2</v>
      </c>
      <c r="AT192" s="198">
        <v>0</v>
      </c>
      <c r="AU192" s="198">
        <v>88.41</v>
      </c>
      <c r="AV192" s="198">
        <v>221.43422689740981</v>
      </c>
      <c r="AW192" s="198">
        <v>0.08129931647477764</v>
      </c>
      <c r="AX192" s="198">
        <v>892</v>
      </c>
      <c r="AY192" s="198">
        <v>5770</v>
      </c>
      <c r="AZ192" s="198">
        <v>0.15459272097053725</v>
      </c>
      <c r="BA192" s="198">
        <v>0.09090386227488507</v>
      </c>
      <c r="BB192" s="198">
        <v>0</v>
      </c>
      <c r="BC192" s="198">
        <v>10677</v>
      </c>
      <c r="BD192" s="198">
        <v>8071</v>
      </c>
      <c r="BE192" s="198">
        <v>1.322884400941643</v>
      </c>
      <c r="BF192" s="198">
        <v>0.8932455466452545</v>
      </c>
      <c r="BG192" s="198">
        <v>0</v>
      </c>
      <c r="BH192" s="198">
        <v>2</v>
      </c>
      <c r="BI192" s="198">
        <v>-1957.7</v>
      </c>
      <c r="BJ192" s="198">
        <v>-4698.48</v>
      </c>
      <c r="BK192" s="198">
        <v>-80265.7</v>
      </c>
      <c r="BL192" s="198">
        <v>-7243.49</v>
      </c>
      <c r="BM192" s="198">
        <v>-104345.41</v>
      </c>
      <c r="BN192" s="198">
        <v>-2349.24</v>
      </c>
      <c r="BO192" s="198">
        <v>55415</v>
      </c>
      <c r="BP192" s="198">
        <v>-237921.06673301756</v>
      </c>
      <c r="BQ192" s="198">
        <v>1399413</v>
      </c>
      <c r="BR192" s="198">
        <v>472806</v>
      </c>
      <c r="BS192" s="198">
        <v>1012050.8967615775</v>
      </c>
      <c r="BT192" s="198">
        <v>35295.871407672465</v>
      </c>
      <c r="BU192" s="198">
        <v>186705.40611594936</v>
      </c>
      <c r="BV192" s="198">
        <v>590374.8610830926</v>
      </c>
      <c r="BW192" s="198">
        <v>964078.2611366957</v>
      </c>
      <c r="BX192" s="198">
        <v>1761.9299999999998</v>
      </c>
      <c r="BY192" s="198">
        <v>-72742.85898174977</v>
      </c>
      <c r="BZ192" s="198">
        <v>4407237.30079022</v>
      </c>
      <c r="CA192" s="198">
        <v>4036644.6907902197</v>
      </c>
      <c r="CB192" s="198">
        <v>0</v>
      </c>
      <c r="CC192" s="232">
        <v>1975158.9828705844</v>
      </c>
      <c r="CD192" s="198">
        <v>-79644</v>
      </c>
      <c r="CE192" s="198">
        <v>629818.4987600001</v>
      </c>
      <c r="CH192" s="198">
        <v>19633</v>
      </c>
    </row>
    <row r="193" spans="1:86" ht="11.25">
      <c r="A193" s="198">
        <v>601</v>
      </c>
      <c r="B193" s="198" t="s">
        <v>268</v>
      </c>
      <c r="C193" s="198">
        <v>4261</v>
      </c>
      <c r="D193" s="198">
        <v>16287517.21</v>
      </c>
      <c r="E193" s="198">
        <v>7197309.764605493</v>
      </c>
      <c r="F193" s="198">
        <v>1444537.1278474934</v>
      </c>
      <c r="G193" s="198">
        <v>24929364.102452986</v>
      </c>
      <c r="H193" s="198">
        <v>3642.26</v>
      </c>
      <c r="I193" s="198">
        <v>15519669.860000001</v>
      </c>
      <c r="J193" s="198">
        <v>9409694.242452985</v>
      </c>
      <c r="K193" s="198">
        <v>1536644.2200375155</v>
      </c>
      <c r="L193" s="198">
        <v>1444447.0134526412</v>
      </c>
      <c r="M193" s="198">
        <v>474104.51399937086</v>
      </c>
      <c r="N193" s="198">
        <v>12864889.989942513</v>
      </c>
      <c r="O193" s="198">
        <v>4047832.8000952397</v>
      </c>
      <c r="P193" s="198">
        <v>16912722.79003775</v>
      </c>
      <c r="Q193" s="198">
        <v>248</v>
      </c>
      <c r="R193" s="198">
        <v>47</v>
      </c>
      <c r="S193" s="198">
        <v>297</v>
      </c>
      <c r="T193" s="198">
        <v>158</v>
      </c>
      <c r="U193" s="198">
        <v>148</v>
      </c>
      <c r="V193" s="198">
        <v>2212</v>
      </c>
      <c r="W193" s="198">
        <v>588</v>
      </c>
      <c r="X193" s="198">
        <v>425</v>
      </c>
      <c r="Y193" s="198">
        <v>138</v>
      </c>
      <c r="Z193" s="198">
        <v>4226</v>
      </c>
      <c r="AA193" s="198">
        <v>2</v>
      </c>
      <c r="AB193" s="198">
        <v>0</v>
      </c>
      <c r="AC193" s="198">
        <v>33</v>
      </c>
      <c r="AD193" s="198">
        <v>1074.77</v>
      </c>
      <c r="AE193" s="198">
        <v>3.9645691636350104</v>
      </c>
      <c r="AF193" s="198">
        <v>1151</v>
      </c>
      <c r="AG193" s="198">
        <v>7197309.764605493</v>
      </c>
      <c r="AH193" s="198">
        <v>4285514.456983966</v>
      </c>
      <c r="AI193" s="198">
        <v>1982519.2160022457</v>
      </c>
      <c r="AJ193" s="198">
        <v>929276.091619282</v>
      </c>
      <c r="AK193" s="198">
        <v>281</v>
      </c>
      <c r="AL193" s="198">
        <v>1804</v>
      </c>
      <c r="AM193" s="198">
        <v>1.2495340009144726</v>
      </c>
      <c r="AN193" s="198">
        <v>33</v>
      </c>
      <c r="AO193" s="198">
        <v>0.0077446608777282325</v>
      </c>
      <c r="AP193" s="198">
        <v>0.0060211172720750095</v>
      </c>
      <c r="AQ193" s="198">
        <v>0</v>
      </c>
      <c r="AR193" s="198">
        <v>2</v>
      </c>
      <c r="AS193" s="198">
        <v>0</v>
      </c>
      <c r="AT193" s="198">
        <v>0</v>
      </c>
      <c r="AU193" s="198">
        <v>1074.77</v>
      </c>
      <c r="AV193" s="198">
        <v>3.9645691636350104</v>
      </c>
      <c r="AW193" s="198">
        <v>4.5408342111944044</v>
      </c>
      <c r="AX193" s="198">
        <v>169</v>
      </c>
      <c r="AY193" s="198">
        <v>1143</v>
      </c>
      <c r="AZ193" s="198">
        <v>0.14785651793525809</v>
      </c>
      <c r="BA193" s="198">
        <v>0.08416765923960591</v>
      </c>
      <c r="BB193" s="198">
        <v>1.0462166666666666</v>
      </c>
      <c r="BC193" s="198">
        <v>1446</v>
      </c>
      <c r="BD193" s="198">
        <v>1495</v>
      </c>
      <c r="BE193" s="198">
        <v>0.9672240802675586</v>
      </c>
      <c r="BF193" s="198">
        <v>0.53758522597117</v>
      </c>
      <c r="BG193" s="198">
        <v>0</v>
      </c>
      <c r="BH193" s="198">
        <v>0</v>
      </c>
      <c r="BI193" s="198">
        <v>-426.1</v>
      </c>
      <c r="BJ193" s="198">
        <v>-1022.64</v>
      </c>
      <c r="BK193" s="198">
        <v>-17470.1</v>
      </c>
      <c r="BL193" s="198">
        <v>-1576.57</v>
      </c>
      <c r="BM193" s="198">
        <v>-22711.13</v>
      </c>
      <c r="BN193" s="198">
        <v>-511.32</v>
      </c>
      <c r="BO193" s="198">
        <v>151779</v>
      </c>
      <c r="BP193" s="198">
        <v>-25694.288820859045</v>
      </c>
      <c r="BQ193" s="198">
        <v>435454</v>
      </c>
      <c r="BR193" s="198">
        <v>135058</v>
      </c>
      <c r="BS193" s="198">
        <v>346967.2032462885</v>
      </c>
      <c r="BT193" s="198">
        <v>19218.919902524325</v>
      </c>
      <c r="BU193" s="198">
        <v>38454.63865206143</v>
      </c>
      <c r="BV193" s="198">
        <v>181707.73576224397</v>
      </c>
      <c r="BW193" s="198">
        <v>254059.2371448576</v>
      </c>
      <c r="BX193" s="198">
        <v>383.49</v>
      </c>
      <c r="BY193" s="198">
        <v>-12280.19243447551</v>
      </c>
      <c r="BZ193" s="198">
        <v>1525107.7434526412</v>
      </c>
      <c r="CA193" s="198">
        <v>1444447.0134526412</v>
      </c>
      <c r="CB193" s="198">
        <v>474104.51399937086</v>
      </c>
      <c r="CC193" s="232">
        <v>4047832.8000952397</v>
      </c>
      <c r="CD193" s="198">
        <v>173332</v>
      </c>
      <c r="CE193" s="198">
        <v>4667453.42166</v>
      </c>
      <c r="CH193" s="198">
        <v>4354</v>
      </c>
    </row>
    <row r="194" spans="1:86" ht="11.25">
      <c r="A194" s="198">
        <v>604</v>
      </c>
      <c r="B194" s="198" t="s">
        <v>269</v>
      </c>
      <c r="C194" s="198">
        <v>18689</v>
      </c>
      <c r="D194" s="198">
        <v>65451939.35</v>
      </c>
      <c r="E194" s="198">
        <v>14750426.260641305</v>
      </c>
      <c r="F194" s="198">
        <v>2769304.114471558</v>
      </c>
      <c r="G194" s="198">
        <v>82971669.72511286</v>
      </c>
      <c r="H194" s="198">
        <v>3642.26</v>
      </c>
      <c r="I194" s="198">
        <v>68070197.14</v>
      </c>
      <c r="J194" s="198">
        <v>14901472.585112855</v>
      </c>
      <c r="K194" s="198">
        <v>286237.87768730975</v>
      </c>
      <c r="L194" s="198">
        <v>2050834.9110891703</v>
      </c>
      <c r="M194" s="198">
        <v>0</v>
      </c>
      <c r="N194" s="198">
        <v>17238545.373889334</v>
      </c>
      <c r="O194" s="198">
        <v>-2924691.1655197507</v>
      </c>
      <c r="P194" s="198">
        <v>14313854.208369583</v>
      </c>
      <c r="Q194" s="198">
        <v>1669</v>
      </c>
      <c r="R194" s="198">
        <v>262</v>
      </c>
      <c r="S194" s="198">
        <v>1586</v>
      </c>
      <c r="T194" s="198">
        <v>708</v>
      </c>
      <c r="U194" s="198">
        <v>671</v>
      </c>
      <c r="V194" s="198">
        <v>10848</v>
      </c>
      <c r="W194" s="198">
        <v>1901</v>
      </c>
      <c r="X194" s="198">
        <v>821</v>
      </c>
      <c r="Y194" s="198">
        <v>223</v>
      </c>
      <c r="Z194" s="198">
        <v>18034</v>
      </c>
      <c r="AA194" s="198">
        <v>70</v>
      </c>
      <c r="AB194" s="198">
        <v>0</v>
      </c>
      <c r="AC194" s="198">
        <v>585</v>
      </c>
      <c r="AD194" s="198">
        <v>81.39</v>
      </c>
      <c r="AE194" s="198">
        <v>229.62280378424867</v>
      </c>
      <c r="AF194" s="198">
        <v>2945</v>
      </c>
      <c r="AG194" s="198">
        <v>14750426.260641305</v>
      </c>
      <c r="AH194" s="198">
        <v>9216161.698281378</v>
      </c>
      <c r="AI194" s="198">
        <v>3875463.3147030766</v>
      </c>
      <c r="AJ194" s="198">
        <v>1658801.2476568494</v>
      </c>
      <c r="AK194" s="198">
        <v>1006</v>
      </c>
      <c r="AL194" s="198">
        <v>9184</v>
      </c>
      <c r="AM194" s="198">
        <v>0.8787076292653505</v>
      </c>
      <c r="AN194" s="198">
        <v>585</v>
      </c>
      <c r="AO194" s="198">
        <v>0.03130183530418963</v>
      </c>
      <c r="AP194" s="198">
        <v>0.02957829169853641</v>
      </c>
      <c r="AQ194" s="198">
        <v>0</v>
      </c>
      <c r="AR194" s="198">
        <v>70</v>
      </c>
      <c r="AS194" s="198">
        <v>0</v>
      </c>
      <c r="AT194" s="198">
        <v>0</v>
      </c>
      <c r="AU194" s="198">
        <v>81.39</v>
      </c>
      <c r="AV194" s="198">
        <v>229.62280378424867</v>
      </c>
      <c r="AW194" s="198">
        <v>0.0784001022293725</v>
      </c>
      <c r="AX194" s="198">
        <v>564</v>
      </c>
      <c r="AY194" s="198">
        <v>6859</v>
      </c>
      <c r="AZ194" s="198">
        <v>0.08222772998979443</v>
      </c>
      <c r="BA194" s="198">
        <v>0.01853887129414225</v>
      </c>
      <c r="BB194" s="198">
        <v>0</v>
      </c>
      <c r="BC194" s="198">
        <v>5532</v>
      </c>
      <c r="BD194" s="198">
        <v>8231</v>
      </c>
      <c r="BE194" s="198">
        <v>0.6720933057951646</v>
      </c>
      <c r="BF194" s="198">
        <v>0.24245445149877604</v>
      </c>
      <c r="BG194" s="198">
        <v>0</v>
      </c>
      <c r="BH194" s="198">
        <v>0</v>
      </c>
      <c r="BI194" s="198">
        <v>-1868.9</v>
      </c>
      <c r="BJ194" s="198">
        <v>-4485.36</v>
      </c>
      <c r="BK194" s="198">
        <v>-76624.9</v>
      </c>
      <c r="BL194" s="198">
        <v>-6914.93</v>
      </c>
      <c r="BM194" s="198">
        <v>-99612.37</v>
      </c>
      <c r="BN194" s="198">
        <v>-2242.68</v>
      </c>
      <c r="BO194" s="198">
        <v>147112</v>
      </c>
      <c r="BP194" s="198">
        <v>-475239.0150869675</v>
      </c>
      <c r="BQ194" s="198">
        <v>962488</v>
      </c>
      <c r="BR194" s="198">
        <v>315242</v>
      </c>
      <c r="BS194" s="198">
        <v>572600.7651110376</v>
      </c>
      <c r="BT194" s="198">
        <v>-261.91042154564855</v>
      </c>
      <c r="BU194" s="198">
        <v>-137431.19608466787</v>
      </c>
      <c r="BV194" s="198">
        <v>318185.54417433374</v>
      </c>
      <c r="BW194" s="198">
        <v>673683.5742856455</v>
      </c>
      <c r="BX194" s="198">
        <v>1682.01</v>
      </c>
      <c r="BY194" s="198">
        <v>26555.90911133503</v>
      </c>
      <c r="BZ194" s="198">
        <v>2404617.6810891703</v>
      </c>
      <c r="CA194" s="198">
        <v>2050834.9110891703</v>
      </c>
      <c r="CB194" s="198">
        <v>0</v>
      </c>
      <c r="CC194" s="232">
        <v>-2924691.1655197507</v>
      </c>
      <c r="CD194" s="198">
        <v>-3004942</v>
      </c>
      <c r="CE194" s="198">
        <v>-655964.8450340001</v>
      </c>
      <c r="CH194" s="198">
        <v>18369</v>
      </c>
    </row>
    <row r="195" spans="1:86" ht="11.25">
      <c r="A195" s="198">
        <v>607</v>
      </c>
      <c r="B195" s="198" t="s">
        <v>270</v>
      </c>
      <c r="C195" s="198">
        <v>4609</v>
      </c>
      <c r="D195" s="198">
        <v>16312473.209999997</v>
      </c>
      <c r="E195" s="198">
        <v>7502337.554682875</v>
      </c>
      <c r="F195" s="198">
        <v>1293903.2199107031</v>
      </c>
      <c r="G195" s="198">
        <v>25108713.984593578</v>
      </c>
      <c r="H195" s="198">
        <v>3642.26</v>
      </c>
      <c r="I195" s="198">
        <v>16787176.34</v>
      </c>
      <c r="J195" s="198">
        <v>8321537.644593578</v>
      </c>
      <c r="K195" s="198">
        <v>103659.03012791436</v>
      </c>
      <c r="L195" s="198">
        <v>2039470.7465551728</v>
      </c>
      <c r="M195" s="198">
        <v>317967.0003368296</v>
      </c>
      <c r="N195" s="198">
        <v>10782634.421613496</v>
      </c>
      <c r="O195" s="198">
        <v>4770705.113473684</v>
      </c>
      <c r="P195" s="198">
        <v>15553339.53508718</v>
      </c>
      <c r="Q195" s="198">
        <v>249</v>
      </c>
      <c r="R195" s="198">
        <v>38</v>
      </c>
      <c r="S195" s="198">
        <v>233</v>
      </c>
      <c r="T195" s="198">
        <v>173</v>
      </c>
      <c r="U195" s="198">
        <v>154</v>
      </c>
      <c r="V195" s="198">
        <v>2553</v>
      </c>
      <c r="W195" s="198">
        <v>680</v>
      </c>
      <c r="X195" s="198">
        <v>391</v>
      </c>
      <c r="Y195" s="198">
        <v>138</v>
      </c>
      <c r="Z195" s="198">
        <v>4571</v>
      </c>
      <c r="AA195" s="198">
        <v>2</v>
      </c>
      <c r="AB195" s="198">
        <v>0</v>
      </c>
      <c r="AC195" s="198">
        <v>36</v>
      </c>
      <c r="AD195" s="198">
        <v>804.15</v>
      </c>
      <c r="AE195" s="198">
        <v>5.731517751663247</v>
      </c>
      <c r="AF195" s="198">
        <v>1209</v>
      </c>
      <c r="AG195" s="198">
        <v>7502337.554682875</v>
      </c>
      <c r="AH195" s="198">
        <v>4815561.844171459</v>
      </c>
      <c r="AI195" s="198">
        <v>1800923.7353229423</v>
      </c>
      <c r="AJ195" s="198">
        <v>885851.9751884744</v>
      </c>
      <c r="AK195" s="198">
        <v>329</v>
      </c>
      <c r="AL195" s="198">
        <v>2041</v>
      </c>
      <c r="AM195" s="198">
        <v>1.293097239833858</v>
      </c>
      <c r="AN195" s="198">
        <v>36</v>
      </c>
      <c r="AO195" s="198">
        <v>0.007810804946843133</v>
      </c>
      <c r="AP195" s="198">
        <v>0.00608726134118991</v>
      </c>
      <c r="AQ195" s="198">
        <v>0</v>
      </c>
      <c r="AR195" s="198">
        <v>2</v>
      </c>
      <c r="AS195" s="198">
        <v>0</v>
      </c>
      <c r="AT195" s="198">
        <v>0</v>
      </c>
      <c r="AU195" s="198">
        <v>804.15</v>
      </c>
      <c r="AV195" s="198">
        <v>5.731517751663247</v>
      </c>
      <c r="AW195" s="198">
        <v>3.1409570851727806</v>
      </c>
      <c r="AX195" s="198">
        <v>165</v>
      </c>
      <c r="AY195" s="198">
        <v>1262</v>
      </c>
      <c r="AZ195" s="198">
        <v>0.13074484944532488</v>
      </c>
      <c r="BA195" s="198">
        <v>0.06705599074967271</v>
      </c>
      <c r="BB195" s="198">
        <v>0</v>
      </c>
      <c r="BC195" s="198">
        <v>1305</v>
      </c>
      <c r="BD195" s="198">
        <v>1661</v>
      </c>
      <c r="BE195" s="198">
        <v>0.785671282360024</v>
      </c>
      <c r="BF195" s="198">
        <v>0.3560324280636355</v>
      </c>
      <c r="BG195" s="198">
        <v>0</v>
      </c>
      <c r="BH195" s="198">
        <v>0</v>
      </c>
      <c r="BI195" s="198">
        <v>-460.90000000000003</v>
      </c>
      <c r="BJ195" s="198">
        <v>-1106.1599999999999</v>
      </c>
      <c r="BK195" s="198">
        <v>-18896.899999999998</v>
      </c>
      <c r="BL195" s="198">
        <v>-1705.33</v>
      </c>
      <c r="BM195" s="198">
        <v>-24565.97</v>
      </c>
      <c r="BN195" s="198">
        <v>-553.0799999999999</v>
      </c>
      <c r="BO195" s="198">
        <v>420601</v>
      </c>
      <c r="BP195" s="198">
        <v>80441.11767227948</v>
      </c>
      <c r="BQ195" s="198">
        <v>474631</v>
      </c>
      <c r="BR195" s="198">
        <v>148166</v>
      </c>
      <c r="BS195" s="198">
        <v>409995.1621572207</v>
      </c>
      <c r="BT195" s="198">
        <v>23164.831209844506</v>
      </c>
      <c r="BU195" s="198">
        <v>70872.7202046957</v>
      </c>
      <c r="BV195" s="198">
        <v>175906.08465712712</v>
      </c>
      <c r="BW195" s="198">
        <v>273244.3247078495</v>
      </c>
      <c r="BX195" s="198">
        <v>414.81</v>
      </c>
      <c r="BY195" s="198">
        <v>49282.06594615624</v>
      </c>
      <c r="BZ195" s="198">
        <v>2126719.116555173</v>
      </c>
      <c r="CA195" s="198">
        <v>2039470.7465551728</v>
      </c>
      <c r="CB195" s="198">
        <v>317967.0003368296</v>
      </c>
      <c r="CC195" s="232">
        <v>4770705.113473684</v>
      </c>
      <c r="CD195" s="198">
        <v>-650514</v>
      </c>
      <c r="CE195" s="198">
        <v>-66234.42198000001</v>
      </c>
      <c r="CH195" s="198">
        <v>4664</v>
      </c>
    </row>
    <row r="196" spans="1:86" ht="11.25">
      <c r="A196" s="198">
        <v>608</v>
      </c>
      <c r="B196" s="198" t="s">
        <v>271</v>
      </c>
      <c r="C196" s="198">
        <v>2275</v>
      </c>
      <c r="D196" s="198">
        <v>8750040.540000001</v>
      </c>
      <c r="E196" s="198">
        <v>3383316.088094433</v>
      </c>
      <c r="F196" s="198">
        <v>586642.5591833093</v>
      </c>
      <c r="G196" s="198">
        <v>12719999.187277744</v>
      </c>
      <c r="H196" s="198">
        <v>3642.26</v>
      </c>
      <c r="I196" s="198">
        <v>8286141.500000001</v>
      </c>
      <c r="J196" s="198">
        <v>4433857.687277743</v>
      </c>
      <c r="K196" s="198">
        <v>37946.23991861568</v>
      </c>
      <c r="L196" s="198">
        <v>685720.9345446033</v>
      </c>
      <c r="M196" s="198">
        <v>665897.7907886449</v>
      </c>
      <c r="N196" s="198">
        <v>5823422.652529607</v>
      </c>
      <c r="O196" s="198">
        <v>2013843.8584390238</v>
      </c>
      <c r="P196" s="198">
        <v>7837266.51096863</v>
      </c>
      <c r="Q196" s="198">
        <v>120</v>
      </c>
      <c r="R196" s="198">
        <v>24</v>
      </c>
      <c r="S196" s="198">
        <v>153</v>
      </c>
      <c r="T196" s="198">
        <v>86</v>
      </c>
      <c r="U196" s="198">
        <v>88</v>
      </c>
      <c r="V196" s="198">
        <v>1184</v>
      </c>
      <c r="W196" s="198">
        <v>309</v>
      </c>
      <c r="X196" s="198">
        <v>230</v>
      </c>
      <c r="Y196" s="198">
        <v>81</v>
      </c>
      <c r="Z196" s="198">
        <v>2250</v>
      </c>
      <c r="AA196" s="198">
        <v>2</v>
      </c>
      <c r="AB196" s="198">
        <v>0</v>
      </c>
      <c r="AC196" s="198">
        <v>23</v>
      </c>
      <c r="AD196" s="198">
        <v>301.08</v>
      </c>
      <c r="AE196" s="198">
        <v>7.556131260794474</v>
      </c>
      <c r="AF196" s="198">
        <v>620</v>
      </c>
      <c r="AG196" s="198">
        <v>3383316.088094433</v>
      </c>
      <c r="AH196" s="198">
        <v>2030700.394448291</v>
      </c>
      <c r="AI196" s="198">
        <v>848895.9430487743</v>
      </c>
      <c r="AJ196" s="198">
        <v>503719.75059736776</v>
      </c>
      <c r="AK196" s="198">
        <v>131</v>
      </c>
      <c r="AL196" s="198">
        <v>1028</v>
      </c>
      <c r="AM196" s="198">
        <v>1.0222484776164609</v>
      </c>
      <c r="AN196" s="198">
        <v>23</v>
      </c>
      <c r="AO196" s="198">
        <v>0.01010989010989011</v>
      </c>
      <c r="AP196" s="198">
        <v>0.008386346504236888</v>
      </c>
      <c r="AQ196" s="198">
        <v>0</v>
      </c>
      <c r="AR196" s="198">
        <v>2</v>
      </c>
      <c r="AS196" s="198">
        <v>0</v>
      </c>
      <c r="AT196" s="198">
        <v>0</v>
      </c>
      <c r="AU196" s="198">
        <v>301.08</v>
      </c>
      <c r="AV196" s="198">
        <v>7.556131260794474</v>
      </c>
      <c r="AW196" s="198">
        <v>2.3824958394102076</v>
      </c>
      <c r="AX196" s="198">
        <v>125</v>
      </c>
      <c r="AY196" s="198">
        <v>643</v>
      </c>
      <c r="AZ196" s="198">
        <v>0.19440124416796267</v>
      </c>
      <c r="BA196" s="198">
        <v>0.1307123854723105</v>
      </c>
      <c r="BB196" s="198">
        <v>0</v>
      </c>
      <c r="BC196" s="198">
        <v>582</v>
      </c>
      <c r="BD196" s="198">
        <v>839</v>
      </c>
      <c r="BE196" s="198">
        <v>0.6936829558998808</v>
      </c>
      <c r="BF196" s="198">
        <v>0.2640441016034923</v>
      </c>
      <c r="BG196" s="198">
        <v>0</v>
      </c>
      <c r="BH196" s="198">
        <v>0</v>
      </c>
      <c r="BI196" s="198">
        <v>-227.5</v>
      </c>
      <c r="BJ196" s="198">
        <v>-546</v>
      </c>
      <c r="BK196" s="198">
        <v>-9327.5</v>
      </c>
      <c r="BL196" s="198">
        <v>-841.75</v>
      </c>
      <c r="BM196" s="198">
        <v>-12125.75</v>
      </c>
      <c r="BN196" s="198">
        <v>-273</v>
      </c>
      <c r="BO196" s="198">
        <v>69250</v>
      </c>
      <c r="BP196" s="198">
        <v>-60503.46341793239</v>
      </c>
      <c r="BQ196" s="198">
        <v>227685</v>
      </c>
      <c r="BR196" s="198">
        <v>68669</v>
      </c>
      <c r="BS196" s="198">
        <v>174137.51447144392</v>
      </c>
      <c r="BT196" s="198">
        <v>9685.854308653408</v>
      </c>
      <c r="BU196" s="198">
        <v>19472.155895094435</v>
      </c>
      <c r="BV196" s="198">
        <v>85293.42274896333</v>
      </c>
      <c r="BW196" s="198">
        <v>125475.14480680958</v>
      </c>
      <c r="BX196" s="198">
        <v>204.75</v>
      </c>
      <c r="BY196" s="198">
        <v>9417.305731571021</v>
      </c>
      <c r="BZ196" s="198">
        <v>728786.6845446033</v>
      </c>
      <c r="CA196" s="198">
        <v>685720.9345446033</v>
      </c>
      <c r="CB196" s="198">
        <v>665897.7907886449</v>
      </c>
      <c r="CC196" s="232">
        <v>2013843.8584390238</v>
      </c>
      <c r="CD196" s="198">
        <v>177063</v>
      </c>
      <c r="CE196" s="198">
        <v>-41902.39330000001</v>
      </c>
      <c r="CH196" s="198">
        <v>2340</v>
      </c>
    </row>
    <row r="197" spans="1:86" ht="11.25">
      <c r="A197" s="198">
        <v>609</v>
      </c>
      <c r="B197" s="198" t="s">
        <v>272</v>
      </c>
      <c r="C197" s="198">
        <v>85418</v>
      </c>
      <c r="D197" s="198">
        <v>294957355.3</v>
      </c>
      <c r="E197" s="198">
        <v>99501360.12849888</v>
      </c>
      <c r="F197" s="198">
        <v>16386552.578936582</v>
      </c>
      <c r="G197" s="198">
        <v>410845268.00743544</v>
      </c>
      <c r="H197" s="198">
        <v>3642.26</v>
      </c>
      <c r="I197" s="198">
        <v>311114564.68</v>
      </c>
      <c r="J197" s="198">
        <v>99730703.32743543</v>
      </c>
      <c r="K197" s="198">
        <v>3395391.6458046827</v>
      </c>
      <c r="L197" s="198">
        <v>21985123.637234554</v>
      </c>
      <c r="M197" s="198">
        <v>6903796.890654304</v>
      </c>
      <c r="N197" s="198">
        <v>132015015.50112899</v>
      </c>
      <c r="O197" s="198">
        <v>18387319.689593088</v>
      </c>
      <c r="P197" s="198">
        <v>150402335.19072208</v>
      </c>
      <c r="Q197" s="198">
        <v>5024</v>
      </c>
      <c r="R197" s="198">
        <v>830</v>
      </c>
      <c r="S197" s="198">
        <v>5108</v>
      </c>
      <c r="T197" s="198">
        <v>2461</v>
      </c>
      <c r="U197" s="198">
        <v>2755</v>
      </c>
      <c r="V197" s="198">
        <v>49344</v>
      </c>
      <c r="W197" s="198">
        <v>10914</v>
      </c>
      <c r="X197" s="198">
        <v>6541</v>
      </c>
      <c r="Y197" s="198">
        <v>2441</v>
      </c>
      <c r="Z197" s="198">
        <v>82800</v>
      </c>
      <c r="AA197" s="198">
        <v>444</v>
      </c>
      <c r="AB197" s="198">
        <v>1</v>
      </c>
      <c r="AC197" s="198">
        <v>2173</v>
      </c>
      <c r="AD197" s="198">
        <v>1155.4099999999999</v>
      </c>
      <c r="AE197" s="198">
        <v>73.92873525415222</v>
      </c>
      <c r="AF197" s="198">
        <v>19896</v>
      </c>
      <c r="AG197" s="198">
        <v>99501360.12849888</v>
      </c>
      <c r="AH197" s="198">
        <v>62261672.040460564</v>
      </c>
      <c r="AI197" s="198">
        <v>22084671.453686483</v>
      </c>
      <c r="AJ197" s="198">
        <v>15155016.63435184</v>
      </c>
      <c r="AK197" s="198">
        <v>5952</v>
      </c>
      <c r="AL197" s="198">
        <v>39869</v>
      </c>
      <c r="AM197" s="198">
        <v>1.197583686010391</v>
      </c>
      <c r="AN197" s="198">
        <v>2173</v>
      </c>
      <c r="AO197" s="198">
        <v>0.025439602894003606</v>
      </c>
      <c r="AP197" s="198">
        <v>0.023716059288350383</v>
      </c>
      <c r="AQ197" s="198">
        <v>0</v>
      </c>
      <c r="AR197" s="198">
        <v>444</v>
      </c>
      <c r="AS197" s="198">
        <v>1</v>
      </c>
      <c r="AT197" s="198">
        <v>0</v>
      </c>
      <c r="AU197" s="198">
        <v>1155.4099999999999</v>
      </c>
      <c r="AV197" s="198">
        <v>73.92873525415222</v>
      </c>
      <c r="AW197" s="198">
        <v>0.24351087880769787</v>
      </c>
      <c r="AX197" s="198">
        <v>3283</v>
      </c>
      <c r="AY197" s="198">
        <v>25438</v>
      </c>
      <c r="AZ197" s="198">
        <v>0.1290588882773803</v>
      </c>
      <c r="BA197" s="198">
        <v>0.06537002958172812</v>
      </c>
      <c r="BB197" s="198">
        <v>0</v>
      </c>
      <c r="BC197" s="198">
        <v>35921</v>
      </c>
      <c r="BD197" s="198">
        <v>33923</v>
      </c>
      <c r="BE197" s="198">
        <v>1.0588980927394394</v>
      </c>
      <c r="BF197" s="198">
        <v>0.6292592384430509</v>
      </c>
      <c r="BG197" s="198">
        <v>0</v>
      </c>
      <c r="BH197" s="198">
        <v>1</v>
      </c>
      <c r="BI197" s="198">
        <v>-8541.800000000001</v>
      </c>
      <c r="BJ197" s="198">
        <v>-20500.32</v>
      </c>
      <c r="BK197" s="198">
        <v>-350213.8</v>
      </c>
      <c r="BL197" s="198">
        <v>-31604.66</v>
      </c>
      <c r="BM197" s="198">
        <v>-455277.94</v>
      </c>
      <c r="BN197" s="198">
        <v>-10250.16</v>
      </c>
      <c r="BO197" s="198">
        <v>2961916</v>
      </c>
      <c r="BP197" s="198">
        <v>391170.84370395355</v>
      </c>
      <c r="BQ197" s="198">
        <v>5977751</v>
      </c>
      <c r="BR197" s="198">
        <v>2064395</v>
      </c>
      <c r="BS197" s="198">
        <v>4911326.570886874</v>
      </c>
      <c r="BT197" s="198">
        <v>211502.83104590638</v>
      </c>
      <c r="BU197" s="198">
        <v>284484.42643885675</v>
      </c>
      <c r="BV197" s="198">
        <v>2351587.2856159857</v>
      </c>
      <c r="BW197" s="198">
        <v>4143203.310006496</v>
      </c>
      <c r="BX197" s="198">
        <v>7687.62</v>
      </c>
      <c r="BY197" s="198">
        <v>297061.489536478</v>
      </c>
      <c r="BZ197" s="198">
        <v>23602086.377234552</v>
      </c>
      <c r="CA197" s="198">
        <v>21985123.637234554</v>
      </c>
      <c r="CB197" s="198">
        <v>6903796.890654304</v>
      </c>
      <c r="CC197" s="232">
        <v>18387319.689593088</v>
      </c>
      <c r="CD197" s="198">
        <v>-8426266</v>
      </c>
      <c r="CE197" s="198">
        <v>-2194511.145714</v>
      </c>
      <c r="CH197" s="198">
        <v>85399</v>
      </c>
    </row>
    <row r="198" spans="1:86" ht="11.25">
      <c r="A198" s="198">
        <v>611</v>
      </c>
      <c r="B198" s="198" t="s">
        <v>273</v>
      </c>
      <c r="C198" s="198">
        <v>5148</v>
      </c>
      <c r="D198" s="198">
        <v>19188569.28</v>
      </c>
      <c r="E198" s="198">
        <v>4048406.001587173</v>
      </c>
      <c r="F198" s="198">
        <v>700094.106706648</v>
      </c>
      <c r="G198" s="198">
        <v>23937069.388293825</v>
      </c>
      <c r="H198" s="198">
        <v>3642.26</v>
      </c>
      <c r="I198" s="198">
        <v>18750354.48</v>
      </c>
      <c r="J198" s="198">
        <v>5186714.908293825</v>
      </c>
      <c r="K198" s="198">
        <v>0</v>
      </c>
      <c r="L198" s="198">
        <v>871278.0013703447</v>
      </c>
      <c r="M198" s="198">
        <v>-26802.278143202922</v>
      </c>
      <c r="N198" s="198">
        <v>6031190.631520966</v>
      </c>
      <c r="O198" s="198">
        <v>1289515.7502000004</v>
      </c>
      <c r="P198" s="198">
        <v>7320706.381720967</v>
      </c>
      <c r="Q198" s="198">
        <v>406</v>
      </c>
      <c r="R198" s="198">
        <v>74</v>
      </c>
      <c r="S198" s="198">
        <v>567</v>
      </c>
      <c r="T198" s="198">
        <v>262</v>
      </c>
      <c r="U198" s="198">
        <v>240</v>
      </c>
      <c r="V198" s="198">
        <v>2921</v>
      </c>
      <c r="W198" s="198">
        <v>427</v>
      </c>
      <c r="X198" s="198">
        <v>187</v>
      </c>
      <c r="Y198" s="198">
        <v>64</v>
      </c>
      <c r="Z198" s="198">
        <v>4947</v>
      </c>
      <c r="AA198" s="198">
        <v>109</v>
      </c>
      <c r="AB198" s="198">
        <v>0</v>
      </c>
      <c r="AC198" s="198">
        <v>92</v>
      </c>
      <c r="AD198" s="198">
        <v>146.5</v>
      </c>
      <c r="AE198" s="198">
        <v>35.13993174061434</v>
      </c>
      <c r="AF198" s="198">
        <v>678</v>
      </c>
      <c r="AG198" s="198">
        <v>4048406.001587173</v>
      </c>
      <c r="AH198" s="198">
        <v>2385498.187795001</v>
      </c>
      <c r="AI198" s="198">
        <v>1193927.35633945</v>
      </c>
      <c r="AJ198" s="198">
        <v>468980.45745272184</v>
      </c>
      <c r="AK198" s="198">
        <v>168</v>
      </c>
      <c r="AL198" s="198">
        <v>2550</v>
      </c>
      <c r="AM198" s="198">
        <v>0.5285029219526217</v>
      </c>
      <c r="AN198" s="198">
        <v>92</v>
      </c>
      <c r="AO198" s="198">
        <v>0.017871017871017872</v>
      </c>
      <c r="AP198" s="198">
        <v>0.01614747426536465</v>
      </c>
      <c r="AQ198" s="198">
        <v>0</v>
      </c>
      <c r="AR198" s="198">
        <v>109</v>
      </c>
      <c r="AS198" s="198">
        <v>0</v>
      </c>
      <c r="AT198" s="198">
        <v>0</v>
      </c>
      <c r="AU198" s="198">
        <v>146.5</v>
      </c>
      <c r="AV198" s="198">
        <v>35.13993174061434</v>
      </c>
      <c r="AW198" s="198">
        <v>0.512307520224156</v>
      </c>
      <c r="AX198" s="198">
        <v>274</v>
      </c>
      <c r="AY198" s="198">
        <v>1828</v>
      </c>
      <c r="AZ198" s="198">
        <v>0.14989059080962802</v>
      </c>
      <c r="BA198" s="198">
        <v>0.08620173211397585</v>
      </c>
      <c r="BB198" s="198">
        <v>0</v>
      </c>
      <c r="BC198" s="198">
        <v>1035</v>
      </c>
      <c r="BD198" s="198">
        <v>2409</v>
      </c>
      <c r="BE198" s="198">
        <v>0.42963885429638854</v>
      </c>
      <c r="BF198" s="198">
        <v>0</v>
      </c>
      <c r="BG198" s="198">
        <v>0</v>
      </c>
      <c r="BH198" s="198">
        <v>0</v>
      </c>
      <c r="BI198" s="198">
        <v>-514.8000000000001</v>
      </c>
      <c r="BJ198" s="198">
        <v>-1235.52</v>
      </c>
      <c r="BK198" s="198">
        <v>-21106.8</v>
      </c>
      <c r="BL198" s="198">
        <v>-1904.76</v>
      </c>
      <c r="BM198" s="198">
        <v>-27438.84</v>
      </c>
      <c r="BN198" s="198">
        <v>-617.76</v>
      </c>
      <c r="BO198" s="198">
        <v>-12387</v>
      </c>
      <c r="BP198" s="198">
        <v>-66364.87476905528</v>
      </c>
      <c r="BQ198" s="198">
        <v>383656</v>
      </c>
      <c r="BR198" s="198">
        <v>117909</v>
      </c>
      <c r="BS198" s="198">
        <v>224768.97935533107</v>
      </c>
      <c r="BT198" s="198">
        <v>-45.47227589964298</v>
      </c>
      <c r="BU198" s="198">
        <v>9676.06178048576</v>
      </c>
      <c r="BV198" s="198">
        <v>53223.876379360496</v>
      </c>
      <c r="BW198" s="198">
        <v>239507.58642744023</v>
      </c>
      <c r="BX198" s="198">
        <v>463.32</v>
      </c>
      <c r="BY198" s="198">
        <v>18322.164472681998</v>
      </c>
      <c r="BZ198" s="198">
        <v>968729.6413703447</v>
      </c>
      <c r="CA198" s="198">
        <v>871278.0013703447</v>
      </c>
      <c r="CB198" s="198">
        <v>-26802.278143202922</v>
      </c>
      <c r="CC198" s="232">
        <v>1289515.7502000004</v>
      </c>
      <c r="CD198" s="198">
        <v>-1327272</v>
      </c>
      <c r="CE198" s="198">
        <v>-127936.16307999997</v>
      </c>
      <c r="CH198" s="198">
        <v>5145</v>
      </c>
    </row>
    <row r="199" spans="1:86" ht="11.25">
      <c r="A199" s="198">
        <v>638</v>
      </c>
      <c r="B199" s="198" t="s">
        <v>274</v>
      </c>
      <c r="C199" s="198">
        <v>49728</v>
      </c>
      <c r="D199" s="198">
        <v>170874327.3</v>
      </c>
      <c r="E199" s="198">
        <v>47423867.46529535</v>
      </c>
      <c r="F199" s="198">
        <v>15627288.144456472</v>
      </c>
      <c r="G199" s="198">
        <v>233925482.90975183</v>
      </c>
      <c r="H199" s="198">
        <v>3642.26</v>
      </c>
      <c r="I199" s="198">
        <v>181122305.28</v>
      </c>
      <c r="J199" s="198">
        <v>52803177.62975183</v>
      </c>
      <c r="K199" s="198">
        <v>1547759.6370268404</v>
      </c>
      <c r="L199" s="198">
        <v>8965810.400107365</v>
      </c>
      <c r="M199" s="198">
        <v>0</v>
      </c>
      <c r="N199" s="198">
        <v>63316747.66688603</v>
      </c>
      <c r="O199" s="198">
        <v>-7868752.940123772</v>
      </c>
      <c r="P199" s="198">
        <v>55447994.72676226</v>
      </c>
      <c r="Q199" s="198">
        <v>3362</v>
      </c>
      <c r="R199" s="198">
        <v>579</v>
      </c>
      <c r="S199" s="198">
        <v>3676</v>
      </c>
      <c r="T199" s="198">
        <v>1808</v>
      </c>
      <c r="U199" s="198">
        <v>1808</v>
      </c>
      <c r="V199" s="198">
        <v>29323</v>
      </c>
      <c r="W199" s="198">
        <v>5535</v>
      </c>
      <c r="X199" s="198">
        <v>2645</v>
      </c>
      <c r="Y199" s="198">
        <v>992</v>
      </c>
      <c r="Z199" s="198">
        <v>32105</v>
      </c>
      <c r="AA199" s="198">
        <v>14961</v>
      </c>
      <c r="AB199" s="198">
        <v>1</v>
      </c>
      <c r="AC199" s="198">
        <v>2661</v>
      </c>
      <c r="AD199" s="198">
        <v>654.51</v>
      </c>
      <c r="AE199" s="198">
        <v>75.9774487784755</v>
      </c>
      <c r="AF199" s="198">
        <v>9172</v>
      </c>
      <c r="AG199" s="198">
        <v>47423867.46529535</v>
      </c>
      <c r="AH199" s="198">
        <v>27808103.395357117</v>
      </c>
      <c r="AI199" s="198">
        <v>13666660.118917603</v>
      </c>
      <c r="AJ199" s="198">
        <v>5949103.9510206375</v>
      </c>
      <c r="AK199" s="198">
        <v>2361</v>
      </c>
      <c r="AL199" s="198">
        <v>24645</v>
      </c>
      <c r="AM199" s="198">
        <v>0.7685028033218987</v>
      </c>
      <c r="AN199" s="198">
        <v>2661</v>
      </c>
      <c r="AO199" s="198">
        <v>0.05351110038610039</v>
      </c>
      <c r="AP199" s="198">
        <v>0.051787556780447164</v>
      </c>
      <c r="AQ199" s="198">
        <v>1</v>
      </c>
      <c r="AR199" s="198">
        <v>14961</v>
      </c>
      <c r="AS199" s="198">
        <v>1</v>
      </c>
      <c r="AT199" s="198">
        <v>1</v>
      </c>
      <c r="AU199" s="198">
        <v>654.51</v>
      </c>
      <c r="AV199" s="198">
        <v>75.9774487784755</v>
      </c>
      <c r="AW199" s="198">
        <v>0.23694466687568425</v>
      </c>
      <c r="AX199" s="198">
        <v>2500</v>
      </c>
      <c r="AY199" s="198">
        <v>16611</v>
      </c>
      <c r="AZ199" s="198">
        <v>0.15050267894768526</v>
      </c>
      <c r="BA199" s="198">
        <v>0.08681382025203309</v>
      </c>
      <c r="BB199" s="198">
        <v>0</v>
      </c>
      <c r="BC199" s="198">
        <v>20668</v>
      </c>
      <c r="BD199" s="198">
        <v>22408</v>
      </c>
      <c r="BE199" s="198">
        <v>0.9223491610139236</v>
      </c>
      <c r="BF199" s="198">
        <v>0.4927103067175351</v>
      </c>
      <c r="BG199" s="198">
        <v>0</v>
      </c>
      <c r="BH199" s="198">
        <v>1</v>
      </c>
      <c r="BI199" s="198">
        <v>-4972.8</v>
      </c>
      <c r="BJ199" s="198">
        <v>-11934.72</v>
      </c>
      <c r="BK199" s="198">
        <v>-203884.8</v>
      </c>
      <c r="BL199" s="198">
        <v>-18399.36</v>
      </c>
      <c r="BM199" s="198">
        <v>-265050.24</v>
      </c>
      <c r="BN199" s="198">
        <v>-5967.36</v>
      </c>
      <c r="BO199" s="198">
        <v>340227</v>
      </c>
      <c r="BP199" s="198">
        <v>-441406.7972930819</v>
      </c>
      <c r="BQ199" s="198">
        <v>3312713</v>
      </c>
      <c r="BR199" s="198">
        <v>1135672</v>
      </c>
      <c r="BS199" s="198">
        <v>2360718.5689561497</v>
      </c>
      <c r="BT199" s="198">
        <v>50410.92073674268</v>
      </c>
      <c r="BU199" s="198">
        <v>227364.6802771861</v>
      </c>
      <c r="BV199" s="198">
        <v>805241.288831554</v>
      </c>
      <c r="BW199" s="198">
        <v>2256612.899336743</v>
      </c>
      <c r="BX199" s="198">
        <v>4475.5199999999995</v>
      </c>
      <c r="BY199" s="198">
        <v>-144867.640737931</v>
      </c>
      <c r="BZ199" s="198">
        <v>9907161.440107364</v>
      </c>
      <c r="CA199" s="198">
        <v>8965810.400107365</v>
      </c>
      <c r="CB199" s="198">
        <v>0</v>
      </c>
      <c r="CC199" s="232">
        <v>-7868752.940123772</v>
      </c>
      <c r="CD199" s="198">
        <v>-4893111</v>
      </c>
      <c r="CE199" s="198">
        <v>223645.46319999977</v>
      </c>
      <c r="CH199" s="198">
        <v>49426</v>
      </c>
    </row>
    <row r="200" spans="1:86" ht="11.25">
      <c r="A200" s="198">
        <v>614</v>
      </c>
      <c r="B200" s="198" t="s">
        <v>275</v>
      </c>
      <c r="C200" s="198">
        <v>3633</v>
      </c>
      <c r="D200" s="198">
        <v>12500154.639999999</v>
      </c>
      <c r="E200" s="198">
        <v>7300691.22363988</v>
      </c>
      <c r="F200" s="198">
        <v>2874531.987718479</v>
      </c>
      <c r="G200" s="198">
        <v>22675377.851358358</v>
      </c>
      <c r="H200" s="198">
        <v>3642.26</v>
      </c>
      <c r="I200" s="198">
        <v>13232330.58</v>
      </c>
      <c r="J200" s="198">
        <v>9443047.271358358</v>
      </c>
      <c r="K200" s="198">
        <v>1812242.5151489628</v>
      </c>
      <c r="L200" s="198">
        <v>1159661.3416175316</v>
      </c>
      <c r="M200" s="198">
        <v>0</v>
      </c>
      <c r="N200" s="198">
        <v>12414951.128124852</v>
      </c>
      <c r="O200" s="198">
        <v>3647835.2300000004</v>
      </c>
      <c r="P200" s="198">
        <v>16062786.358124852</v>
      </c>
      <c r="Q200" s="198">
        <v>126</v>
      </c>
      <c r="R200" s="198">
        <v>25</v>
      </c>
      <c r="S200" s="198">
        <v>169</v>
      </c>
      <c r="T200" s="198">
        <v>110</v>
      </c>
      <c r="U200" s="198">
        <v>124</v>
      </c>
      <c r="V200" s="198">
        <v>1916</v>
      </c>
      <c r="W200" s="198">
        <v>667</v>
      </c>
      <c r="X200" s="198">
        <v>381</v>
      </c>
      <c r="Y200" s="198">
        <v>115</v>
      </c>
      <c r="Z200" s="198">
        <v>3601</v>
      </c>
      <c r="AA200" s="198">
        <v>3</v>
      </c>
      <c r="AB200" s="198">
        <v>1</v>
      </c>
      <c r="AC200" s="198">
        <v>28</v>
      </c>
      <c r="AD200" s="198">
        <v>3039.16</v>
      </c>
      <c r="AE200" s="198">
        <v>1.1953960962897643</v>
      </c>
      <c r="AF200" s="198">
        <v>1163</v>
      </c>
      <c r="AG200" s="198">
        <v>7300691.22363988</v>
      </c>
      <c r="AH200" s="198">
        <v>4218967.482160285</v>
      </c>
      <c r="AI200" s="198">
        <v>2126393.1800018284</v>
      </c>
      <c r="AJ200" s="198">
        <v>955330.5614777664</v>
      </c>
      <c r="AK200" s="198">
        <v>284</v>
      </c>
      <c r="AL200" s="198">
        <v>1540</v>
      </c>
      <c r="AM200" s="198">
        <v>1.479366945261629</v>
      </c>
      <c r="AN200" s="198">
        <v>28</v>
      </c>
      <c r="AO200" s="198">
        <v>0.007707129094412331</v>
      </c>
      <c r="AP200" s="198">
        <v>0.005983585488759108</v>
      </c>
      <c r="AQ200" s="198">
        <v>0</v>
      </c>
      <c r="AR200" s="198">
        <v>3</v>
      </c>
      <c r="AS200" s="198">
        <v>1</v>
      </c>
      <c r="AT200" s="198">
        <v>0</v>
      </c>
      <c r="AU200" s="198">
        <v>3039.16</v>
      </c>
      <c r="AV200" s="198">
        <v>1.1953960962897643</v>
      </c>
      <c r="AW200" s="198">
        <v>15.05982104739653</v>
      </c>
      <c r="AX200" s="198">
        <v>182</v>
      </c>
      <c r="AY200" s="198">
        <v>962</v>
      </c>
      <c r="AZ200" s="198">
        <v>0.1891891891891892</v>
      </c>
      <c r="BA200" s="198">
        <v>0.12550033049353704</v>
      </c>
      <c r="BB200" s="198">
        <v>1.4972</v>
      </c>
      <c r="BC200" s="198">
        <v>1073</v>
      </c>
      <c r="BD200" s="198">
        <v>1159</v>
      </c>
      <c r="BE200" s="198">
        <v>0.9257981018119068</v>
      </c>
      <c r="BF200" s="198">
        <v>0.49615924751551826</v>
      </c>
      <c r="BG200" s="198">
        <v>0</v>
      </c>
      <c r="BH200" s="198">
        <v>1</v>
      </c>
      <c r="BI200" s="198">
        <v>-363.3</v>
      </c>
      <c r="BJ200" s="198">
        <v>-871.92</v>
      </c>
      <c r="BK200" s="198">
        <v>-14895.3</v>
      </c>
      <c r="BL200" s="198">
        <v>-1344.21</v>
      </c>
      <c r="BM200" s="198">
        <v>-19363.89</v>
      </c>
      <c r="BN200" s="198">
        <v>-435.96</v>
      </c>
      <c r="BO200" s="198">
        <v>73754</v>
      </c>
      <c r="BP200" s="198">
        <v>-161676.7909724284</v>
      </c>
      <c r="BQ200" s="198">
        <v>388225</v>
      </c>
      <c r="BR200" s="198">
        <v>132356</v>
      </c>
      <c r="BS200" s="198">
        <v>346191.88857336773</v>
      </c>
      <c r="BT200" s="198">
        <v>20772.919122280637</v>
      </c>
      <c r="BU200" s="198">
        <v>57066.91880422467</v>
      </c>
      <c r="BV200" s="198">
        <v>160530.7477414575</v>
      </c>
      <c r="BW200" s="198">
        <v>210738.23541370383</v>
      </c>
      <c r="BX200" s="198">
        <v>326.96999999999997</v>
      </c>
      <c r="BY200" s="198">
        <v>148.1429349255268</v>
      </c>
      <c r="BZ200" s="198">
        <v>1228434.0316175316</v>
      </c>
      <c r="CA200" s="198">
        <v>1159661.3416175316</v>
      </c>
      <c r="CB200" s="198">
        <v>0</v>
      </c>
      <c r="CC200" s="232">
        <v>3647835.2300000004</v>
      </c>
      <c r="CD200" s="198">
        <v>-167362</v>
      </c>
      <c r="CE200" s="198">
        <v>-48688.9622</v>
      </c>
      <c r="CH200" s="198">
        <v>3647</v>
      </c>
    </row>
    <row r="201" spans="1:86" ht="11.25">
      <c r="A201" s="198">
        <v>615</v>
      </c>
      <c r="B201" s="198" t="s">
        <v>276</v>
      </c>
      <c r="C201" s="198">
        <v>8399</v>
      </c>
      <c r="D201" s="198">
        <v>32004046.33</v>
      </c>
      <c r="E201" s="198">
        <v>15168608.176994337</v>
      </c>
      <c r="F201" s="198">
        <v>5577314.42475744</v>
      </c>
      <c r="G201" s="198">
        <v>52749968.93175177</v>
      </c>
      <c r="H201" s="198">
        <v>3642.26</v>
      </c>
      <c r="I201" s="198">
        <v>30591341.740000002</v>
      </c>
      <c r="J201" s="198">
        <v>22158627.19175177</v>
      </c>
      <c r="K201" s="198">
        <v>3934201.459155885</v>
      </c>
      <c r="L201" s="198">
        <v>2448007.8628650606</v>
      </c>
      <c r="M201" s="198">
        <v>1791670.3345372153</v>
      </c>
      <c r="N201" s="198">
        <v>30332506.84830993</v>
      </c>
      <c r="O201" s="198">
        <v>8576601.845853657</v>
      </c>
      <c r="P201" s="198">
        <v>38909108.69416359</v>
      </c>
      <c r="Q201" s="198">
        <v>509</v>
      </c>
      <c r="R201" s="198">
        <v>100</v>
      </c>
      <c r="S201" s="198">
        <v>558</v>
      </c>
      <c r="T201" s="198">
        <v>296</v>
      </c>
      <c r="U201" s="198">
        <v>296</v>
      </c>
      <c r="V201" s="198">
        <v>4421</v>
      </c>
      <c r="W201" s="198">
        <v>1130</v>
      </c>
      <c r="X201" s="198">
        <v>805</v>
      </c>
      <c r="Y201" s="198">
        <v>284</v>
      </c>
      <c r="Z201" s="198">
        <v>8233</v>
      </c>
      <c r="AA201" s="198">
        <v>11</v>
      </c>
      <c r="AB201" s="198">
        <v>0</v>
      </c>
      <c r="AC201" s="198">
        <v>155</v>
      </c>
      <c r="AD201" s="198">
        <v>5637.52</v>
      </c>
      <c r="AE201" s="198">
        <v>1.4898395038953298</v>
      </c>
      <c r="AF201" s="198">
        <v>2219</v>
      </c>
      <c r="AG201" s="198">
        <v>15168608.176994337</v>
      </c>
      <c r="AH201" s="198">
        <v>9103714.08190449</v>
      </c>
      <c r="AI201" s="198">
        <v>3728676.6311124</v>
      </c>
      <c r="AJ201" s="198">
        <v>2336217.463977447</v>
      </c>
      <c r="AK201" s="198">
        <v>524</v>
      </c>
      <c r="AL201" s="198">
        <v>3264</v>
      </c>
      <c r="AM201" s="198">
        <v>1.287832640918777</v>
      </c>
      <c r="AN201" s="198">
        <v>155</v>
      </c>
      <c r="AO201" s="198">
        <v>0.018454577925943565</v>
      </c>
      <c r="AP201" s="198">
        <v>0.01673103432029034</v>
      </c>
      <c r="AQ201" s="198">
        <v>0</v>
      </c>
      <c r="AR201" s="198">
        <v>11</v>
      </c>
      <c r="AS201" s="198">
        <v>0</v>
      </c>
      <c r="AT201" s="198">
        <v>0</v>
      </c>
      <c r="AU201" s="198">
        <v>5637.52</v>
      </c>
      <c r="AV201" s="198">
        <v>1.4898395038953298</v>
      </c>
      <c r="AW201" s="198">
        <v>12.083483652978114</v>
      </c>
      <c r="AX201" s="198">
        <v>335</v>
      </c>
      <c r="AY201" s="198">
        <v>2138</v>
      </c>
      <c r="AZ201" s="198">
        <v>0.15668849391955098</v>
      </c>
      <c r="BA201" s="198">
        <v>0.0929996352238988</v>
      </c>
      <c r="BB201" s="198">
        <v>1.3894333333333333</v>
      </c>
      <c r="BC201" s="198">
        <v>2548</v>
      </c>
      <c r="BD201" s="198">
        <v>2608</v>
      </c>
      <c r="BE201" s="198">
        <v>0.9769938650306749</v>
      </c>
      <c r="BF201" s="198">
        <v>0.5473550107342864</v>
      </c>
      <c r="BG201" s="198">
        <v>0</v>
      </c>
      <c r="BH201" s="198">
        <v>0</v>
      </c>
      <c r="BI201" s="198">
        <v>-839.9000000000001</v>
      </c>
      <c r="BJ201" s="198">
        <v>-2015.76</v>
      </c>
      <c r="BK201" s="198">
        <v>-34435.899999999994</v>
      </c>
      <c r="BL201" s="198">
        <v>-3107.63</v>
      </c>
      <c r="BM201" s="198">
        <v>-44766.67</v>
      </c>
      <c r="BN201" s="198">
        <v>-1007.88</v>
      </c>
      <c r="BO201" s="198">
        <v>420717</v>
      </c>
      <c r="BP201" s="198">
        <v>-466887.4905638397</v>
      </c>
      <c r="BQ201" s="198">
        <v>805732</v>
      </c>
      <c r="BR201" s="198">
        <v>241095</v>
      </c>
      <c r="BS201" s="198">
        <v>688020.9831289338</v>
      </c>
      <c r="BT201" s="198">
        <v>36509.242249512936</v>
      </c>
      <c r="BU201" s="198">
        <v>95626.54889223831</v>
      </c>
      <c r="BV201" s="198">
        <v>348466.6260850866</v>
      </c>
      <c r="BW201" s="198">
        <v>449067.025059731</v>
      </c>
      <c r="BX201" s="198">
        <v>755.91</v>
      </c>
      <c r="BY201" s="198">
        <v>-12101.911986603023</v>
      </c>
      <c r="BZ201" s="198">
        <v>2607000.9328650604</v>
      </c>
      <c r="CA201" s="198">
        <v>2448007.8628650606</v>
      </c>
      <c r="CB201" s="198">
        <v>1791670.3345372153</v>
      </c>
      <c r="CC201" s="232">
        <v>8576601.845853657</v>
      </c>
      <c r="CD201" s="198">
        <v>-667846</v>
      </c>
      <c r="CE201" s="198">
        <v>-1768.2436400000006</v>
      </c>
      <c r="CH201" s="198">
        <v>8537</v>
      </c>
    </row>
    <row r="202" spans="1:86" ht="11.25">
      <c r="A202" s="198">
        <v>616</v>
      </c>
      <c r="B202" s="198" t="s">
        <v>277</v>
      </c>
      <c r="C202" s="198">
        <v>2013</v>
      </c>
      <c r="D202" s="198">
        <v>7473869.589999998</v>
      </c>
      <c r="E202" s="198">
        <v>1888519.9283505992</v>
      </c>
      <c r="F202" s="198">
        <v>370377.43058668304</v>
      </c>
      <c r="G202" s="198">
        <v>9732766.94893728</v>
      </c>
      <c r="H202" s="198">
        <v>3642.26</v>
      </c>
      <c r="I202" s="198">
        <v>7331869.380000001</v>
      </c>
      <c r="J202" s="198">
        <v>2400897.5689372793</v>
      </c>
      <c r="K202" s="198">
        <v>11779.306642920348</v>
      </c>
      <c r="L202" s="198">
        <v>573843.2255142045</v>
      </c>
      <c r="M202" s="198">
        <v>0</v>
      </c>
      <c r="N202" s="198">
        <v>2986520.1010944042</v>
      </c>
      <c r="O202" s="198">
        <v>996475.7976190483</v>
      </c>
      <c r="P202" s="198">
        <v>3982995.8987134527</v>
      </c>
      <c r="Q202" s="198">
        <v>123</v>
      </c>
      <c r="R202" s="198">
        <v>25</v>
      </c>
      <c r="S202" s="198">
        <v>152</v>
      </c>
      <c r="T202" s="198">
        <v>88</v>
      </c>
      <c r="U202" s="198">
        <v>89</v>
      </c>
      <c r="V202" s="198">
        <v>1093</v>
      </c>
      <c r="W202" s="198">
        <v>265</v>
      </c>
      <c r="X202" s="198">
        <v>123</v>
      </c>
      <c r="Y202" s="198">
        <v>55</v>
      </c>
      <c r="Z202" s="198">
        <v>1961</v>
      </c>
      <c r="AA202" s="198">
        <v>17</v>
      </c>
      <c r="AB202" s="198">
        <v>0</v>
      </c>
      <c r="AC202" s="198">
        <v>35</v>
      </c>
      <c r="AD202" s="198">
        <v>145.04</v>
      </c>
      <c r="AE202" s="198">
        <v>13.878929950358522</v>
      </c>
      <c r="AF202" s="198">
        <v>443</v>
      </c>
      <c r="AG202" s="198">
        <v>1888519.9283505992</v>
      </c>
      <c r="AH202" s="198">
        <v>1033716.9668843145</v>
      </c>
      <c r="AI202" s="198">
        <v>715845.7888877005</v>
      </c>
      <c r="AJ202" s="198">
        <v>138957.17257858423</v>
      </c>
      <c r="AK202" s="198">
        <v>79</v>
      </c>
      <c r="AL202" s="198">
        <v>986</v>
      </c>
      <c r="AM202" s="198">
        <v>0.6427298465864704</v>
      </c>
      <c r="AN202" s="198">
        <v>35</v>
      </c>
      <c r="AO202" s="198">
        <v>0.017386984600099353</v>
      </c>
      <c r="AP202" s="198">
        <v>0.01566344099444613</v>
      </c>
      <c r="AQ202" s="198">
        <v>0</v>
      </c>
      <c r="AR202" s="198">
        <v>17</v>
      </c>
      <c r="AS202" s="198">
        <v>0</v>
      </c>
      <c r="AT202" s="198">
        <v>0</v>
      </c>
      <c r="AU202" s="198">
        <v>145.04</v>
      </c>
      <c r="AV202" s="198">
        <v>13.878929950358522</v>
      </c>
      <c r="AW202" s="198">
        <v>1.2971065748779285</v>
      </c>
      <c r="AX202" s="198">
        <v>112</v>
      </c>
      <c r="AY202" s="198">
        <v>666</v>
      </c>
      <c r="AZ202" s="198">
        <v>0.16816816816816818</v>
      </c>
      <c r="BA202" s="198">
        <v>0.104479309472516</v>
      </c>
      <c r="BB202" s="198">
        <v>0</v>
      </c>
      <c r="BC202" s="198">
        <v>469</v>
      </c>
      <c r="BD202" s="198">
        <v>898</v>
      </c>
      <c r="BE202" s="198">
        <v>0.522271714922049</v>
      </c>
      <c r="BF202" s="198">
        <v>0.0926328606256605</v>
      </c>
      <c r="BG202" s="198">
        <v>0</v>
      </c>
      <c r="BH202" s="198">
        <v>0</v>
      </c>
      <c r="BI202" s="198">
        <v>-201.3</v>
      </c>
      <c r="BJ202" s="198">
        <v>-483.12</v>
      </c>
      <c r="BK202" s="198">
        <v>-8253.3</v>
      </c>
      <c r="BL202" s="198">
        <v>-744.81</v>
      </c>
      <c r="BM202" s="198">
        <v>-10729.29</v>
      </c>
      <c r="BN202" s="198">
        <v>-241.56</v>
      </c>
      <c r="BO202" s="198">
        <v>3269</v>
      </c>
      <c r="BP202" s="198">
        <v>50486.45994817</v>
      </c>
      <c r="BQ202" s="198">
        <v>169950</v>
      </c>
      <c r="BR202" s="198">
        <v>60269</v>
      </c>
      <c r="BS202" s="198">
        <v>134916.29841328936</v>
      </c>
      <c r="BT202" s="198">
        <v>5613.310900917095</v>
      </c>
      <c r="BU202" s="198">
        <v>26742.79937552646</v>
      </c>
      <c r="BV202" s="198">
        <v>40079.038482578464</v>
      </c>
      <c r="BW202" s="198">
        <v>125851.177235822</v>
      </c>
      <c r="BX202" s="198">
        <v>181.17</v>
      </c>
      <c r="BY202" s="198">
        <v>-5408.938842098967</v>
      </c>
      <c r="BZ202" s="198">
        <v>611949.3155142044</v>
      </c>
      <c r="CA202" s="198">
        <v>573843.2255142045</v>
      </c>
      <c r="CB202" s="198">
        <v>0</v>
      </c>
      <c r="CC202" s="232">
        <v>996475.7976190483</v>
      </c>
      <c r="CD202" s="198">
        <v>-536019</v>
      </c>
      <c r="CE202" s="198">
        <v>-1017362.7140000002</v>
      </c>
      <c r="CH202" s="198">
        <v>2036</v>
      </c>
    </row>
    <row r="203" spans="1:86" ht="11.25">
      <c r="A203" s="198">
        <v>619</v>
      </c>
      <c r="B203" s="198" t="s">
        <v>278</v>
      </c>
      <c r="C203" s="198">
        <v>3117</v>
      </c>
      <c r="D203" s="198">
        <v>12498356.78</v>
      </c>
      <c r="E203" s="198">
        <v>4395623.681757084</v>
      </c>
      <c r="F203" s="198">
        <v>845008.6977298872</v>
      </c>
      <c r="G203" s="198">
        <v>17738989.159486968</v>
      </c>
      <c r="H203" s="198">
        <v>3642.26</v>
      </c>
      <c r="I203" s="198">
        <v>11352924.42</v>
      </c>
      <c r="J203" s="198">
        <v>6386064.739486968</v>
      </c>
      <c r="K203" s="198">
        <v>92948.25853249467</v>
      </c>
      <c r="L203" s="198">
        <v>1188577.5799132388</v>
      </c>
      <c r="M203" s="198">
        <v>490733.6233224477</v>
      </c>
      <c r="N203" s="198">
        <v>8158324.201255149</v>
      </c>
      <c r="O203" s="198">
        <v>3012472.457756098</v>
      </c>
      <c r="P203" s="198">
        <v>11170796.659011247</v>
      </c>
      <c r="Q203" s="198">
        <v>141</v>
      </c>
      <c r="R203" s="198">
        <v>27</v>
      </c>
      <c r="S203" s="198">
        <v>170</v>
      </c>
      <c r="T203" s="198">
        <v>105</v>
      </c>
      <c r="U203" s="198">
        <v>116</v>
      </c>
      <c r="V203" s="198">
        <v>1627</v>
      </c>
      <c r="W203" s="198">
        <v>434</v>
      </c>
      <c r="X203" s="198">
        <v>328</v>
      </c>
      <c r="Y203" s="198">
        <v>169</v>
      </c>
      <c r="Z203" s="198">
        <v>3004</v>
      </c>
      <c r="AA203" s="198">
        <v>4</v>
      </c>
      <c r="AB203" s="198">
        <v>0</v>
      </c>
      <c r="AC203" s="198">
        <v>109</v>
      </c>
      <c r="AD203" s="198">
        <v>361.08</v>
      </c>
      <c r="AE203" s="198">
        <v>8.632436025257562</v>
      </c>
      <c r="AF203" s="198">
        <v>931</v>
      </c>
      <c r="AG203" s="198">
        <v>4395623.681757084</v>
      </c>
      <c r="AH203" s="198">
        <v>2661813.8625583625</v>
      </c>
      <c r="AI203" s="198">
        <v>1151926.6590259</v>
      </c>
      <c r="AJ203" s="198">
        <v>581883.1601728215</v>
      </c>
      <c r="AK203" s="198">
        <v>131</v>
      </c>
      <c r="AL203" s="198">
        <v>1318</v>
      </c>
      <c r="AM203" s="198">
        <v>0.7973227883078314</v>
      </c>
      <c r="AN203" s="198">
        <v>109</v>
      </c>
      <c r="AO203" s="198">
        <v>0.03496952197625922</v>
      </c>
      <c r="AP203" s="198">
        <v>0.033245978370606</v>
      </c>
      <c r="AQ203" s="198">
        <v>0</v>
      </c>
      <c r="AR203" s="198">
        <v>4</v>
      </c>
      <c r="AS203" s="198">
        <v>0</v>
      </c>
      <c r="AT203" s="198">
        <v>0</v>
      </c>
      <c r="AU203" s="198">
        <v>361.08</v>
      </c>
      <c r="AV203" s="198">
        <v>8.632436025257562</v>
      </c>
      <c r="AW203" s="198">
        <v>2.0854427693651063</v>
      </c>
      <c r="AX203" s="198">
        <v>156</v>
      </c>
      <c r="AY203" s="198">
        <v>837</v>
      </c>
      <c r="AZ203" s="198">
        <v>0.1863799283154122</v>
      </c>
      <c r="BA203" s="198">
        <v>0.12269106961976002</v>
      </c>
      <c r="BB203" s="198">
        <v>0</v>
      </c>
      <c r="BC203" s="198">
        <v>1064</v>
      </c>
      <c r="BD203" s="198">
        <v>1180</v>
      </c>
      <c r="BE203" s="198">
        <v>0.9016949152542373</v>
      </c>
      <c r="BF203" s="198">
        <v>0.47205606095784874</v>
      </c>
      <c r="BG203" s="198">
        <v>0</v>
      </c>
      <c r="BH203" s="198">
        <v>0</v>
      </c>
      <c r="BI203" s="198">
        <v>-311.70000000000005</v>
      </c>
      <c r="BJ203" s="198">
        <v>-748.0799999999999</v>
      </c>
      <c r="BK203" s="198">
        <v>-12779.699999999999</v>
      </c>
      <c r="BL203" s="198">
        <v>-1153.29</v>
      </c>
      <c r="BM203" s="198">
        <v>-16613.61</v>
      </c>
      <c r="BN203" s="198">
        <v>-374.03999999999996</v>
      </c>
      <c r="BO203" s="198">
        <v>-2031</v>
      </c>
      <c r="BP203" s="198">
        <v>164582.84655112214</v>
      </c>
      <c r="BQ203" s="198">
        <v>336617</v>
      </c>
      <c r="BR203" s="198">
        <v>105974</v>
      </c>
      <c r="BS203" s="198">
        <v>275176.4261463324</v>
      </c>
      <c r="BT203" s="198">
        <v>17270.633688822705</v>
      </c>
      <c r="BU203" s="198">
        <v>36750.65009825855</v>
      </c>
      <c r="BV203" s="198">
        <v>126163.3288833969</v>
      </c>
      <c r="BW203" s="198">
        <v>188773.33155648527</v>
      </c>
      <c r="BX203" s="198">
        <v>280.53</v>
      </c>
      <c r="BY203" s="198">
        <v>-1975.3570111791305</v>
      </c>
      <c r="BZ203" s="198">
        <v>1247582.3899132388</v>
      </c>
      <c r="CA203" s="198">
        <v>1188577.5799132388</v>
      </c>
      <c r="CB203" s="198">
        <v>490733.6233224477</v>
      </c>
      <c r="CC203" s="232">
        <v>3012472.457756098</v>
      </c>
      <c r="CD203" s="198">
        <v>-161011</v>
      </c>
      <c r="CE203" s="198">
        <v>205601.90662</v>
      </c>
      <c r="CH203" s="198">
        <v>3173</v>
      </c>
    </row>
    <row r="204" spans="1:86" ht="11.25">
      <c r="A204" s="198">
        <v>620</v>
      </c>
      <c r="B204" s="198" t="s">
        <v>279</v>
      </c>
      <c r="C204" s="198">
        <v>2824</v>
      </c>
      <c r="D204" s="198">
        <v>10013708.85</v>
      </c>
      <c r="E204" s="198">
        <v>6157710.507907461</v>
      </c>
      <c r="F204" s="198">
        <v>2316568.8552641245</v>
      </c>
      <c r="G204" s="198">
        <v>18487988.213171586</v>
      </c>
      <c r="H204" s="198">
        <v>3642.26</v>
      </c>
      <c r="I204" s="198">
        <v>10285742.24</v>
      </c>
      <c r="J204" s="198">
        <v>8202245.973171586</v>
      </c>
      <c r="K204" s="198">
        <v>3001376.722765849</v>
      </c>
      <c r="L204" s="198">
        <v>964636.1374348643</v>
      </c>
      <c r="M204" s="198">
        <v>-210945.4405249655</v>
      </c>
      <c r="N204" s="198">
        <v>11957313.392847335</v>
      </c>
      <c r="O204" s="198">
        <v>2221671.798380952</v>
      </c>
      <c r="P204" s="198">
        <v>14178985.191228287</v>
      </c>
      <c r="Q204" s="198">
        <v>95</v>
      </c>
      <c r="R204" s="198">
        <v>21</v>
      </c>
      <c r="S204" s="198">
        <v>118</v>
      </c>
      <c r="T204" s="198">
        <v>90</v>
      </c>
      <c r="U204" s="198">
        <v>90</v>
      </c>
      <c r="V204" s="198">
        <v>1495</v>
      </c>
      <c r="W204" s="198">
        <v>509</v>
      </c>
      <c r="X204" s="198">
        <v>297</v>
      </c>
      <c r="Y204" s="198">
        <v>109</v>
      </c>
      <c r="Z204" s="198">
        <v>2771</v>
      </c>
      <c r="AA204" s="198">
        <v>2</v>
      </c>
      <c r="AB204" s="198">
        <v>0</v>
      </c>
      <c r="AC204" s="198">
        <v>51</v>
      </c>
      <c r="AD204" s="198">
        <v>2461.35</v>
      </c>
      <c r="AE204" s="198">
        <v>1.1473378430536088</v>
      </c>
      <c r="AF204" s="198">
        <v>915</v>
      </c>
      <c r="AG204" s="198">
        <v>6157710.507907461</v>
      </c>
      <c r="AH204" s="198">
        <v>3603566.7203640994</v>
      </c>
      <c r="AI204" s="198">
        <v>1859357.924650441</v>
      </c>
      <c r="AJ204" s="198">
        <v>694785.8628929211</v>
      </c>
      <c r="AK204" s="198">
        <v>194</v>
      </c>
      <c r="AL204" s="198">
        <v>1147</v>
      </c>
      <c r="AM204" s="198">
        <v>1.3568024011394215</v>
      </c>
      <c r="AN204" s="198">
        <v>51</v>
      </c>
      <c r="AO204" s="198">
        <v>0.018059490084985835</v>
      </c>
      <c r="AP204" s="198">
        <v>0.016335946479332612</v>
      </c>
      <c r="AQ204" s="198">
        <v>0</v>
      </c>
      <c r="AR204" s="198">
        <v>2</v>
      </c>
      <c r="AS204" s="198">
        <v>0</v>
      </c>
      <c r="AT204" s="198">
        <v>0</v>
      </c>
      <c r="AU204" s="198">
        <v>2461.35</v>
      </c>
      <c r="AV204" s="198">
        <v>1.1473378430536088</v>
      </c>
      <c r="AW204" s="198">
        <v>15.69062800453544</v>
      </c>
      <c r="AX204" s="198">
        <v>125</v>
      </c>
      <c r="AY204" s="198">
        <v>704</v>
      </c>
      <c r="AZ204" s="198">
        <v>0.17755681818181818</v>
      </c>
      <c r="BA204" s="198">
        <v>0.113867959486166</v>
      </c>
      <c r="BB204" s="198">
        <v>1.6508166666666666</v>
      </c>
      <c r="BC204" s="198">
        <v>874</v>
      </c>
      <c r="BD204" s="198">
        <v>935</v>
      </c>
      <c r="BE204" s="198">
        <v>0.9347593582887701</v>
      </c>
      <c r="BF204" s="198">
        <v>0.5051205039923816</v>
      </c>
      <c r="BG204" s="198">
        <v>0</v>
      </c>
      <c r="BH204" s="198">
        <v>0</v>
      </c>
      <c r="BI204" s="198">
        <v>-282.40000000000003</v>
      </c>
      <c r="BJ204" s="198">
        <v>-677.76</v>
      </c>
      <c r="BK204" s="198">
        <v>-11578.4</v>
      </c>
      <c r="BL204" s="198">
        <v>-1044.8799999999999</v>
      </c>
      <c r="BM204" s="198">
        <v>-15051.92</v>
      </c>
      <c r="BN204" s="198">
        <v>-338.88</v>
      </c>
      <c r="BO204" s="198">
        <v>133095</v>
      </c>
      <c r="BP204" s="198">
        <v>-69019.54834536463</v>
      </c>
      <c r="BQ204" s="198">
        <v>322815</v>
      </c>
      <c r="BR204" s="198">
        <v>97700</v>
      </c>
      <c r="BS204" s="198">
        <v>244790.15556027857</v>
      </c>
      <c r="BT204" s="198">
        <v>14632.251434991533</v>
      </c>
      <c r="BU204" s="198">
        <v>24727.2558363038</v>
      </c>
      <c r="BV204" s="198">
        <v>130873.78517567727</v>
      </c>
      <c r="BW204" s="198">
        <v>156526.43995797803</v>
      </c>
      <c r="BX204" s="198">
        <v>254.16</v>
      </c>
      <c r="BY204" s="198">
        <v>-38300.04218500018</v>
      </c>
      <c r="BZ204" s="198">
        <v>1018094.4574348642</v>
      </c>
      <c r="CA204" s="198">
        <v>964636.1374348643</v>
      </c>
      <c r="CB204" s="198">
        <v>-210945.4405249655</v>
      </c>
      <c r="CC204" s="232">
        <v>2221671.798380952</v>
      </c>
      <c r="CD204" s="198">
        <v>-64462</v>
      </c>
      <c r="CE204" s="198">
        <v>-6163.947900000001</v>
      </c>
      <c r="CH204" s="198">
        <v>2878</v>
      </c>
    </row>
    <row r="205" spans="1:86" ht="11.25">
      <c r="A205" s="198">
        <v>623</v>
      </c>
      <c r="B205" s="198" t="s">
        <v>280</v>
      </c>
      <c r="C205" s="198">
        <v>2306</v>
      </c>
      <c r="D205" s="198">
        <v>8151383.1899999995</v>
      </c>
      <c r="E205" s="198">
        <v>4357650.202273619</v>
      </c>
      <c r="F205" s="198">
        <v>1830602.977421587</v>
      </c>
      <c r="G205" s="198">
        <v>14339636.369695207</v>
      </c>
      <c r="H205" s="198">
        <v>3642.26</v>
      </c>
      <c r="I205" s="198">
        <v>8399051.56</v>
      </c>
      <c r="J205" s="198">
        <v>5940584.809695207</v>
      </c>
      <c r="K205" s="198">
        <v>427558.31255306734</v>
      </c>
      <c r="L205" s="198">
        <v>1056491.6641079034</v>
      </c>
      <c r="M205" s="198">
        <v>-45387.57250702754</v>
      </c>
      <c r="N205" s="198">
        <v>7379247.21384915</v>
      </c>
      <c r="O205" s="198">
        <v>1163383.17297561</v>
      </c>
      <c r="P205" s="198">
        <v>8542630.38682476</v>
      </c>
      <c r="Q205" s="198">
        <v>62</v>
      </c>
      <c r="R205" s="198">
        <v>11</v>
      </c>
      <c r="S205" s="198">
        <v>100</v>
      </c>
      <c r="T205" s="198">
        <v>46</v>
      </c>
      <c r="U205" s="198">
        <v>60</v>
      </c>
      <c r="V205" s="198">
        <v>1204</v>
      </c>
      <c r="W205" s="198">
        <v>458</v>
      </c>
      <c r="X205" s="198">
        <v>256</v>
      </c>
      <c r="Y205" s="198">
        <v>109</v>
      </c>
      <c r="Z205" s="198">
        <v>2264</v>
      </c>
      <c r="AA205" s="198">
        <v>4</v>
      </c>
      <c r="AB205" s="198">
        <v>0</v>
      </c>
      <c r="AC205" s="198">
        <v>38</v>
      </c>
      <c r="AD205" s="198">
        <v>794.52</v>
      </c>
      <c r="AE205" s="198">
        <v>2.902381311987112</v>
      </c>
      <c r="AF205" s="198">
        <v>823</v>
      </c>
      <c r="AG205" s="198">
        <v>4357650.202273619</v>
      </c>
      <c r="AH205" s="198">
        <v>2422915.596198431</v>
      </c>
      <c r="AI205" s="198">
        <v>1596026.4979148891</v>
      </c>
      <c r="AJ205" s="198">
        <v>338708.108160299</v>
      </c>
      <c r="AK205" s="198">
        <v>110</v>
      </c>
      <c r="AL205" s="198">
        <v>949</v>
      </c>
      <c r="AM205" s="198">
        <v>0.9298325907453359</v>
      </c>
      <c r="AN205" s="198">
        <v>38</v>
      </c>
      <c r="AO205" s="198">
        <v>0.01647875108412836</v>
      </c>
      <c r="AP205" s="198">
        <v>0.014755207478475137</v>
      </c>
      <c r="AQ205" s="198">
        <v>0</v>
      </c>
      <c r="AR205" s="198">
        <v>4</v>
      </c>
      <c r="AS205" s="198">
        <v>0</v>
      </c>
      <c r="AT205" s="198">
        <v>2</v>
      </c>
      <c r="AU205" s="198">
        <v>794.52</v>
      </c>
      <c r="AV205" s="198">
        <v>2.902381311987112</v>
      </c>
      <c r="AW205" s="198">
        <v>6.2026485687901864</v>
      </c>
      <c r="AX205" s="198">
        <v>99</v>
      </c>
      <c r="AY205" s="198">
        <v>521</v>
      </c>
      <c r="AZ205" s="198">
        <v>0.19001919385796545</v>
      </c>
      <c r="BA205" s="198">
        <v>0.1263303351623133</v>
      </c>
      <c r="BB205" s="198">
        <v>0.7692666666666667</v>
      </c>
      <c r="BC205" s="198">
        <v>673</v>
      </c>
      <c r="BD205" s="198">
        <v>811</v>
      </c>
      <c r="BE205" s="198">
        <v>0.8298397040690506</v>
      </c>
      <c r="BF205" s="198">
        <v>0.40020084977266207</v>
      </c>
      <c r="BG205" s="198">
        <v>0</v>
      </c>
      <c r="BH205" s="198">
        <v>0</v>
      </c>
      <c r="BI205" s="198">
        <v>-230.60000000000002</v>
      </c>
      <c r="BJ205" s="198">
        <v>-553.4399999999999</v>
      </c>
      <c r="BK205" s="198">
        <v>-9454.599999999999</v>
      </c>
      <c r="BL205" s="198">
        <v>-853.22</v>
      </c>
      <c r="BM205" s="198">
        <v>-12290.98</v>
      </c>
      <c r="BN205" s="198">
        <v>-276.71999999999997</v>
      </c>
      <c r="BO205" s="198">
        <v>2864</v>
      </c>
      <c r="BP205" s="198">
        <v>270448.9247596208</v>
      </c>
      <c r="BQ205" s="198">
        <v>306712</v>
      </c>
      <c r="BR205" s="198">
        <v>80932</v>
      </c>
      <c r="BS205" s="198">
        <v>212840.17227451561</v>
      </c>
      <c r="BT205" s="198">
        <v>11757.206041825455</v>
      </c>
      <c r="BU205" s="198">
        <v>28178.923088862364</v>
      </c>
      <c r="BV205" s="198">
        <v>96841.9166642587</v>
      </c>
      <c r="BW205" s="198">
        <v>123738.00851931972</v>
      </c>
      <c r="BX205" s="198">
        <v>207.54</v>
      </c>
      <c r="BY205" s="198">
        <v>-34376.4472404994</v>
      </c>
      <c r="BZ205" s="198">
        <v>1100144.2441079034</v>
      </c>
      <c r="CA205" s="198">
        <v>1056491.6641079034</v>
      </c>
      <c r="CB205" s="198">
        <v>-45387.57250702754</v>
      </c>
      <c r="CC205" s="232">
        <v>1163383.17297561</v>
      </c>
      <c r="CD205" s="198">
        <v>-491408</v>
      </c>
      <c r="CE205" s="198">
        <v>-157008.828054</v>
      </c>
      <c r="CH205" s="198">
        <v>2319</v>
      </c>
    </row>
    <row r="206" spans="1:86" ht="11.25">
      <c r="A206" s="198">
        <v>624</v>
      </c>
      <c r="B206" s="198" t="s">
        <v>281</v>
      </c>
      <c r="C206" s="198">
        <v>5354</v>
      </c>
      <c r="D206" s="198">
        <v>19255032.66</v>
      </c>
      <c r="E206" s="198">
        <v>6634586.844871568</v>
      </c>
      <c r="F206" s="198">
        <v>1356657.6576871988</v>
      </c>
      <c r="G206" s="198">
        <v>27246277.162558768</v>
      </c>
      <c r="H206" s="198">
        <v>3642.26</v>
      </c>
      <c r="I206" s="198">
        <v>19500660.040000003</v>
      </c>
      <c r="J206" s="198">
        <v>7745617.122558765</v>
      </c>
      <c r="K206" s="198">
        <v>21432.97844216528</v>
      </c>
      <c r="L206" s="198">
        <v>1157253.2070234083</v>
      </c>
      <c r="M206" s="198">
        <v>0</v>
      </c>
      <c r="N206" s="198">
        <v>8924303.30802434</v>
      </c>
      <c r="O206" s="198">
        <v>1359525.648000003</v>
      </c>
      <c r="P206" s="198">
        <v>10283828.956024343</v>
      </c>
      <c r="Q206" s="198">
        <v>358</v>
      </c>
      <c r="R206" s="198">
        <v>59</v>
      </c>
      <c r="S206" s="198">
        <v>346</v>
      </c>
      <c r="T206" s="198">
        <v>178</v>
      </c>
      <c r="U206" s="198">
        <v>185</v>
      </c>
      <c r="V206" s="198">
        <v>2980</v>
      </c>
      <c r="W206" s="198">
        <v>720</v>
      </c>
      <c r="X206" s="198">
        <v>373</v>
      </c>
      <c r="Y206" s="198">
        <v>155</v>
      </c>
      <c r="Z206" s="198">
        <v>4762</v>
      </c>
      <c r="AA206" s="198">
        <v>440</v>
      </c>
      <c r="AB206" s="198">
        <v>0</v>
      </c>
      <c r="AC206" s="198">
        <v>152</v>
      </c>
      <c r="AD206" s="198">
        <v>324.72</v>
      </c>
      <c r="AE206" s="198">
        <v>16.488051244148803</v>
      </c>
      <c r="AF206" s="198">
        <v>1248</v>
      </c>
      <c r="AG206" s="198">
        <v>6634586.844871568</v>
      </c>
      <c r="AH206" s="198">
        <v>3779809.5526350862</v>
      </c>
      <c r="AI206" s="198">
        <v>1986294.9636203302</v>
      </c>
      <c r="AJ206" s="198">
        <v>868482.3286161515</v>
      </c>
      <c r="AK206" s="198">
        <v>294</v>
      </c>
      <c r="AL206" s="198">
        <v>2456</v>
      </c>
      <c r="AM206" s="198">
        <v>0.9602786193866345</v>
      </c>
      <c r="AN206" s="198">
        <v>152</v>
      </c>
      <c r="AO206" s="198">
        <v>0.028389988793425476</v>
      </c>
      <c r="AP206" s="198">
        <v>0.026666445187772253</v>
      </c>
      <c r="AQ206" s="198">
        <v>1</v>
      </c>
      <c r="AR206" s="198">
        <v>440</v>
      </c>
      <c r="AS206" s="198">
        <v>0</v>
      </c>
      <c r="AT206" s="198">
        <v>1</v>
      </c>
      <c r="AU206" s="198">
        <v>324.72</v>
      </c>
      <c r="AV206" s="198">
        <v>16.488051244148803</v>
      </c>
      <c r="AW206" s="198">
        <v>1.0918483345488668</v>
      </c>
      <c r="AX206" s="198">
        <v>241</v>
      </c>
      <c r="AY206" s="198">
        <v>1769</v>
      </c>
      <c r="AZ206" s="198">
        <v>0.1362351611079706</v>
      </c>
      <c r="BA206" s="198">
        <v>0.07254630241231842</v>
      </c>
      <c r="BB206" s="198">
        <v>0</v>
      </c>
      <c r="BC206" s="198">
        <v>1058</v>
      </c>
      <c r="BD206" s="198">
        <v>2146</v>
      </c>
      <c r="BE206" s="198">
        <v>0.4930102516309413</v>
      </c>
      <c r="BF206" s="198">
        <v>0.06337139733455277</v>
      </c>
      <c r="BG206" s="198">
        <v>0</v>
      </c>
      <c r="BH206" s="198">
        <v>0</v>
      </c>
      <c r="BI206" s="198">
        <v>-535.4</v>
      </c>
      <c r="BJ206" s="198">
        <v>-1284.96</v>
      </c>
      <c r="BK206" s="198">
        <v>-21951.399999999998</v>
      </c>
      <c r="BL206" s="198">
        <v>-1980.98</v>
      </c>
      <c r="BM206" s="198">
        <v>-28536.82</v>
      </c>
      <c r="BN206" s="198">
        <v>-642.48</v>
      </c>
      <c r="BO206" s="198">
        <v>97136</v>
      </c>
      <c r="BP206" s="198">
        <v>190396.44915563427</v>
      </c>
      <c r="BQ206" s="198">
        <v>373776</v>
      </c>
      <c r="BR206" s="198">
        <v>115577</v>
      </c>
      <c r="BS206" s="198">
        <v>235069.5784648998</v>
      </c>
      <c r="BT206" s="198">
        <v>9112.403436958746</v>
      </c>
      <c r="BU206" s="198">
        <v>-127110.83688082914</v>
      </c>
      <c r="BV206" s="198">
        <v>99430.33695296093</v>
      </c>
      <c r="BW206" s="198">
        <v>232372.03327777947</v>
      </c>
      <c r="BX206" s="198">
        <v>481.85999999999996</v>
      </c>
      <c r="BY206" s="198">
        <v>32363.60261600413</v>
      </c>
      <c r="BZ206" s="198">
        <v>1258604.4270234082</v>
      </c>
      <c r="CA206" s="198">
        <v>1157253.2070234083</v>
      </c>
      <c r="CB206" s="198">
        <v>0</v>
      </c>
      <c r="CC206" s="232">
        <v>1359525.648000003</v>
      </c>
      <c r="CD206" s="198">
        <v>-1252310</v>
      </c>
      <c r="CE206" s="198">
        <v>-55027.24398</v>
      </c>
      <c r="CH206" s="198">
        <v>5384</v>
      </c>
    </row>
    <row r="207" spans="1:86" ht="11.25">
      <c r="A207" s="198">
        <v>625</v>
      </c>
      <c r="B207" s="198" t="s">
        <v>282</v>
      </c>
      <c r="C207" s="198">
        <v>3290</v>
      </c>
      <c r="D207" s="198">
        <v>12918651.830000002</v>
      </c>
      <c r="E207" s="198">
        <v>5359508.703922629</v>
      </c>
      <c r="F207" s="198">
        <v>760970.8468011454</v>
      </c>
      <c r="G207" s="198">
        <v>19039131.38072378</v>
      </c>
      <c r="H207" s="198">
        <v>3642.26</v>
      </c>
      <c r="I207" s="198">
        <v>11983035.4</v>
      </c>
      <c r="J207" s="198">
        <v>7056095.980723778</v>
      </c>
      <c r="K207" s="198">
        <v>153678.66249146493</v>
      </c>
      <c r="L207" s="198">
        <v>844584.7139163497</v>
      </c>
      <c r="M207" s="198">
        <v>-278585.38154849963</v>
      </c>
      <c r="N207" s="198">
        <v>7775773.975583093</v>
      </c>
      <c r="O207" s="198">
        <v>2318721.5605925936</v>
      </c>
      <c r="P207" s="198">
        <v>10094495.536175687</v>
      </c>
      <c r="Q207" s="198">
        <v>244</v>
      </c>
      <c r="R207" s="198">
        <v>42</v>
      </c>
      <c r="S207" s="198">
        <v>245</v>
      </c>
      <c r="T207" s="198">
        <v>124</v>
      </c>
      <c r="U207" s="198">
        <v>113</v>
      </c>
      <c r="V207" s="198">
        <v>1705</v>
      </c>
      <c r="W207" s="198">
        <v>456</v>
      </c>
      <c r="X207" s="198">
        <v>245</v>
      </c>
      <c r="Y207" s="198">
        <v>116</v>
      </c>
      <c r="Z207" s="198">
        <v>3241</v>
      </c>
      <c r="AA207" s="198">
        <v>15</v>
      </c>
      <c r="AB207" s="198">
        <v>0</v>
      </c>
      <c r="AC207" s="198">
        <v>34</v>
      </c>
      <c r="AD207" s="198">
        <v>542.33</v>
      </c>
      <c r="AE207" s="198">
        <v>6.0664171261040325</v>
      </c>
      <c r="AF207" s="198">
        <v>817</v>
      </c>
      <c r="AG207" s="198">
        <v>5359508.703922629</v>
      </c>
      <c r="AH207" s="198">
        <v>2977191.488044018</v>
      </c>
      <c r="AI207" s="198">
        <v>1861227.818708921</v>
      </c>
      <c r="AJ207" s="198">
        <v>521089.3971696908</v>
      </c>
      <c r="AK207" s="198">
        <v>153</v>
      </c>
      <c r="AL207" s="198">
        <v>1389</v>
      </c>
      <c r="AM207" s="198">
        <v>0.8836239457978305</v>
      </c>
      <c r="AN207" s="198">
        <v>34</v>
      </c>
      <c r="AO207" s="198">
        <v>0.01033434650455927</v>
      </c>
      <c r="AP207" s="198">
        <v>0.008610802898906048</v>
      </c>
      <c r="AQ207" s="198">
        <v>0</v>
      </c>
      <c r="AR207" s="198">
        <v>15</v>
      </c>
      <c r="AS207" s="198">
        <v>0</v>
      </c>
      <c r="AT207" s="198">
        <v>0</v>
      </c>
      <c r="AU207" s="198">
        <v>542.33</v>
      </c>
      <c r="AV207" s="198">
        <v>6.0664171261040325</v>
      </c>
      <c r="AW207" s="198">
        <v>2.9675590907547362</v>
      </c>
      <c r="AX207" s="198">
        <v>93</v>
      </c>
      <c r="AY207" s="198">
        <v>879</v>
      </c>
      <c r="AZ207" s="198">
        <v>0.10580204778156997</v>
      </c>
      <c r="BA207" s="198">
        <v>0.042113189085917796</v>
      </c>
      <c r="BB207" s="198">
        <v>0.1678</v>
      </c>
      <c r="BC207" s="198">
        <v>748</v>
      </c>
      <c r="BD207" s="198">
        <v>1214</v>
      </c>
      <c r="BE207" s="198">
        <v>0.6161449752883031</v>
      </c>
      <c r="BF207" s="198">
        <v>0.1865061209919146</v>
      </c>
      <c r="BG207" s="198">
        <v>0</v>
      </c>
      <c r="BH207" s="198">
        <v>0</v>
      </c>
      <c r="BI207" s="198">
        <v>-329</v>
      </c>
      <c r="BJ207" s="198">
        <v>-789.6</v>
      </c>
      <c r="BK207" s="198">
        <v>-13488.999999999998</v>
      </c>
      <c r="BL207" s="198">
        <v>-1217.3</v>
      </c>
      <c r="BM207" s="198">
        <v>-17535.7</v>
      </c>
      <c r="BN207" s="198">
        <v>-394.8</v>
      </c>
      <c r="BO207" s="198">
        <v>22461</v>
      </c>
      <c r="BP207" s="198">
        <v>-15316.170387493446</v>
      </c>
      <c r="BQ207" s="198">
        <v>278360</v>
      </c>
      <c r="BR207" s="198">
        <v>90828</v>
      </c>
      <c r="BS207" s="198">
        <v>209003.70193620183</v>
      </c>
      <c r="BT207" s="198">
        <v>9695.638026579994</v>
      </c>
      <c r="BU207" s="198">
        <v>35066.45150657508</v>
      </c>
      <c r="BV207" s="198">
        <v>103455.7139788927</v>
      </c>
      <c r="BW207" s="198">
        <v>159972.3774449417</v>
      </c>
      <c r="BX207" s="198">
        <v>296.09999999999997</v>
      </c>
      <c r="BY207" s="198">
        <v>13041.601410651849</v>
      </c>
      <c r="BZ207" s="198">
        <v>906864.4139163496</v>
      </c>
      <c r="CA207" s="198">
        <v>844584.7139163497</v>
      </c>
      <c r="CB207" s="198">
        <v>-278585.38154849963</v>
      </c>
      <c r="CC207" s="232">
        <v>2318721.5605925936</v>
      </c>
      <c r="CD207" s="198">
        <v>-254513</v>
      </c>
      <c r="CE207" s="198">
        <v>118297.99000000002</v>
      </c>
      <c r="CH207" s="198">
        <v>3356</v>
      </c>
    </row>
    <row r="208" spans="1:86" ht="11.25">
      <c r="A208" s="198">
        <v>626</v>
      </c>
      <c r="B208" s="198" t="s">
        <v>283</v>
      </c>
      <c r="C208" s="198">
        <v>5562</v>
      </c>
      <c r="D208" s="198">
        <v>21113133.34</v>
      </c>
      <c r="E208" s="198">
        <v>10970409.293885121</v>
      </c>
      <c r="F208" s="198">
        <v>1729869.3743910843</v>
      </c>
      <c r="G208" s="198">
        <v>33813412.00827621</v>
      </c>
      <c r="H208" s="198">
        <v>3642.26</v>
      </c>
      <c r="I208" s="198">
        <v>20258250.12</v>
      </c>
      <c r="J208" s="198">
        <v>13555161.888276208</v>
      </c>
      <c r="K208" s="198">
        <v>1232656.5747638287</v>
      </c>
      <c r="L208" s="198">
        <v>1327689.7733088452</v>
      </c>
      <c r="M208" s="198">
        <v>0</v>
      </c>
      <c r="N208" s="198">
        <v>16115508.236348882</v>
      </c>
      <c r="O208" s="198">
        <v>-256416.37876753806</v>
      </c>
      <c r="P208" s="198">
        <v>15859091.857581344</v>
      </c>
      <c r="Q208" s="198">
        <v>331</v>
      </c>
      <c r="R208" s="198">
        <v>53</v>
      </c>
      <c r="S208" s="198">
        <v>321</v>
      </c>
      <c r="T208" s="198">
        <v>151</v>
      </c>
      <c r="U208" s="198">
        <v>177</v>
      </c>
      <c r="V208" s="198">
        <v>2899</v>
      </c>
      <c r="W208" s="198">
        <v>854</v>
      </c>
      <c r="X208" s="198">
        <v>545</v>
      </c>
      <c r="Y208" s="198">
        <v>231</v>
      </c>
      <c r="Z208" s="198">
        <v>5497</v>
      </c>
      <c r="AA208" s="198">
        <v>11</v>
      </c>
      <c r="AB208" s="198">
        <v>0</v>
      </c>
      <c r="AC208" s="198">
        <v>54</v>
      </c>
      <c r="AD208" s="198">
        <v>1311.33</v>
      </c>
      <c r="AE208" s="198">
        <v>4.2414952757887034</v>
      </c>
      <c r="AF208" s="198">
        <v>1630</v>
      </c>
      <c r="AG208" s="198">
        <v>10970409.293885121</v>
      </c>
      <c r="AH208" s="198">
        <v>6579455.600630798</v>
      </c>
      <c r="AI208" s="198">
        <v>2940588.2044653497</v>
      </c>
      <c r="AJ208" s="198">
        <v>1450365.488788973</v>
      </c>
      <c r="AK208" s="198">
        <v>303</v>
      </c>
      <c r="AL208" s="198">
        <v>2259</v>
      </c>
      <c r="AM208" s="198">
        <v>1.0759812144192888</v>
      </c>
      <c r="AN208" s="198">
        <v>54</v>
      </c>
      <c r="AO208" s="198">
        <v>0.009708737864077669</v>
      </c>
      <c r="AP208" s="198">
        <v>0.007985194258424446</v>
      </c>
      <c r="AQ208" s="198">
        <v>0</v>
      </c>
      <c r="AR208" s="198">
        <v>11</v>
      </c>
      <c r="AS208" s="198">
        <v>0</v>
      </c>
      <c r="AT208" s="198">
        <v>0</v>
      </c>
      <c r="AU208" s="198">
        <v>1311.33</v>
      </c>
      <c r="AV208" s="198">
        <v>4.2414952757887034</v>
      </c>
      <c r="AW208" s="198">
        <v>4.244364338595826</v>
      </c>
      <c r="AX208" s="198">
        <v>192</v>
      </c>
      <c r="AY208" s="198">
        <v>1399</v>
      </c>
      <c r="AZ208" s="198">
        <v>0.13724088634739098</v>
      </c>
      <c r="BA208" s="198">
        <v>0.07355202765173881</v>
      </c>
      <c r="BB208" s="198">
        <v>0.9002333333333332</v>
      </c>
      <c r="BC208" s="198">
        <v>1908</v>
      </c>
      <c r="BD208" s="198">
        <v>1964</v>
      </c>
      <c r="BE208" s="198">
        <v>0.9714867617107943</v>
      </c>
      <c r="BF208" s="198">
        <v>0.5418479074144058</v>
      </c>
      <c r="BG208" s="198">
        <v>0</v>
      </c>
      <c r="BH208" s="198">
        <v>0</v>
      </c>
      <c r="BI208" s="198">
        <v>-556.2</v>
      </c>
      <c r="BJ208" s="198">
        <v>-1334.8799999999999</v>
      </c>
      <c r="BK208" s="198">
        <v>-22804.199999999997</v>
      </c>
      <c r="BL208" s="198">
        <v>-2057.94</v>
      </c>
      <c r="BM208" s="198">
        <v>-29645.46</v>
      </c>
      <c r="BN208" s="198">
        <v>-667.4399999999999</v>
      </c>
      <c r="BO208" s="198">
        <v>115437</v>
      </c>
      <c r="BP208" s="198">
        <v>-60032.6572009027</v>
      </c>
      <c r="BQ208" s="198">
        <v>568854</v>
      </c>
      <c r="BR208" s="198">
        <v>160404</v>
      </c>
      <c r="BS208" s="198">
        <v>347711.14435782126</v>
      </c>
      <c r="BT208" s="198">
        <v>18609.89689071376</v>
      </c>
      <c r="BU208" s="198">
        <v>54407.33896008739</v>
      </c>
      <c r="BV208" s="198">
        <v>220486.06081992874</v>
      </c>
      <c r="BW208" s="198">
        <v>277851.0530236109</v>
      </c>
      <c r="BX208" s="198">
        <v>500.58</v>
      </c>
      <c r="BY208" s="198">
        <v>-271249.98354241444</v>
      </c>
      <c r="BZ208" s="198">
        <v>1432978.4333088452</v>
      </c>
      <c r="CA208" s="198">
        <v>1327689.7733088452</v>
      </c>
      <c r="CB208" s="198">
        <v>0</v>
      </c>
      <c r="CC208" s="232">
        <v>-256416.37876753806</v>
      </c>
      <c r="CD208" s="198">
        <v>-724094</v>
      </c>
      <c r="CE208" s="198">
        <v>-39972.268200000006</v>
      </c>
      <c r="CH208" s="198">
        <v>5731</v>
      </c>
    </row>
    <row r="209" spans="1:86" ht="11.25">
      <c r="A209" s="198">
        <v>630</v>
      </c>
      <c r="B209" s="198" t="s">
        <v>284</v>
      </c>
      <c r="C209" s="198">
        <v>1562</v>
      </c>
      <c r="D209" s="198">
        <v>5990729.38</v>
      </c>
      <c r="E209" s="198">
        <v>2246950.4701835383</v>
      </c>
      <c r="F209" s="198">
        <v>760058.6240090375</v>
      </c>
      <c r="G209" s="198">
        <v>8997738.474192576</v>
      </c>
      <c r="H209" s="198">
        <v>3642.26</v>
      </c>
      <c r="I209" s="198">
        <v>5689210.12</v>
      </c>
      <c r="J209" s="198">
        <v>3308528.3541925764</v>
      </c>
      <c r="K209" s="198">
        <v>753861.567569486</v>
      </c>
      <c r="L209" s="198">
        <v>408368.09596650617</v>
      </c>
      <c r="M209" s="198">
        <v>237287.1757685095</v>
      </c>
      <c r="N209" s="198">
        <v>4708045.193497078</v>
      </c>
      <c r="O209" s="198">
        <v>1130141.144</v>
      </c>
      <c r="P209" s="198">
        <v>5838186.337497078</v>
      </c>
      <c r="Q209" s="198">
        <v>120</v>
      </c>
      <c r="R209" s="198">
        <v>21</v>
      </c>
      <c r="S209" s="198">
        <v>144</v>
      </c>
      <c r="T209" s="198">
        <v>64</v>
      </c>
      <c r="U209" s="198">
        <v>78</v>
      </c>
      <c r="V209" s="198">
        <v>838</v>
      </c>
      <c r="W209" s="198">
        <v>161</v>
      </c>
      <c r="X209" s="198">
        <v>100</v>
      </c>
      <c r="Y209" s="198">
        <v>36</v>
      </c>
      <c r="Z209" s="198">
        <v>1555</v>
      </c>
      <c r="AA209" s="198">
        <v>0</v>
      </c>
      <c r="AB209" s="198">
        <v>0</v>
      </c>
      <c r="AC209" s="198">
        <v>7</v>
      </c>
      <c r="AD209" s="198">
        <v>810.73</v>
      </c>
      <c r="AE209" s="198">
        <v>1.926658690316135</v>
      </c>
      <c r="AF209" s="198">
        <v>297</v>
      </c>
      <c r="AG209" s="198">
        <v>2246950.4701835383</v>
      </c>
      <c r="AH209" s="198">
        <v>1455713.0389433638</v>
      </c>
      <c r="AI209" s="198">
        <v>495953.439510683</v>
      </c>
      <c r="AJ209" s="198">
        <v>295283.9917294915</v>
      </c>
      <c r="AK209" s="198">
        <v>81</v>
      </c>
      <c r="AL209" s="198">
        <v>665</v>
      </c>
      <c r="AM209" s="198">
        <v>0.9771059660697637</v>
      </c>
      <c r="AN209" s="198">
        <v>7</v>
      </c>
      <c r="AO209" s="198">
        <v>0.004481434058898848</v>
      </c>
      <c r="AP209" s="198">
        <v>0.002757890453245625</v>
      </c>
      <c r="AQ209" s="198">
        <v>0</v>
      </c>
      <c r="AR209" s="198">
        <v>0</v>
      </c>
      <c r="AS209" s="198">
        <v>0</v>
      </c>
      <c r="AT209" s="198">
        <v>0</v>
      </c>
      <c r="AU209" s="198">
        <v>810.73</v>
      </c>
      <c r="AV209" s="198">
        <v>1.926658690316135</v>
      </c>
      <c r="AW209" s="198">
        <v>9.34387153332608</v>
      </c>
      <c r="AX209" s="198">
        <v>49</v>
      </c>
      <c r="AY209" s="198">
        <v>398</v>
      </c>
      <c r="AZ209" s="198">
        <v>0.12311557788944724</v>
      </c>
      <c r="BA209" s="198">
        <v>0.059426719193795066</v>
      </c>
      <c r="BB209" s="198">
        <v>1.3702833333333333</v>
      </c>
      <c r="BC209" s="198">
        <v>695</v>
      </c>
      <c r="BD209" s="198">
        <v>536</v>
      </c>
      <c r="BE209" s="198">
        <v>1.296641791044776</v>
      </c>
      <c r="BF209" s="198">
        <v>0.8670029367483876</v>
      </c>
      <c r="BG209" s="198">
        <v>0</v>
      </c>
      <c r="BH209" s="198">
        <v>0</v>
      </c>
      <c r="BI209" s="198">
        <v>-156.20000000000002</v>
      </c>
      <c r="BJ209" s="198">
        <v>-374.88</v>
      </c>
      <c r="BK209" s="198">
        <v>-6404.2</v>
      </c>
      <c r="BL209" s="198">
        <v>-577.9399999999999</v>
      </c>
      <c r="BM209" s="198">
        <v>-8325.460000000001</v>
      </c>
      <c r="BN209" s="198">
        <v>-187.44</v>
      </c>
      <c r="BO209" s="198">
        <v>27930</v>
      </c>
      <c r="BP209" s="198">
        <v>-38762.769205734134</v>
      </c>
      <c r="BQ209" s="198">
        <v>142597</v>
      </c>
      <c r="BR209" s="198">
        <v>43369</v>
      </c>
      <c r="BS209" s="198">
        <v>115066.9355321736</v>
      </c>
      <c r="BT209" s="198">
        <v>6926.724569399294</v>
      </c>
      <c r="BU209" s="198">
        <v>14447.999352274763</v>
      </c>
      <c r="BV209" s="198">
        <v>58673.82537882386</v>
      </c>
      <c r="BW209" s="198">
        <v>82352.74449980848</v>
      </c>
      <c r="BX209" s="198">
        <v>140.57999999999998</v>
      </c>
      <c r="BY209" s="198">
        <v>-14805.284160239758</v>
      </c>
      <c r="BZ209" s="198">
        <v>437936.75596650614</v>
      </c>
      <c r="CA209" s="198">
        <v>408368.09596650617</v>
      </c>
      <c r="CB209" s="198">
        <v>237287.1757685095</v>
      </c>
      <c r="CC209" s="232">
        <v>1130141.144</v>
      </c>
      <c r="CD209" s="198">
        <v>-245598</v>
      </c>
      <c r="CE209" s="198">
        <v>104724.85220000002</v>
      </c>
      <c r="CH209" s="198">
        <v>1545</v>
      </c>
    </row>
    <row r="210" spans="1:86" ht="11.25">
      <c r="A210" s="198">
        <v>631</v>
      </c>
      <c r="B210" s="198" t="s">
        <v>285</v>
      </c>
      <c r="C210" s="198">
        <v>2136</v>
      </c>
      <c r="D210" s="198">
        <v>7634028.97</v>
      </c>
      <c r="E210" s="198">
        <v>2512052.198931808</v>
      </c>
      <c r="F210" s="198">
        <v>352018.0924091966</v>
      </c>
      <c r="G210" s="198">
        <v>10498099.261341006</v>
      </c>
      <c r="H210" s="198">
        <v>3642.26</v>
      </c>
      <c r="I210" s="198">
        <v>7779867.36</v>
      </c>
      <c r="J210" s="198">
        <v>2718231.901341005</v>
      </c>
      <c r="K210" s="198">
        <v>25074.19002433684</v>
      </c>
      <c r="L210" s="198">
        <v>623678.684401857</v>
      </c>
      <c r="M210" s="198">
        <v>0</v>
      </c>
      <c r="N210" s="198">
        <v>3366984.7757671988</v>
      </c>
      <c r="O210" s="198">
        <v>712272.0328780485</v>
      </c>
      <c r="P210" s="198">
        <v>4079256.8086452475</v>
      </c>
      <c r="Q210" s="198">
        <v>129</v>
      </c>
      <c r="R210" s="198">
        <v>24</v>
      </c>
      <c r="S210" s="198">
        <v>139</v>
      </c>
      <c r="T210" s="198">
        <v>75</v>
      </c>
      <c r="U210" s="198">
        <v>69</v>
      </c>
      <c r="V210" s="198">
        <v>1181</v>
      </c>
      <c r="W210" s="198">
        <v>289</v>
      </c>
      <c r="X210" s="198">
        <v>174</v>
      </c>
      <c r="Y210" s="198">
        <v>56</v>
      </c>
      <c r="Z210" s="198">
        <v>2105</v>
      </c>
      <c r="AA210" s="198">
        <v>8</v>
      </c>
      <c r="AB210" s="198">
        <v>0</v>
      </c>
      <c r="AC210" s="198">
        <v>23</v>
      </c>
      <c r="AD210" s="198">
        <v>143.27</v>
      </c>
      <c r="AE210" s="198">
        <v>14.908913240734277</v>
      </c>
      <c r="AF210" s="198">
        <v>519</v>
      </c>
      <c r="AG210" s="198">
        <v>2512052.198931808</v>
      </c>
      <c r="AH210" s="198">
        <v>1428016.3410781613</v>
      </c>
      <c r="AI210" s="198">
        <v>814806.3359826398</v>
      </c>
      <c r="AJ210" s="198">
        <v>269229.52187100693</v>
      </c>
      <c r="AK210" s="198">
        <v>100</v>
      </c>
      <c r="AL210" s="198">
        <v>1037</v>
      </c>
      <c r="AM210" s="198">
        <v>0.7735698506332285</v>
      </c>
      <c r="AN210" s="198">
        <v>23</v>
      </c>
      <c r="AO210" s="198">
        <v>0.010767790262172285</v>
      </c>
      <c r="AP210" s="198">
        <v>0.009044246656519062</v>
      </c>
      <c r="AQ210" s="198">
        <v>0</v>
      </c>
      <c r="AR210" s="198">
        <v>8</v>
      </c>
      <c r="AS210" s="198">
        <v>0</v>
      </c>
      <c r="AT210" s="198">
        <v>0</v>
      </c>
      <c r="AU210" s="198">
        <v>143.27</v>
      </c>
      <c r="AV210" s="198">
        <v>14.908913240734277</v>
      </c>
      <c r="AW210" s="198">
        <v>1.2074958784852117</v>
      </c>
      <c r="AX210" s="198">
        <v>87</v>
      </c>
      <c r="AY210" s="198">
        <v>650</v>
      </c>
      <c r="AZ210" s="198">
        <v>0.13384615384615384</v>
      </c>
      <c r="BA210" s="198">
        <v>0.07015729515050166</v>
      </c>
      <c r="BB210" s="198">
        <v>0</v>
      </c>
      <c r="BC210" s="198">
        <v>565</v>
      </c>
      <c r="BD210" s="198">
        <v>918</v>
      </c>
      <c r="BE210" s="198">
        <v>0.6154684095860566</v>
      </c>
      <c r="BF210" s="198">
        <v>0.1858295552896681</v>
      </c>
      <c r="BG210" s="198">
        <v>0</v>
      </c>
      <c r="BH210" s="198">
        <v>0</v>
      </c>
      <c r="BI210" s="198">
        <v>-213.60000000000002</v>
      </c>
      <c r="BJ210" s="198">
        <v>-512.64</v>
      </c>
      <c r="BK210" s="198">
        <v>-8757.599999999999</v>
      </c>
      <c r="BL210" s="198">
        <v>-790.3199999999999</v>
      </c>
      <c r="BM210" s="198">
        <v>-11384.880000000001</v>
      </c>
      <c r="BN210" s="198">
        <v>-256.32</v>
      </c>
      <c r="BO210" s="198">
        <v>38872</v>
      </c>
      <c r="BP210" s="198">
        <v>125422.74595760088</v>
      </c>
      <c r="BQ210" s="198">
        <v>166578</v>
      </c>
      <c r="BR210" s="198">
        <v>56438</v>
      </c>
      <c r="BS210" s="198">
        <v>129722.21444774065</v>
      </c>
      <c r="BT210" s="198">
        <v>5761.346417775909</v>
      </c>
      <c r="BU210" s="198">
        <v>-32797.7229609648</v>
      </c>
      <c r="BV210" s="198">
        <v>53378.44238395563</v>
      </c>
      <c r="BW210" s="198">
        <v>111162.26627376092</v>
      </c>
      <c r="BX210" s="198">
        <v>192.23999999999998</v>
      </c>
      <c r="BY210" s="198">
        <v>9383.631881987802</v>
      </c>
      <c r="BZ210" s="198">
        <v>664113.164401857</v>
      </c>
      <c r="CA210" s="198">
        <v>623678.684401857</v>
      </c>
      <c r="CB210" s="198">
        <v>0</v>
      </c>
      <c r="CC210" s="232">
        <v>712272.0328780485</v>
      </c>
      <c r="CD210" s="198">
        <v>-547632</v>
      </c>
      <c r="CE210" s="198">
        <v>-877272.9890000002</v>
      </c>
      <c r="CH210" s="198">
        <v>2177</v>
      </c>
    </row>
    <row r="211" spans="1:86" ht="11.25">
      <c r="A211" s="198">
        <v>635</v>
      </c>
      <c r="B211" s="198" t="s">
        <v>286</v>
      </c>
      <c r="C211" s="198">
        <v>6722</v>
      </c>
      <c r="D211" s="198">
        <v>25435895.77</v>
      </c>
      <c r="E211" s="198">
        <v>9248846.916575063</v>
      </c>
      <c r="F211" s="198">
        <v>1383538.350174107</v>
      </c>
      <c r="G211" s="198">
        <v>36068281.03674917</v>
      </c>
      <c r="H211" s="198">
        <v>3642.26</v>
      </c>
      <c r="I211" s="198">
        <v>24483271.720000003</v>
      </c>
      <c r="J211" s="198">
        <v>11585009.316749167</v>
      </c>
      <c r="K211" s="198">
        <v>142621.38678059672</v>
      </c>
      <c r="L211" s="198">
        <v>1658466.583168076</v>
      </c>
      <c r="M211" s="198">
        <v>0</v>
      </c>
      <c r="N211" s="198">
        <v>13386097.28669784</v>
      </c>
      <c r="O211" s="198">
        <v>4524713.988292683</v>
      </c>
      <c r="P211" s="198">
        <v>17910811.27499052</v>
      </c>
      <c r="Q211" s="198">
        <v>343</v>
      </c>
      <c r="R211" s="198">
        <v>71</v>
      </c>
      <c r="S211" s="198">
        <v>464</v>
      </c>
      <c r="T211" s="198">
        <v>256</v>
      </c>
      <c r="U211" s="198">
        <v>208</v>
      </c>
      <c r="V211" s="198">
        <v>3626</v>
      </c>
      <c r="W211" s="198">
        <v>936</v>
      </c>
      <c r="X211" s="198">
        <v>565</v>
      </c>
      <c r="Y211" s="198">
        <v>253</v>
      </c>
      <c r="Z211" s="198">
        <v>6568</v>
      </c>
      <c r="AA211" s="198">
        <v>26</v>
      </c>
      <c r="AB211" s="198">
        <v>0</v>
      </c>
      <c r="AC211" s="198">
        <v>128</v>
      </c>
      <c r="AD211" s="198">
        <v>560.48</v>
      </c>
      <c r="AE211" s="198">
        <v>11.993291464459034</v>
      </c>
      <c r="AF211" s="198">
        <v>1754</v>
      </c>
      <c r="AG211" s="198">
        <v>9248846.916575063</v>
      </c>
      <c r="AH211" s="198">
        <v>5378027.882416927</v>
      </c>
      <c r="AI211" s="198">
        <v>2915488.4726803685</v>
      </c>
      <c r="AJ211" s="198">
        <v>955330.5614777666</v>
      </c>
      <c r="AK211" s="198">
        <v>353</v>
      </c>
      <c r="AL211" s="198">
        <v>3040</v>
      </c>
      <c r="AM211" s="198">
        <v>0.9314926088574021</v>
      </c>
      <c r="AN211" s="198">
        <v>128</v>
      </c>
      <c r="AO211" s="198">
        <v>0.019041951800059506</v>
      </c>
      <c r="AP211" s="198">
        <v>0.017318408194406283</v>
      </c>
      <c r="AQ211" s="198">
        <v>0</v>
      </c>
      <c r="AR211" s="198">
        <v>26</v>
      </c>
      <c r="AS211" s="198">
        <v>0</v>
      </c>
      <c r="AT211" s="198">
        <v>0</v>
      </c>
      <c r="AU211" s="198">
        <v>560.48</v>
      </c>
      <c r="AV211" s="198">
        <v>11.993291464459034</v>
      </c>
      <c r="AW211" s="198">
        <v>1.5010434245035047</v>
      </c>
      <c r="AX211" s="198">
        <v>265</v>
      </c>
      <c r="AY211" s="198">
        <v>2015</v>
      </c>
      <c r="AZ211" s="198">
        <v>0.1315136476426799</v>
      </c>
      <c r="BA211" s="198">
        <v>0.06782478894702772</v>
      </c>
      <c r="BB211" s="198">
        <v>0</v>
      </c>
      <c r="BC211" s="198">
        <v>2011</v>
      </c>
      <c r="BD211" s="198">
        <v>2627</v>
      </c>
      <c r="BE211" s="198">
        <v>0.7655119908641035</v>
      </c>
      <c r="BF211" s="198">
        <v>0.33587313656771495</v>
      </c>
      <c r="BG211" s="198">
        <v>0</v>
      </c>
      <c r="BH211" s="198">
        <v>0</v>
      </c>
      <c r="BI211" s="198">
        <v>-672.2</v>
      </c>
      <c r="BJ211" s="198">
        <v>-1613.28</v>
      </c>
      <c r="BK211" s="198">
        <v>-27560.199999999997</v>
      </c>
      <c r="BL211" s="198">
        <v>-2487.14</v>
      </c>
      <c r="BM211" s="198">
        <v>-35828.26</v>
      </c>
      <c r="BN211" s="198">
        <v>-806.64</v>
      </c>
      <c r="BO211" s="198">
        <v>-130052</v>
      </c>
      <c r="BP211" s="198">
        <v>-12804.24278062582</v>
      </c>
      <c r="BQ211" s="198">
        <v>642019</v>
      </c>
      <c r="BR211" s="198">
        <v>195798</v>
      </c>
      <c r="BS211" s="198">
        <v>456431.13350845047</v>
      </c>
      <c r="BT211" s="198">
        <v>18923.51818230522</v>
      </c>
      <c r="BU211" s="198">
        <v>38485.85235614743</v>
      </c>
      <c r="BV211" s="198">
        <v>180396.70705651797</v>
      </c>
      <c r="BW211" s="198">
        <v>366965.40267250914</v>
      </c>
      <c r="BX211" s="198">
        <v>604.98</v>
      </c>
      <c r="BY211" s="198">
        <v>28945.692172771458</v>
      </c>
      <c r="BZ211" s="198">
        <v>1785714.0431680758</v>
      </c>
      <c r="CA211" s="198">
        <v>1658466.583168076</v>
      </c>
      <c r="CB211" s="198">
        <v>0</v>
      </c>
      <c r="CC211" s="232">
        <v>4524713.988292683</v>
      </c>
      <c r="CD211" s="198">
        <v>-1092505</v>
      </c>
      <c r="CE211" s="198">
        <v>-566286.2519200002</v>
      </c>
      <c r="CH211" s="198">
        <v>6795</v>
      </c>
    </row>
    <row r="212" spans="1:86" ht="11.25">
      <c r="A212" s="198">
        <v>636</v>
      </c>
      <c r="B212" s="198" t="s">
        <v>287</v>
      </c>
      <c r="C212" s="198">
        <v>8619</v>
      </c>
      <c r="D212" s="198">
        <v>33461386.310000002</v>
      </c>
      <c r="E212" s="198">
        <v>10385001.018218473</v>
      </c>
      <c r="F212" s="198">
        <v>1995385.5952120172</v>
      </c>
      <c r="G212" s="198">
        <v>45841772.923430495</v>
      </c>
      <c r="H212" s="198">
        <v>3642.26</v>
      </c>
      <c r="I212" s="198">
        <v>31392638.94</v>
      </c>
      <c r="J212" s="198">
        <v>14449133.983430494</v>
      </c>
      <c r="K212" s="198">
        <v>199500.4803035939</v>
      </c>
      <c r="L212" s="198">
        <v>2175668.7036769884</v>
      </c>
      <c r="M212" s="198">
        <v>0</v>
      </c>
      <c r="N212" s="198">
        <v>16824303.167411074</v>
      </c>
      <c r="O212" s="198">
        <v>6236049.664963856</v>
      </c>
      <c r="P212" s="198">
        <v>23060352.83237493</v>
      </c>
      <c r="Q212" s="198">
        <v>670</v>
      </c>
      <c r="R212" s="198">
        <v>111</v>
      </c>
      <c r="S212" s="198">
        <v>624</v>
      </c>
      <c r="T212" s="198">
        <v>307</v>
      </c>
      <c r="U212" s="198">
        <v>298</v>
      </c>
      <c r="V212" s="198">
        <v>4681</v>
      </c>
      <c r="W212" s="198">
        <v>1023</v>
      </c>
      <c r="X212" s="198">
        <v>595</v>
      </c>
      <c r="Y212" s="198">
        <v>310</v>
      </c>
      <c r="Z212" s="198">
        <v>8358</v>
      </c>
      <c r="AA212" s="198">
        <v>42</v>
      </c>
      <c r="AB212" s="198">
        <v>1</v>
      </c>
      <c r="AC212" s="198">
        <v>218</v>
      </c>
      <c r="AD212" s="198">
        <v>750.05</v>
      </c>
      <c r="AE212" s="198">
        <v>11.491233917738818</v>
      </c>
      <c r="AF212" s="198">
        <v>1928</v>
      </c>
      <c r="AG212" s="198">
        <v>10385001.018218473</v>
      </c>
      <c r="AH212" s="198">
        <v>6049212.822276712</v>
      </c>
      <c r="AI212" s="198">
        <v>2937531.6468697567</v>
      </c>
      <c r="AJ212" s="198">
        <v>1398256.5490720037</v>
      </c>
      <c r="AK212" s="198">
        <v>403</v>
      </c>
      <c r="AL212" s="198">
        <v>3955</v>
      </c>
      <c r="AM212" s="198">
        <v>0.8174041715498942</v>
      </c>
      <c r="AN212" s="198">
        <v>218</v>
      </c>
      <c r="AO212" s="198">
        <v>0.025292957419654254</v>
      </c>
      <c r="AP212" s="198">
        <v>0.02356941381400103</v>
      </c>
      <c r="AQ212" s="198">
        <v>0</v>
      </c>
      <c r="AR212" s="198">
        <v>42</v>
      </c>
      <c r="AS212" s="198">
        <v>1</v>
      </c>
      <c r="AT212" s="198">
        <v>0</v>
      </c>
      <c r="AU212" s="198">
        <v>750.05</v>
      </c>
      <c r="AV212" s="198">
        <v>11.491233917738818</v>
      </c>
      <c r="AW212" s="198">
        <v>1.5666247349721225</v>
      </c>
      <c r="AX212" s="198">
        <v>480</v>
      </c>
      <c r="AY212" s="198">
        <v>2644</v>
      </c>
      <c r="AZ212" s="198">
        <v>0.1815431164901664</v>
      </c>
      <c r="BA212" s="198">
        <v>0.11785425779451424</v>
      </c>
      <c r="BB212" s="198">
        <v>0</v>
      </c>
      <c r="BC212" s="198">
        <v>2826</v>
      </c>
      <c r="BD212" s="198">
        <v>3550</v>
      </c>
      <c r="BE212" s="198">
        <v>0.796056338028169</v>
      </c>
      <c r="BF212" s="198">
        <v>0.36641748373178046</v>
      </c>
      <c r="BG212" s="198">
        <v>0</v>
      </c>
      <c r="BH212" s="198">
        <v>1</v>
      </c>
      <c r="BI212" s="198">
        <v>-861.9000000000001</v>
      </c>
      <c r="BJ212" s="198">
        <v>-2068.56</v>
      </c>
      <c r="BK212" s="198">
        <v>-35337.899999999994</v>
      </c>
      <c r="BL212" s="198">
        <v>-3189.0299999999997</v>
      </c>
      <c r="BM212" s="198">
        <v>-45939.270000000004</v>
      </c>
      <c r="BN212" s="198">
        <v>-1034.28</v>
      </c>
      <c r="BO212" s="198">
        <v>-25759</v>
      </c>
      <c r="BP212" s="198">
        <v>4699.763645730913</v>
      </c>
      <c r="BQ212" s="198">
        <v>728276</v>
      </c>
      <c r="BR212" s="198">
        <v>246779</v>
      </c>
      <c r="BS212" s="198">
        <v>568370.5156629826</v>
      </c>
      <c r="BT212" s="198">
        <v>26839.74081675102</v>
      </c>
      <c r="BU212" s="198">
        <v>50553.860423168335</v>
      </c>
      <c r="BV212" s="198">
        <v>235055.66469803228</v>
      </c>
      <c r="BW212" s="198">
        <v>498281.33218195266</v>
      </c>
      <c r="BX212" s="198">
        <v>775.7099999999999</v>
      </c>
      <c r="BY212" s="198">
        <v>4953.786248370576</v>
      </c>
      <c r="BZ212" s="198">
        <v>2338826.3736769883</v>
      </c>
      <c r="CA212" s="198">
        <v>2175668.7036769884</v>
      </c>
      <c r="CB212" s="198">
        <v>0</v>
      </c>
      <c r="CC212" s="232">
        <v>6236049.664963856</v>
      </c>
      <c r="CD212" s="198">
        <v>-797736</v>
      </c>
      <c r="CE212" s="198">
        <v>-103728.65860000002</v>
      </c>
      <c r="CH212" s="198">
        <v>8590</v>
      </c>
    </row>
    <row r="213" spans="1:86" ht="11.25">
      <c r="A213" s="198">
        <v>678</v>
      </c>
      <c r="B213" s="198" t="s">
        <v>288</v>
      </c>
      <c r="C213" s="198">
        <v>25383</v>
      </c>
      <c r="D213" s="198">
        <v>92461620.25</v>
      </c>
      <c r="E213" s="198">
        <v>39567149.134171605</v>
      </c>
      <c r="F213" s="198">
        <v>4595442.839176209</v>
      </c>
      <c r="G213" s="198">
        <v>136624212.2233478</v>
      </c>
      <c r="H213" s="198">
        <v>3642.26</v>
      </c>
      <c r="I213" s="198">
        <v>92451485.58</v>
      </c>
      <c r="J213" s="198">
        <v>44172726.643347815</v>
      </c>
      <c r="K213" s="198">
        <v>1194191.012606358</v>
      </c>
      <c r="L213" s="198">
        <v>5342760.090727902</v>
      </c>
      <c r="M213" s="198">
        <v>-4115108.1264996384</v>
      </c>
      <c r="N213" s="198">
        <v>46594569.62018244</v>
      </c>
      <c r="O213" s="198">
        <v>9184769.837619053</v>
      </c>
      <c r="P213" s="198">
        <v>55779339.45780149</v>
      </c>
      <c r="Q213" s="198">
        <v>1995</v>
      </c>
      <c r="R213" s="198">
        <v>347</v>
      </c>
      <c r="S213" s="198">
        <v>1963</v>
      </c>
      <c r="T213" s="198">
        <v>960</v>
      </c>
      <c r="U213" s="198">
        <v>948</v>
      </c>
      <c r="V213" s="198">
        <v>14039</v>
      </c>
      <c r="W213" s="198">
        <v>3116</v>
      </c>
      <c r="X213" s="198">
        <v>1469</v>
      </c>
      <c r="Y213" s="198">
        <v>546</v>
      </c>
      <c r="Z213" s="198">
        <v>24834</v>
      </c>
      <c r="AA213" s="198">
        <v>14</v>
      </c>
      <c r="AB213" s="198">
        <v>2</v>
      </c>
      <c r="AC213" s="198">
        <v>533</v>
      </c>
      <c r="AD213" s="198">
        <v>1014.14</v>
      </c>
      <c r="AE213" s="198">
        <v>25.02908868598024</v>
      </c>
      <c r="AF213" s="198">
        <v>5131</v>
      </c>
      <c r="AG213" s="198">
        <v>39567149.134171605</v>
      </c>
      <c r="AH213" s="198">
        <v>22895367.01099781</v>
      </c>
      <c r="AI213" s="198">
        <v>11434833.681618407</v>
      </c>
      <c r="AJ213" s="198">
        <v>5236948.441555392</v>
      </c>
      <c r="AK213" s="198">
        <v>1430</v>
      </c>
      <c r="AL213" s="198">
        <v>11099</v>
      </c>
      <c r="AM213" s="198">
        <v>1.033547587352483</v>
      </c>
      <c r="AN213" s="198">
        <v>533</v>
      </c>
      <c r="AO213" s="198">
        <v>0.020998305952803057</v>
      </c>
      <c r="AP213" s="198">
        <v>0.019274762347149834</v>
      </c>
      <c r="AQ213" s="198">
        <v>0</v>
      </c>
      <c r="AR213" s="198">
        <v>14</v>
      </c>
      <c r="AS213" s="198">
        <v>2</v>
      </c>
      <c r="AT213" s="198">
        <v>0</v>
      </c>
      <c r="AU213" s="198">
        <v>1014.14</v>
      </c>
      <c r="AV213" s="198">
        <v>25.02908868598024</v>
      </c>
      <c r="AW213" s="198">
        <v>0.7192611571576759</v>
      </c>
      <c r="AX213" s="198">
        <v>849</v>
      </c>
      <c r="AY213" s="198">
        <v>7392</v>
      </c>
      <c r="AZ213" s="198">
        <v>0.1148538961038961</v>
      </c>
      <c r="BA213" s="198">
        <v>0.05116503740824392</v>
      </c>
      <c r="BB213" s="198">
        <v>0</v>
      </c>
      <c r="BC213" s="198">
        <v>11104</v>
      </c>
      <c r="BD213" s="198">
        <v>9455</v>
      </c>
      <c r="BE213" s="198">
        <v>1.1744050766790057</v>
      </c>
      <c r="BF213" s="198">
        <v>0.7447662223826172</v>
      </c>
      <c r="BG213" s="198">
        <v>0</v>
      </c>
      <c r="BH213" s="198">
        <v>2</v>
      </c>
      <c r="BI213" s="198">
        <v>-2538.3</v>
      </c>
      <c r="BJ213" s="198">
        <v>-6091.92</v>
      </c>
      <c r="BK213" s="198">
        <v>-104070.29999999999</v>
      </c>
      <c r="BL213" s="198">
        <v>-9391.71</v>
      </c>
      <c r="BM213" s="198">
        <v>-135291.39</v>
      </c>
      <c r="BN213" s="198">
        <v>-3045.96</v>
      </c>
      <c r="BO213" s="198">
        <v>619971</v>
      </c>
      <c r="BP213" s="198">
        <v>-262736.8353430629</v>
      </c>
      <c r="BQ213" s="198">
        <v>1718173</v>
      </c>
      <c r="BR213" s="198">
        <v>523096</v>
      </c>
      <c r="BS213" s="198">
        <v>1194796.575612194</v>
      </c>
      <c r="BT213" s="198">
        <v>48400.668529056275</v>
      </c>
      <c r="BU213" s="198">
        <v>88377.66139206645</v>
      </c>
      <c r="BV213" s="198">
        <v>693320.6224758168</v>
      </c>
      <c r="BW213" s="198">
        <v>1006309.4719982253</v>
      </c>
      <c r="BX213" s="198">
        <v>2284.47</v>
      </c>
      <c r="BY213" s="198">
        <v>191267.64606360756</v>
      </c>
      <c r="BZ213" s="198">
        <v>5823260.280727902</v>
      </c>
      <c r="CA213" s="198">
        <v>5342760.090727902</v>
      </c>
      <c r="CB213" s="198">
        <v>-4115108.1264996384</v>
      </c>
      <c r="CC213" s="232">
        <v>9184769.837619053</v>
      </c>
      <c r="CD213" s="198">
        <v>-3142813</v>
      </c>
      <c r="CE213" s="198">
        <v>-96767.75582000002</v>
      </c>
      <c r="CH213" s="198">
        <v>25507</v>
      </c>
    </row>
    <row r="214" spans="1:86" ht="11.25">
      <c r="A214" s="198">
        <v>710</v>
      </c>
      <c r="B214" s="198" t="s">
        <v>289</v>
      </c>
      <c r="C214" s="198">
        <v>28674</v>
      </c>
      <c r="D214" s="198">
        <v>102785658.58000001</v>
      </c>
      <c r="E214" s="198">
        <v>29134255.879321977</v>
      </c>
      <c r="F214" s="198">
        <v>12158636.190174004</v>
      </c>
      <c r="G214" s="198">
        <v>144078550.649496</v>
      </c>
      <c r="H214" s="198">
        <v>3642.26</v>
      </c>
      <c r="I214" s="198">
        <v>104438163.24000001</v>
      </c>
      <c r="J214" s="198">
        <v>39640387.40949598</v>
      </c>
      <c r="K214" s="198">
        <v>855395.3240767932</v>
      </c>
      <c r="L214" s="198">
        <v>6912756.5953599075</v>
      </c>
      <c r="M214" s="198">
        <v>0</v>
      </c>
      <c r="N214" s="198">
        <v>47408539.32893268</v>
      </c>
      <c r="O214" s="198">
        <v>9157749.455909083</v>
      </c>
      <c r="P214" s="198">
        <v>56566288.78484176</v>
      </c>
      <c r="Q214" s="198">
        <v>1651</v>
      </c>
      <c r="R214" s="198">
        <v>300</v>
      </c>
      <c r="S214" s="198">
        <v>1860</v>
      </c>
      <c r="T214" s="198">
        <v>913</v>
      </c>
      <c r="U214" s="198">
        <v>1000</v>
      </c>
      <c r="V214" s="198">
        <v>16072</v>
      </c>
      <c r="W214" s="198">
        <v>3787</v>
      </c>
      <c r="X214" s="198">
        <v>2187</v>
      </c>
      <c r="Y214" s="198">
        <v>904</v>
      </c>
      <c r="Z214" s="198">
        <v>8844</v>
      </c>
      <c r="AA214" s="198">
        <v>18649</v>
      </c>
      <c r="AB214" s="198">
        <v>0</v>
      </c>
      <c r="AC214" s="198">
        <v>1181</v>
      </c>
      <c r="AD214" s="198">
        <v>1147.99</v>
      </c>
      <c r="AE214" s="198">
        <v>24.97756949102344</v>
      </c>
      <c r="AF214" s="198">
        <v>6878</v>
      </c>
      <c r="AG214" s="198">
        <v>29134255.879321977</v>
      </c>
      <c r="AH214" s="198">
        <v>18213762.094126187</v>
      </c>
      <c r="AI214" s="198">
        <v>6942844.720133817</v>
      </c>
      <c r="AJ214" s="198">
        <v>3977649.0650619734</v>
      </c>
      <c r="AK214" s="198">
        <v>1391</v>
      </c>
      <c r="AL214" s="198">
        <v>13349</v>
      </c>
      <c r="AM214" s="198">
        <v>0.8359045484555856</v>
      </c>
      <c r="AN214" s="198">
        <v>1181</v>
      </c>
      <c r="AO214" s="198">
        <v>0.0411871381739555</v>
      </c>
      <c r="AP214" s="198">
        <v>0.03946359456830228</v>
      </c>
      <c r="AQ214" s="198">
        <v>3</v>
      </c>
      <c r="AR214" s="198">
        <v>18649</v>
      </c>
      <c r="AS214" s="198">
        <v>0</v>
      </c>
      <c r="AT214" s="198">
        <v>1</v>
      </c>
      <c r="AU214" s="198">
        <v>1147.99</v>
      </c>
      <c r="AV214" s="198">
        <v>24.97756949102344</v>
      </c>
      <c r="AW214" s="198">
        <v>0.7207447184703079</v>
      </c>
      <c r="AX214" s="198">
        <v>1709</v>
      </c>
      <c r="AY214" s="198">
        <v>8831</v>
      </c>
      <c r="AZ214" s="198">
        <v>0.19352281734797872</v>
      </c>
      <c r="BA214" s="198">
        <v>0.12983395865232655</v>
      </c>
      <c r="BB214" s="198">
        <v>0</v>
      </c>
      <c r="BC214" s="198">
        <v>10626</v>
      </c>
      <c r="BD214" s="198">
        <v>11782</v>
      </c>
      <c r="BE214" s="198">
        <v>0.901884230181633</v>
      </c>
      <c r="BF214" s="198">
        <v>0.47224537588524446</v>
      </c>
      <c r="BG214" s="198">
        <v>0</v>
      </c>
      <c r="BH214" s="198">
        <v>0</v>
      </c>
      <c r="BI214" s="198">
        <v>-2867.4</v>
      </c>
      <c r="BJ214" s="198">
        <v>-6881.759999999999</v>
      </c>
      <c r="BK214" s="198">
        <v>-117563.4</v>
      </c>
      <c r="BL214" s="198">
        <v>-10609.38</v>
      </c>
      <c r="BM214" s="198">
        <v>-152832.42</v>
      </c>
      <c r="BN214" s="198">
        <v>-3440.8799999999997</v>
      </c>
      <c r="BO214" s="198">
        <v>-62333</v>
      </c>
      <c r="BP214" s="198">
        <v>100751.36435972154</v>
      </c>
      <c r="BQ214" s="198">
        <v>2274555</v>
      </c>
      <c r="BR214" s="198">
        <v>774472</v>
      </c>
      <c r="BS214" s="198">
        <v>1740977.2657312586</v>
      </c>
      <c r="BT214" s="198">
        <v>55966.14853698343</v>
      </c>
      <c r="BU214" s="198">
        <v>183065.70473621695</v>
      </c>
      <c r="BV214" s="198">
        <v>718511.309927462</v>
      </c>
      <c r="BW214" s="198">
        <v>1494553.5937983661</v>
      </c>
      <c r="BX214" s="198">
        <v>2580.66</v>
      </c>
      <c r="BY214" s="198">
        <v>172455.36826989887</v>
      </c>
      <c r="BZ214" s="198">
        <v>7455555.415359908</v>
      </c>
      <c r="CA214" s="198">
        <v>6912756.5953599075</v>
      </c>
      <c r="CB214" s="198">
        <v>0</v>
      </c>
      <c r="CC214" s="232">
        <v>9157749.455909083</v>
      </c>
      <c r="CD214" s="198">
        <v>-2652645</v>
      </c>
      <c r="CE214" s="198">
        <v>-801466.3917659998</v>
      </c>
      <c r="CH214" s="198">
        <v>28695</v>
      </c>
    </row>
    <row r="215" spans="1:86" ht="11.25">
      <c r="A215" s="198">
        <v>680</v>
      </c>
      <c r="B215" s="198" t="s">
        <v>290</v>
      </c>
      <c r="C215" s="198">
        <v>24371</v>
      </c>
      <c r="D215" s="198">
        <v>84186961.48</v>
      </c>
      <c r="E215" s="198">
        <v>28078944.80943551</v>
      </c>
      <c r="F215" s="198">
        <v>5723923.947890175</v>
      </c>
      <c r="G215" s="198">
        <v>117989830.23732568</v>
      </c>
      <c r="H215" s="198">
        <v>3642.26</v>
      </c>
      <c r="I215" s="198">
        <v>88765518.46000001</v>
      </c>
      <c r="J215" s="198">
        <v>29224311.777325675</v>
      </c>
      <c r="K215" s="198">
        <v>813296.7309658581</v>
      </c>
      <c r="L215" s="198">
        <v>3671405.8068608553</v>
      </c>
      <c r="M215" s="198">
        <v>0</v>
      </c>
      <c r="N215" s="198">
        <v>33709014.315152384</v>
      </c>
      <c r="O215" s="198">
        <v>-431939.7855256361</v>
      </c>
      <c r="P215" s="198">
        <v>33277074.52962675</v>
      </c>
      <c r="Q215" s="198">
        <v>1549</v>
      </c>
      <c r="R215" s="198">
        <v>275</v>
      </c>
      <c r="S215" s="198">
        <v>1539</v>
      </c>
      <c r="T215" s="198">
        <v>847</v>
      </c>
      <c r="U215" s="198">
        <v>1009</v>
      </c>
      <c r="V215" s="198">
        <v>14233</v>
      </c>
      <c r="W215" s="198">
        <v>2711</v>
      </c>
      <c r="X215" s="198">
        <v>1650</v>
      </c>
      <c r="Y215" s="198">
        <v>558</v>
      </c>
      <c r="Z215" s="198">
        <v>22515</v>
      </c>
      <c r="AA215" s="198">
        <v>350</v>
      </c>
      <c r="AB215" s="198">
        <v>0</v>
      </c>
      <c r="AC215" s="198">
        <v>1506</v>
      </c>
      <c r="AD215" s="198">
        <v>48.76</v>
      </c>
      <c r="AE215" s="198">
        <v>499.81542247744056</v>
      </c>
      <c r="AF215" s="198">
        <v>4919</v>
      </c>
      <c r="AG215" s="198">
        <v>28078944.80943551</v>
      </c>
      <c r="AH215" s="198">
        <v>15650181.140574737</v>
      </c>
      <c r="AI215" s="198">
        <v>8155830.6120693125</v>
      </c>
      <c r="AJ215" s="198">
        <v>4272933.056791464</v>
      </c>
      <c r="AK215" s="198">
        <v>1353</v>
      </c>
      <c r="AL215" s="198">
        <v>12013</v>
      </c>
      <c r="AM215" s="198">
        <v>0.9034926231576693</v>
      </c>
      <c r="AN215" s="198">
        <v>1506</v>
      </c>
      <c r="AO215" s="198">
        <v>0.06179475606253334</v>
      </c>
      <c r="AP215" s="198">
        <v>0.060071212456880116</v>
      </c>
      <c r="AQ215" s="198">
        <v>0</v>
      </c>
      <c r="AR215" s="198">
        <v>350</v>
      </c>
      <c r="AS215" s="198">
        <v>0</v>
      </c>
      <c r="AT215" s="198">
        <v>0</v>
      </c>
      <c r="AU215" s="198">
        <v>48.76</v>
      </c>
      <c r="AV215" s="198">
        <v>499.81542247744056</v>
      </c>
      <c r="AW215" s="198">
        <v>0.036018198881593716</v>
      </c>
      <c r="AX215" s="198">
        <v>1166</v>
      </c>
      <c r="AY215" s="198">
        <v>8057</v>
      </c>
      <c r="AZ215" s="198">
        <v>0.14471887799429067</v>
      </c>
      <c r="BA215" s="198">
        <v>0.0810300192986385</v>
      </c>
      <c r="BB215" s="198">
        <v>0</v>
      </c>
      <c r="BC215" s="198">
        <v>10130</v>
      </c>
      <c r="BD215" s="198">
        <v>10575</v>
      </c>
      <c r="BE215" s="198">
        <v>0.957919621749409</v>
      </c>
      <c r="BF215" s="198">
        <v>0.5282807674530205</v>
      </c>
      <c r="BG215" s="198">
        <v>0</v>
      </c>
      <c r="BH215" s="198">
        <v>0</v>
      </c>
      <c r="BI215" s="198">
        <v>-2437.1</v>
      </c>
      <c r="BJ215" s="198">
        <v>-5849.04</v>
      </c>
      <c r="BK215" s="198">
        <v>-99921.09999999999</v>
      </c>
      <c r="BL215" s="198">
        <v>-9017.27</v>
      </c>
      <c r="BM215" s="198">
        <v>-129897.43000000001</v>
      </c>
      <c r="BN215" s="198">
        <v>-2924.52</v>
      </c>
      <c r="BO215" s="198">
        <v>-382405</v>
      </c>
      <c r="BP215" s="198">
        <v>-208527.08328069</v>
      </c>
      <c r="BQ215" s="198">
        <v>1528954</v>
      </c>
      <c r="BR215" s="198">
        <v>539128</v>
      </c>
      <c r="BS215" s="198">
        <v>1052685.2707331371</v>
      </c>
      <c r="BT215" s="198">
        <v>26314.82731204461</v>
      </c>
      <c r="BU215" s="198">
        <v>-43151.45647350224</v>
      </c>
      <c r="BV215" s="198">
        <v>577164.9349497573</v>
      </c>
      <c r="BW215" s="198">
        <v>1076869.4583183</v>
      </c>
      <c r="BX215" s="198">
        <v>2193.39</v>
      </c>
      <c r="BY215" s="198">
        <v>-36477.504698191886</v>
      </c>
      <c r="BZ215" s="198">
        <v>4132748.836860855</v>
      </c>
      <c r="CA215" s="198">
        <v>3671405.8068608553</v>
      </c>
      <c r="CB215" s="198">
        <v>0</v>
      </c>
      <c r="CC215" s="232">
        <v>-431939.7855256361</v>
      </c>
      <c r="CD215" s="198">
        <v>-2943704</v>
      </c>
      <c r="CE215" s="198">
        <v>-1319109.7554400002</v>
      </c>
      <c r="CH215" s="198">
        <v>24565</v>
      </c>
    </row>
    <row r="216" spans="1:86" ht="11.25">
      <c r="A216" s="198">
        <v>681</v>
      </c>
      <c r="B216" s="198" t="s">
        <v>291</v>
      </c>
      <c r="C216" s="198">
        <v>3815</v>
      </c>
      <c r="D216" s="198">
        <v>14699623.849999998</v>
      </c>
      <c r="E216" s="198">
        <v>5998297.6719966885</v>
      </c>
      <c r="F216" s="198">
        <v>1063504.4717654237</v>
      </c>
      <c r="G216" s="198">
        <v>21761425.99376211</v>
      </c>
      <c r="H216" s="198">
        <v>3642.26</v>
      </c>
      <c r="I216" s="198">
        <v>13895221.9</v>
      </c>
      <c r="J216" s="198">
        <v>7866204.093762109</v>
      </c>
      <c r="K216" s="198">
        <v>514372.8508959405</v>
      </c>
      <c r="L216" s="198">
        <v>1231867.2414722138</v>
      </c>
      <c r="M216" s="198">
        <v>1173324.8936173934</v>
      </c>
      <c r="N216" s="198">
        <v>10785769.079747656</v>
      </c>
      <c r="O216" s="198">
        <v>3378160.587707316</v>
      </c>
      <c r="P216" s="198">
        <v>14163929.667454973</v>
      </c>
      <c r="Q216" s="198">
        <v>168</v>
      </c>
      <c r="R216" s="198">
        <v>29</v>
      </c>
      <c r="S216" s="198">
        <v>221</v>
      </c>
      <c r="T216" s="198">
        <v>116</v>
      </c>
      <c r="U216" s="198">
        <v>107</v>
      </c>
      <c r="V216" s="198">
        <v>2026</v>
      </c>
      <c r="W216" s="198">
        <v>565</v>
      </c>
      <c r="X216" s="198">
        <v>396</v>
      </c>
      <c r="Y216" s="198">
        <v>187</v>
      </c>
      <c r="Z216" s="198">
        <v>3736</v>
      </c>
      <c r="AA216" s="198">
        <v>7</v>
      </c>
      <c r="AB216" s="198">
        <v>0</v>
      </c>
      <c r="AC216" s="198">
        <v>72</v>
      </c>
      <c r="AD216" s="198">
        <v>559.16</v>
      </c>
      <c r="AE216" s="198">
        <v>6.822734101151728</v>
      </c>
      <c r="AF216" s="198">
        <v>1148</v>
      </c>
      <c r="AG216" s="198">
        <v>5998297.6719966885</v>
      </c>
      <c r="AH216" s="198">
        <v>3375594.076736413</v>
      </c>
      <c r="AI216" s="198">
        <v>1884493.6159365468</v>
      </c>
      <c r="AJ216" s="198">
        <v>738209.9793237286</v>
      </c>
      <c r="AK216" s="198">
        <v>217</v>
      </c>
      <c r="AL216" s="198">
        <v>1648</v>
      </c>
      <c r="AM216" s="198">
        <v>1.0562842834838881</v>
      </c>
      <c r="AN216" s="198">
        <v>72</v>
      </c>
      <c r="AO216" s="198">
        <v>0.01887287024901704</v>
      </c>
      <c r="AP216" s="198">
        <v>0.017149326643363817</v>
      </c>
      <c r="AQ216" s="198">
        <v>0</v>
      </c>
      <c r="AR216" s="198">
        <v>7</v>
      </c>
      <c r="AS216" s="198">
        <v>0</v>
      </c>
      <c r="AT216" s="198">
        <v>0</v>
      </c>
      <c r="AU216" s="198">
        <v>559.16</v>
      </c>
      <c r="AV216" s="198">
        <v>6.822734101151728</v>
      </c>
      <c r="AW216" s="198">
        <v>2.6385978148908507</v>
      </c>
      <c r="AX216" s="198">
        <v>176</v>
      </c>
      <c r="AY216" s="198">
        <v>1022</v>
      </c>
      <c r="AZ216" s="198">
        <v>0.17221135029354206</v>
      </c>
      <c r="BA216" s="198">
        <v>0.10852249159788989</v>
      </c>
      <c r="BB216" s="198">
        <v>0.5338666666666667</v>
      </c>
      <c r="BC216" s="198">
        <v>1105</v>
      </c>
      <c r="BD216" s="198">
        <v>1373</v>
      </c>
      <c r="BE216" s="198">
        <v>0.8048069919883467</v>
      </c>
      <c r="BF216" s="198">
        <v>0.37516813769195817</v>
      </c>
      <c r="BG216" s="198">
        <v>0</v>
      </c>
      <c r="BH216" s="198">
        <v>0</v>
      </c>
      <c r="BI216" s="198">
        <v>-381.5</v>
      </c>
      <c r="BJ216" s="198">
        <v>-915.6</v>
      </c>
      <c r="BK216" s="198">
        <v>-15641.499999999998</v>
      </c>
      <c r="BL216" s="198">
        <v>-1411.55</v>
      </c>
      <c r="BM216" s="198">
        <v>-20333.95</v>
      </c>
      <c r="BN216" s="198">
        <v>-457.8</v>
      </c>
      <c r="BO216" s="198">
        <v>-61714</v>
      </c>
      <c r="BP216" s="198">
        <v>78566.64100998268</v>
      </c>
      <c r="BQ216" s="198">
        <v>411804</v>
      </c>
      <c r="BR216" s="198">
        <v>130474</v>
      </c>
      <c r="BS216" s="198">
        <v>344562.1825584938</v>
      </c>
      <c r="BT216" s="198">
        <v>19231.41621597007</v>
      </c>
      <c r="BU216" s="198">
        <v>10822.416604734512</v>
      </c>
      <c r="BV216" s="198">
        <v>149765.78572192296</v>
      </c>
      <c r="BW216" s="198">
        <v>225572.05792812447</v>
      </c>
      <c r="BX216" s="198">
        <v>343.34999999999997</v>
      </c>
      <c r="BY216" s="198">
        <v>-5342.658567014834</v>
      </c>
      <c r="BZ216" s="198">
        <v>1304085.1914722137</v>
      </c>
      <c r="CA216" s="198">
        <v>1231867.2414722138</v>
      </c>
      <c r="CB216" s="198">
        <v>1173324.8936173934</v>
      </c>
      <c r="CC216" s="232">
        <v>3378160.587707316</v>
      </c>
      <c r="CD216" s="198">
        <v>-417352</v>
      </c>
      <c r="CE216" s="198">
        <v>-63469.98474</v>
      </c>
      <c r="CH216" s="198">
        <v>3872</v>
      </c>
    </row>
    <row r="217" spans="1:86" ht="11.25">
      <c r="A217" s="198">
        <v>683</v>
      </c>
      <c r="B217" s="198" t="s">
        <v>292</v>
      </c>
      <c r="C217" s="198">
        <v>4093</v>
      </c>
      <c r="D217" s="198">
        <v>16019726.08</v>
      </c>
      <c r="E217" s="198">
        <v>5704940.140707781</v>
      </c>
      <c r="F217" s="198">
        <v>3188973.3442769446</v>
      </c>
      <c r="G217" s="198">
        <v>24913639.564984728</v>
      </c>
      <c r="H217" s="198">
        <v>3642.26</v>
      </c>
      <c r="I217" s="198">
        <v>14907770.180000002</v>
      </c>
      <c r="J217" s="198">
        <v>10005869.384984726</v>
      </c>
      <c r="K217" s="198">
        <v>4331478.75498112</v>
      </c>
      <c r="L217" s="198">
        <v>1521756.5623530939</v>
      </c>
      <c r="M217" s="198">
        <v>826466.1090321577</v>
      </c>
      <c r="N217" s="198">
        <v>16685570.811351098</v>
      </c>
      <c r="O217" s="198">
        <v>4593833.053818183</v>
      </c>
      <c r="P217" s="198">
        <v>21279403.86516928</v>
      </c>
      <c r="Q217" s="198">
        <v>282</v>
      </c>
      <c r="R217" s="198">
        <v>42</v>
      </c>
      <c r="S217" s="198">
        <v>342</v>
      </c>
      <c r="T217" s="198">
        <v>180</v>
      </c>
      <c r="U217" s="198">
        <v>201</v>
      </c>
      <c r="V217" s="198">
        <v>2116</v>
      </c>
      <c r="W217" s="198">
        <v>486</v>
      </c>
      <c r="X217" s="198">
        <v>330</v>
      </c>
      <c r="Y217" s="198">
        <v>114</v>
      </c>
      <c r="Z217" s="198">
        <v>4076</v>
      </c>
      <c r="AA217" s="198">
        <v>2</v>
      </c>
      <c r="AB217" s="198">
        <v>0</v>
      </c>
      <c r="AC217" s="198">
        <v>15</v>
      </c>
      <c r="AD217" s="198">
        <v>3453.71</v>
      </c>
      <c r="AE217" s="198">
        <v>1.185102397132359</v>
      </c>
      <c r="AF217" s="198">
        <v>930</v>
      </c>
      <c r="AG217" s="198">
        <v>5704940.140707781</v>
      </c>
      <c r="AH217" s="198">
        <v>3434537.0786600066</v>
      </c>
      <c r="AI217" s="198">
        <v>1349811.7937146537</v>
      </c>
      <c r="AJ217" s="198">
        <v>920591.2683331204</v>
      </c>
      <c r="AK217" s="198">
        <v>281</v>
      </c>
      <c r="AL217" s="198">
        <v>1614</v>
      </c>
      <c r="AM217" s="198">
        <v>1.3966290815673534</v>
      </c>
      <c r="AN217" s="198">
        <v>15</v>
      </c>
      <c r="AO217" s="198">
        <v>0.003664793549963352</v>
      </c>
      <c r="AP217" s="198">
        <v>0.0019412499443101291</v>
      </c>
      <c r="AQ217" s="198">
        <v>0</v>
      </c>
      <c r="AR217" s="198">
        <v>2</v>
      </c>
      <c r="AS217" s="198">
        <v>0</v>
      </c>
      <c r="AT217" s="198">
        <v>0</v>
      </c>
      <c r="AU217" s="198">
        <v>3453.71</v>
      </c>
      <c r="AV217" s="198">
        <v>1.185102397132359</v>
      </c>
      <c r="AW217" s="198">
        <v>15.19062937889714</v>
      </c>
      <c r="AX217" s="198">
        <v>187</v>
      </c>
      <c r="AY217" s="198">
        <v>1012</v>
      </c>
      <c r="AZ217" s="198">
        <v>0.18478260869565216</v>
      </c>
      <c r="BA217" s="198">
        <v>0.12109374999999999</v>
      </c>
      <c r="BB217" s="198">
        <v>1.6410166666666668</v>
      </c>
      <c r="BC217" s="198">
        <v>1214</v>
      </c>
      <c r="BD217" s="198">
        <v>1265</v>
      </c>
      <c r="BE217" s="198">
        <v>0.9596837944664032</v>
      </c>
      <c r="BF217" s="198">
        <v>0.5300449401700147</v>
      </c>
      <c r="BG217" s="198">
        <v>0</v>
      </c>
      <c r="BH217" s="198">
        <v>0</v>
      </c>
      <c r="BI217" s="198">
        <v>-409.3</v>
      </c>
      <c r="BJ217" s="198">
        <v>-982.3199999999999</v>
      </c>
      <c r="BK217" s="198">
        <v>-16781.3</v>
      </c>
      <c r="BL217" s="198">
        <v>-1514.41</v>
      </c>
      <c r="BM217" s="198">
        <v>-21815.69</v>
      </c>
      <c r="BN217" s="198">
        <v>-491.15999999999997</v>
      </c>
      <c r="BO217" s="198">
        <v>230009</v>
      </c>
      <c r="BP217" s="198">
        <v>26685.365200374275</v>
      </c>
      <c r="BQ217" s="198">
        <v>390442</v>
      </c>
      <c r="BR217" s="198">
        <v>122609</v>
      </c>
      <c r="BS217" s="198">
        <v>347331.21264556574</v>
      </c>
      <c r="BT217" s="198">
        <v>19520.681091053913</v>
      </c>
      <c r="BU217" s="198">
        <v>49288.64328394005</v>
      </c>
      <c r="BV217" s="198">
        <v>162882.72037355308</v>
      </c>
      <c r="BW217" s="198">
        <v>217926.43870621515</v>
      </c>
      <c r="BX217" s="198">
        <v>368.37</v>
      </c>
      <c r="BY217" s="198">
        <v>32173.621052391634</v>
      </c>
      <c r="BZ217" s="198">
        <v>1599237.0523530939</v>
      </c>
      <c r="CA217" s="198">
        <v>1521756.5623530939</v>
      </c>
      <c r="CB217" s="198">
        <v>826466.1090321577</v>
      </c>
      <c r="CC217" s="232">
        <v>4593833.053818183</v>
      </c>
      <c r="CD217" s="198">
        <v>-6705</v>
      </c>
      <c r="CE217" s="198">
        <v>-80392.82352000002</v>
      </c>
      <c r="CH217" s="198">
        <v>4154</v>
      </c>
    </row>
    <row r="218" spans="1:86" ht="11.25">
      <c r="A218" s="198">
        <v>684</v>
      </c>
      <c r="B218" s="198" t="s">
        <v>293</v>
      </c>
      <c r="C218" s="198">
        <v>39970</v>
      </c>
      <c r="D218" s="198">
        <v>139468335.9</v>
      </c>
      <c r="E218" s="198">
        <v>45334373.5968878</v>
      </c>
      <c r="F218" s="198">
        <v>7986376.954476435</v>
      </c>
      <c r="G218" s="198">
        <v>192789086.45136425</v>
      </c>
      <c r="H218" s="198">
        <v>3642.26</v>
      </c>
      <c r="I218" s="198">
        <v>145581132.20000002</v>
      </c>
      <c r="J218" s="198">
        <v>47207954.25136423</v>
      </c>
      <c r="K218" s="198">
        <v>1476409.8997128317</v>
      </c>
      <c r="L218" s="198">
        <v>8737617.355860334</v>
      </c>
      <c r="M218" s="198">
        <v>1129084.8286837789</v>
      </c>
      <c r="N218" s="198">
        <v>58551066.33562118</v>
      </c>
      <c r="O218" s="198">
        <v>-6679779.006504713</v>
      </c>
      <c r="P218" s="198">
        <v>51871287.32911646</v>
      </c>
      <c r="Q218" s="198">
        <v>2461</v>
      </c>
      <c r="R218" s="198">
        <v>372</v>
      </c>
      <c r="S218" s="198">
        <v>2356</v>
      </c>
      <c r="T218" s="198">
        <v>1196</v>
      </c>
      <c r="U218" s="198">
        <v>1345</v>
      </c>
      <c r="V218" s="198">
        <v>23139</v>
      </c>
      <c r="W218" s="198">
        <v>4959</v>
      </c>
      <c r="X218" s="198">
        <v>2947</v>
      </c>
      <c r="Y218" s="198">
        <v>1195</v>
      </c>
      <c r="Z218" s="198">
        <v>38417</v>
      </c>
      <c r="AA218" s="198">
        <v>132</v>
      </c>
      <c r="AB218" s="198">
        <v>0</v>
      </c>
      <c r="AC218" s="198">
        <v>1421</v>
      </c>
      <c r="AD218" s="198">
        <v>495.6</v>
      </c>
      <c r="AE218" s="198">
        <v>80.64971751412429</v>
      </c>
      <c r="AF218" s="198">
        <v>9101</v>
      </c>
      <c r="AG218" s="198">
        <v>45334373.5968878</v>
      </c>
      <c r="AH218" s="198">
        <v>26976925.655248366</v>
      </c>
      <c r="AI218" s="198">
        <v>12972857.504219292</v>
      </c>
      <c r="AJ218" s="198">
        <v>5384590.437420138</v>
      </c>
      <c r="AK218" s="198">
        <v>2416</v>
      </c>
      <c r="AL218" s="198">
        <v>18902</v>
      </c>
      <c r="AM218" s="198">
        <v>1.0253389668911679</v>
      </c>
      <c r="AN218" s="198">
        <v>1421</v>
      </c>
      <c r="AO218" s="198">
        <v>0.03555166374781086</v>
      </c>
      <c r="AP218" s="198">
        <v>0.033828120142157636</v>
      </c>
      <c r="AQ218" s="198">
        <v>0</v>
      </c>
      <c r="AR218" s="198">
        <v>132</v>
      </c>
      <c r="AS218" s="198">
        <v>0</v>
      </c>
      <c r="AT218" s="198">
        <v>0</v>
      </c>
      <c r="AU218" s="198">
        <v>495.6</v>
      </c>
      <c r="AV218" s="198">
        <v>80.64971751412429</v>
      </c>
      <c r="AW218" s="198">
        <v>0.22321778483263066</v>
      </c>
      <c r="AX218" s="198">
        <v>1712</v>
      </c>
      <c r="AY218" s="198">
        <v>12247</v>
      </c>
      <c r="AZ218" s="198">
        <v>0.13978933616395853</v>
      </c>
      <c r="BA218" s="198">
        <v>0.07610047746830635</v>
      </c>
      <c r="BB218" s="198">
        <v>0</v>
      </c>
      <c r="BC218" s="198">
        <v>16862</v>
      </c>
      <c r="BD218" s="198">
        <v>16623</v>
      </c>
      <c r="BE218" s="198">
        <v>1.0143776694940745</v>
      </c>
      <c r="BF218" s="198">
        <v>0.584738815197686</v>
      </c>
      <c r="BG218" s="198">
        <v>0</v>
      </c>
      <c r="BH218" s="198">
        <v>0</v>
      </c>
      <c r="BI218" s="198">
        <v>-3997</v>
      </c>
      <c r="BJ218" s="198">
        <v>-9592.8</v>
      </c>
      <c r="BK218" s="198">
        <v>-163877</v>
      </c>
      <c r="BL218" s="198">
        <v>-14788.9</v>
      </c>
      <c r="BM218" s="198">
        <v>-213040.1</v>
      </c>
      <c r="BN218" s="198">
        <v>-4796.4</v>
      </c>
      <c r="BO218" s="198">
        <v>819888</v>
      </c>
      <c r="BP218" s="198">
        <v>441723.179392606</v>
      </c>
      <c r="BQ218" s="198">
        <v>2791678</v>
      </c>
      <c r="BR218" s="198">
        <v>1004850</v>
      </c>
      <c r="BS218" s="198">
        <v>2239849.184151838</v>
      </c>
      <c r="BT218" s="198">
        <v>98973.14985240079</v>
      </c>
      <c r="BU218" s="198">
        <v>-246556.0515552825</v>
      </c>
      <c r="BV218" s="198">
        <v>955269.0614246762</v>
      </c>
      <c r="BW218" s="198">
        <v>2058543.270108794</v>
      </c>
      <c r="BX218" s="198">
        <v>3597.2999999999997</v>
      </c>
      <c r="BY218" s="198">
        <v>-673565.637514699</v>
      </c>
      <c r="BZ218" s="198">
        <v>9494249.455860334</v>
      </c>
      <c r="CA218" s="198">
        <v>8737617.355860334</v>
      </c>
      <c r="CB218" s="198">
        <v>1129084.8286837789</v>
      </c>
      <c r="CC218" s="232">
        <v>-6679779.006504713</v>
      </c>
      <c r="CD218" s="198">
        <v>-3205542</v>
      </c>
      <c r="CE218" s="198">
        <v>-2627940.03817</v>
      </c>
      <c r="CH218" s="198">
        <v>39979</v>
      </c>
    </row>
    <row r="219" spans="1:86" ht="11.25">
      <c r="A219" s="198">
        <v>686</v>
      </c>
      <c r="B219" s="198" t="s">
        <v>294</v>
      </c>
      <c r="C219" s="198">
        <v>3374</v>
      </c>
      <c r="D219" s="198">
        <v>13110762.98</v>
      </c>
      <c r="E219" s="198">
        <v>6743845.673621771</v>
      </c>
      <c r="F219" s="198">
        <v>882070.4431393401</v>
      </c>
      <c r="G219" s="198">
        <v>20736679.09676111</v>
      </c>
      <c r="H219" s="198">
        <v>3642.26</v>
      </c>
      <c r="I219" s="198">
        <v>12288985.24</v>
      </c>
      <c r="J219" s="198">
        <v>8447693.856761111</v>
      </c>
      <c r="K219" s="198">
        <v>214083.93023485297</v>
      </c>
      <c r="L219" s="198">
        <v>1170577.9772179087</v>
      </c>
      <c r="M219" s="198">
        <v>0</v>
      </c>
      <c r="N219" s="198">
        <v>9832355.764213873</v>
      </c>
      <c r="O219" s="198">
        <v>3037365.277023255</v>
      </c>
      <c r="P219" s="198">
        <v>12869721.041237127</v>
      </c>
      <c r="Q219" s="198">
        <v>156</v>
      </c>
      <c r="R219" s="198">
        <v>30</v>
      </c>
      <c r="S219" s="198">
        <v>195</v>
      </c>
      <c r="T219" s="198">
        <v>112</v>
      </c>
      <c r="U219" s="198">
        <v>83</v>
      </c>
      <c r="V219" s="198">
        <v>1753</v>
      </c>
      <c r="W219" s="198">
        <v>544</v>
      </c>
      <c r="X219" s="198">
        <v>338</v>
      </c>
      <c r="Y219" s="198">
        <v>163</v>
      </c>
      <c r="Z219" s="198">
        <v>3326</v>
      </c>
      <c r="AA219" s="198">
        <v>2</v>
      </c>
      <c r="AB219" s="198">
        <v>0</v>
      </c>
      <c r="AC219" s="198">
        <v>46</v>
      </c>
      <c r="AD219" s="198">
        <v>538.98</v>
      </c>
      <c r="AE219" s="198">
        <v>6.259972540725073</v>
      </c>
      <c r="AF219" s="198">
        <v>1045</v>
      </c>
      <c r="AG219" s="198">
        <v>6743845.673621771</v>
      </c>
      <c r="AH219" s="198">
        <v>3910884.4602276064</v>
      </c>
      <c r="AI219" s="198">
        <v>2060011.9409257895</v>
      </c>
      <c r="AJ219" s="198">
        <v>772949.2724683747</v>
      </c>
      <c r="AK219" s="198">
        <v>174</v>
      </c>
      <c r="AL219" s="198">
        <v>1347</v>
      </c>
      <c r="AM219" s="198">
        <v>1.0362390253048144</v>
      </c>
      <c r="AN219" s="198">
        <v>46</v>
      </c>
      <c r="AO219" s="198">
        <v>0.013633669235328987</v>
      </c>
      <c r="AP219" s="198">
        <v>0.011910125629675763</v>
      </c>
      <c r="AQ219" s="198">
        <v>0</v>
      </c>
      <c r="AR219" s="198">
        <v>2</v>
      </c>
      <c r="AS219" s="198">
        <v>0</v>
      </c>
      <c r="AT219" s="198">
        <v>0</v>
      </c>
      <c r="AU219" s="198">
        <v>538.98</v>
      </c>
      <c r="AV219" s="198">
        <v>6.259972540725073</v>
      </c>
      <c r="AW219" s="198">
        <v>2.875803555648676</v>
      </c>
      <c r="AX219" s="198">
        <v>122</v>
      </c>
      <c r="AY219" s="198">
        <v>886</v>
      </c>
      <c r="AZ219" s="198">
        <v>0.13769751693002258</v>
      </c>
      <c r="BA219" s="198">
        <v>0.0740086582343704</v>
      </c>
      <c r="BB219" s="198">
        <v>0.17226666666666668</v>
      </c>
      <c r="BC219" s="198">
        <v>973</v>
      </c>
      <c r="BD219" s="198">
        <v>1123</v>
      </c>
      <c r="BE219" s="198">
        <v>0.8664292074799644</v>
      </c>
      <c r="BF219" s="198">
        <v>0.4367903531835759</v>
      </c>
      <c r="BG219" s="198">
        <v>0</v>
      </c>
      <c r="BH219" s="198">
        <v>0</v>
      </c>
      <c r="BI219" s="198">
        <v>-337.40000000000003</v>
      </c>
      <c r="BJ219" s="198">
        <v>-809.76</v>
      </c>
      <c r="BK219" s="198">
        <v>-13833.4</v>
      </c>
      <c r="BL219" s="198">
        <v>-1248.3799999999999</v>
      </c>
      <c r="BM219" s="198">
        <v>-17983.420000000002</v>
      </c>
      <c r="BN219" s="198">
        <v>-404.88</v>
      </c>
      <c r="BO219" s="198">
        <v>82080</v>
      </c>
      <c r="BP219" s="198">
        <v>44659.95051725209</v>
      </c>
      <c r="BQ219" s="198">
        <v>362670</v>
      </c>
      <c r="BR219" s="198">
        <v>102000</v>
      </c>
      <c r="BS219" s="198">
        <v>267642.6833515385</v>
      </c>
      <c r="BT219" s="198">
        <v>13261.625876543416</v>
      </c>
      <c r="BU219" s="198">
        <v>41439.79547026726</v>
      </c>
      <c r="BV219" s="198">
        <v>141735.98122573993</v>
      </c>
      <c r="BW219" s="198">
        <v>168979.50362908732</v>
      </c>
      <c r="BX219" s="198">
        <v>303.65999999999997</v>
      </c>
      <c r="BY219" s="198">
        <v>9674.597147480374</v>
      </c>
      <c r="BZ219" s="198">
        <v>1234447.7972179088</v>
      </c>
      <c r="CA219" s="198">
        <v>1170577.9772179087</v>
      </c>
      <c r="CB219" s="198">
        <v>0</v>
      </c>
      <c r="CC219" s="232">
        <v>3037365.277023255</v>
      </c>
      <c r="CD219" s="198">
        <v>-103592</v>
      </c>
      <c r="CE219" s="198">
        <v>25539.91341999999</v>
      </c>
      <c r="CH219" s="198">
        <v>3426</v>
      </c>
    </row>
    <row r="220" spans="1:86" ht="11.25">
      <c r="A220" s="198">
        <v>687</v>
      </c>
      <c r="B220" s="198" t="s">
        <v>295</v>
      </c>
      <c r="C220" s="198">
        <v>1768</v>
      </c>
      <c r="D220" s="198">
        <v>6532009.25</v>
      </c>
      <c r="E220" s="198">
        <v>4333762.254840538</v>
      </c>
      <c r="F220" s="198">
        <v>1139697.0775014865</v>
      </c>
      <c r="G220" s="198">
        <v>12005468.582342025</v>
      </c>
      <c r="H220" s="198">
        <v>3642.26</v>
      </c>
      <c r="I220" s="198">
        <v>6439515.680000001</v>
      </c>
      <c r="J220" s="198">
        <v>5565952.902342024</v>
      </c>
      <c r="K220" s="198">
        <v>661192.7451769661</v>
      </c>
      <c r="L220" s="198">
        <v>745216.2220091837</v>
      </c>
      <c r="M220" s="198">
        <v>487024.9884843407</v>
      </c>
      <c r="N220" s="198">
        <v>7459386.858012515</v>
      </c>
      <c r="O220" s="198">
        <v>1298948.2806</v>
      </c>
      <c r="P220" s="198">
        <v>8758335.138612514</v>
      </c>
      <c r="Q220" s="198">
        <v>61</v>
      </c>
      <c r="R220" s="198">
        <v>19</v>
      </c>
      <c r="S220" s="198">
        <v>81</v>
      </c>
      <c r="T220" s="198">
        <v>47</v>
      </c>
      <c r="U220" s="198">
        <v>37</v>
      </c>
      <c r="V220" s="198">
        <v>910</v>
      </c>
      <c r="W220" s="198">
        <v>304</v>
      </c>
      <c r="X220" s="198">
        <v>235</v>
      </c>
      <c r="Y220" s="198">
        <v>74</v>
      </c>
      <c r="Z220" s="198">
        <v>1756</v>
      </c>
      <c r="AA220" s="198">
        <v>0</v>
      </c>
      <c r="AB220" s="198">
        <v>0</v>
      </c>
      <c r="AC220" s="198">
        <v>12</v>
      </c>
      <c r="AD220" s="198">
        <v>1150.93</v>
      </c>
      <c r="AE220" s="198">
        <v>1.5361490273083505</v>
      </c>
      <c r="AF220" s="198">
        <v>613</v>
      </c>
      <c r="AG220" s="198">
        <v>4333762.254840538</v>
      </c>
      <c r="AH220" s="198">
        <v>2386784.5129751014</v>
      </c>
      <c r="AI220" s="198">
        <v>1365094.581692615</v>
      </c>
      <c r="AJ220" s="198">
        <v>581883.1601728214</v>
      </c>
      <c r="AK220" s="198">
        <v>102</v>
      </c>
      <c r="AL220" s="198">
        <v>658</v>
      </c>
      <c r="AM220" s="198">
        <v>1.2435194130832692</v>
      </c>
      <c r="AN220" s="198">
        <v>12</v>
      </c>
      <c r="AO220" s="198">
        <v>0.006787330316742082</v>
      </c>
      <c r="AP220" s="198">
        <v>0.005063786711088859</v>
      </c>
      <c r="AQ220" s="198">
        <v>0</v>
      </c>
      <c r="AR220" s="198">
        <v>0</v>
      </c>
      <c r="AS220" s="198">
        <v>0</v>
      </c>
      <c r="AT220" s="198">
        <v>0</v>
      </c>
      <c r="AU220" s="198">
        <v>1150.93</v>
      </c>
      <c r="AV220" s="198">
        <v>1.5361490273083505</v>
      </c>
      <c r="AW220" s="198">
        <v>11.719208859848868</v>
      </c>
      <c r="AX220" s="198">
        <v>93</v>
      </c>
      <c r="AY220" s="198">
        <v>447</v>
      </c>
      <c r="AZ220" s="198">
        <v>0.2080536912751678</v>
      </c>
      <c r="BA220" s="198">
        <v>0.1443648325795156</v>
      </c>
      <c r="BB220" s="198">
        <v>1.0983666666666667</v>
      </c>
      <c r="BC220" s="198">
        <v>488</v>
      </c>
      <c r="BD220" s="198">
        <v>530</v>
      </c>
      <c r="BE220" s="198">
        <v>0.9207547169811321</v>
      </c>
      <c r="BF220" s="198">
        <v>0.49111586268474355</v>
      </c>
      <c r="BG220" s="198">
        <v>0</v>
      </c>
      <c r="BH220" s="198">
        <v>0</v>
      </c>
      <c r="BI220" s="198">
        <v>-176.8</v>
      </c>
      <c r="BJ220" s="198">
        <v>-424.32</v>
      </c>
      <c r="BK220" s="198">
        <v>-7248.799999999999</v>
      </c>
      <c r="BL220" s="198">
        <v>-654.16</v>
      </c>
      <c r="BM220" s="198">
        <v>-9423.44</v>
      </c>
      <c r="BN220" s="198">
        <v>-212.16</v>
      </c>
      <c r="BO220" s="198">
        <v>60400</v>
      </c>
      <c r="BP220" s="198">
        <v>78279.17512978334</v>
      </c>
      <c r="BQ220" s="198">
        <v>218394</v>
      </c>
      <c r="BR220" s="198">
        <v>59737</v>
      </c>
      <c r="BS220" s="198">
        <v>173456.8360217028</v>
      </c>
      <c r="BT220" s="198">
        <v>9949.982020102858</v>
      </c>
      <c r="BU220" s="198">
        <v>29351.961617280187</v>
      </c>
      <c r="BV220" s="198">
        <v>82980.82958067652</v>
      </c>
      <c r="BW220" s="198">
        <v>99986.3806251794</v>
      </c>
      <c r="BX220" s="198">
        <v>159.12</v>
      </c>
      <c r="BY220" s="198">
        <v>-34010.82298554135</v>
      </c>
      <c r="BZ220" s="198">
        <v>778684.4620091837</v>
      </c>
      <c r="CA220" s="198">
        <v>745216.2220091837</v>
      </c>
      <c r="CB220" s="198">
        <v>487024.9884843407</v>
      </c>
      <c r="CC220" s="232">
        <v>1298948.2806</v>
      </c>
      <c r="CD220" s="198">
        <v>-255082</v>
      </c>
      <c r="CE220" s="198">
        <v>105845.56999999998</v>
      </c>
      <c r="CH220" s="198">
        <v>1784</v>
      </c>
    </row>
    <row r="221" spans="1:86" ht="11.25">
      <c r="A221" s="198">
        <v>689</v>
      </c>
      <c r="B221" s="198" t="s">
        <v>296</v>
      </c>
      <c r="C221" s="198">
        <v>3626</v>
      </c>
      <c r="D221" s="198">
        <v>13647637.409999998</v>
      </c>
      <c r="E221" s="198">
        <v>6922215.810493645</v>
      </c>
      <c r="F221" s="198">
        <v>865801.3855459488</v>
      </c>
      <c r="G221" s="198">
        <v>21435654.606039595</v>
      </c>
      <c r="H221" s="198">
        <v>3642.26</v>
      </c>
      <c r="I221" s="198">
        <v>13206834.760000002</v>
      </c>
      <c r="J221" s="198">
        <v>8228819.846039593</v>
      </c>
      <c r="K221" s="198">
        <v>516699.79440868436</v>
      </c>
      <c r="L221" s="198">
        <v>944228.6416802357</v>
      </c>
      <c r="M221" s="198">
        <v>1150722.0032043029</v>
      </c>
      <c r="N221" s="198">
        <v>10840470.285332816</v>
      </c>
      <c r="O221" s="198">
        <v>1810673</v>
      </c>
      <c r="P221" s="198">
        <v>12651143.285332816</v>
      </c>
      <c r="Q221" s="198">
        <v>125</v>
      </c>
      <c r="R221" s="198">
        <v>26</v>
      </c>
      <c r="S221" s="198">
        <v>162</v>
      </c>
      <c r="T221" s="198">
        <v>111</v>
      </c>
      <c r="U221" s="198">
        <v>115</v>
      </c>
      <c r="V221" s="198">
        <v>1890</v>
      </c>
      <c r="W221" s="198">
        <v>611</v>
      </c>
      <c r="X221" s="198">
        <v>410</v>
      </c>
      <c r="Y221" s="198">
        <v>176</v>
      </c>
      <c r="Z221" s="198">
        <v>3558</v>
      </c>
      <c r="AA221" s="198">
        <v>2</v>
      </c>
      <c r="AB221" s="198">
        <v>0</v>
      </c>
      <c r="AC221" s="198">
        <v>66</v>
      </c>
      <c r="AD221" s="198">
        <v>351.64</v>
      </c>
      <c r="AE221" s="198">
        <v>10.311682402457059</v>
      </c>
      <c r="AF221" s="198">
        <v>1197</v>
      </c>
      <c r="AG221" s="198">
        <v>6922215.810493645</v>
      </c>
      <c r="AH221" s="198">
        <v>4184822.875797364</v>
      </c>
      <c r="AI221" s="198">
        <v>1790747.1965046767</v>
      </c>
      <c r="AJ221" s="198">
        <v>946645.738191605</v>
      </c>
      <c r="AK221" s="198">
        <v>213</v>
      </c>
      <c r="AL221" s="198">
        <v>1458</v>
      </c>
      <c r="AM221" s="198">
        <v>1.1719264895591093</v>
      </c>
      <c r="AN221" s="198">
        <v>66</v>
      </c>
      <c r="AO221" s="198">
        <v>0.01820187534473249</v>
      </c>
      <c r="AP221" s="198">
        <v>0.016478331739079265</v>
      </c>
      <c r="AQ221" s="198">
        <v>0</v>
      </c>
      <c r="AR221" s="198">
        <v>2</v>
      </c>
      <c r="AS221" s="198">
        <v>0</v>
      </c>
      <c r="AT221" s="198">
        <v>0</v>
      </c>
      <c r="AU221" s="198">
        <v>351.64</v>
      </c>
      <c r="AV221" s="198">
        <v>10.311682402457059</v>
      </c>
      <c r="AW221" s="198">
        <v>1.7458306596594395</v>
      </c>
      <c r="AX221" s="198">
        <v>135</v>
      </c>
      <c r="AY221" s="198">
        <v>970</v>
      </c>
      <c r="AZ221" s="198">
        <v>0.13917525773195877</v>
      </c>
      <c r="BA221" s="198">
        <v>0.07548639903630659</v>
      </c>
      <c r="BB221" s="198">
        <v>0.5586</v>
      </c>
      <c r="BC221" s="198">
        <v>1039</v>
      </c>
      <c r="BD221" s="198">
        <v>1230</v>
      </c>
      <c r="BE221" s="198">
        <v>0.8447154471544716</v>
      </c>
      <c r="BF221" s="198">
        <v>0.415076592858083</v>
      </c>
      <c r="BG221" s="198">
        <v>0</v>
      </c>
      <c r="BH221" s="198">
        <v>0</v>
      </c>
      <c r="BI221" s="198">
        <v>-362.6</v>
      </c>
      <c r="BJ221" s="198">
        <v>-870.24</v>
      </c>
      <c r="BK221" s="198">
        <v>-14866.599999999999</v>
      </c>
      <c r="BL221" s="198">
        <v>-1341.62</v>
      </c>
      <c r="BM221" s="198">
        <v>-19326.58</v>
      </c>
      <c r="BN221" s="198">
        <v>-435.12</v>
      </c>
      <c r="BO221" s="198">
        <v>20434</v>
      </c>
      <c r="BP221" s="198">
        <v>-30003.020192259923</v>
      </c>
      <c r="BQ221" s="198">
        <v>325681</v>
      </c>
      <c r="BR221" s="198">
        <v>97347</v>
      </c>
      <c r="BS221" s="198">
        <v>241802.7511438312</v>
      </c>
      <c r="BT221" s="198">
        <v>12693.207108820638</v>
      </c>
      <c r="BU221" s="198">
        <v>48835.58689050997</v>
      </c>
      <c r="BV221" s="198">
        <v>132015.90703346976</v>
      </c>
      <c r="BW221" s="198">
        <v>168510.7700446604</v>
      </c>
      <c r="BX221" s="198">
        <v>326.34</v>
      </c>
      <c r="BY221" s="198">
        <v>-4774.720348796178</v>
      </c>
      <c r="BZ221" s="198">
        <v>1012868.8216802358</v>
      </c>
      <c r="CA221" s="198">
        <v>944228.6416802357</v>
      </c>
      <c r="CB221" s="198">
        <v>1150722.0032043029</v>
      </c>
      <c r="CC221" s="232">
        <v>1810673</v>
      </c>
      <c r="CD221" s="198">
        <v>-352321</v>
      </c>
      <c r="CE221" s="198">
        <v>133552.2045</v>
      </c>
      <c r="CH221" s="198">
        <v>3682</v>
      </c>
    </row>
    <row r="222" spans="1:86" ht="11.25">
      <c r="A222" s="198">
        <v>691</v>
      </c>
      <c r="B222" s="198" t="s">
        <v>297</v>
      </c>
      <c r="C222" s="198">
        <v>2901</v>
      </c>
      <c r="D222" s="198">
        <v>11651333.63</v>
      </c>
      <c r="E222" s="198">
        <v>4844149.455160503</v>
      </c>
      <c r="F222" s="198">
        <v>668865.1540858685</v>
      </c>
      <c r="G222" s="198">
        <v>17164348.239246372</v>
      </c>
      <c r="H222" s="198">
        <v>3642.26</v>
      </c>
      <c r="I222" s="198">
        <v>10566196.26</v>
      </c>
      <c r="J222" s="198">
        <v>6598151.979246372</v>
      </c>
      <c r="K222" s="198">
        <v>389226.8282046376</v>
      </c>
      <c r="L222" s="198">
        <v>892447.4604916461</v>
      </c>
      <c r="M222" s="198">
        <v>254548.43582234348</v>
      </c>
      <c r="N222" s="198">
        <v>8134374.703764999</v>
      </c>
      <c r="O222" s="198">
        <v>2804529.4400000004</v>
      </c>
      <c r="P222" s="198">
        <v>10938904.143764999</v>
      </c>
      <c r="Q222" s="198">
        <v>209</v>
      </c>
      <c r="R222" s="198">
        <v>30</v>
      </c>
      <c r="S222" s="198">
        <v>245</v>
      </c>
      <c r="T222" s="198">
        <v>130</v>
      </c>
      <c r="U222" s="198">
        <v>120</v>
      </c>
      <c r="V222" s="198">
        <v>1507</v>
      </c>
      <c r="W222" s="198">
        <v>350</v>
      </c>
      <c r="X222" s="198">
        <v>210</v>
      </c>
      <c r="Y222" s="198">
        <v>100</v>
      </c>
      <c r="Z222" s="198">
        <v>2894</v>
      </c>
      <c r="AA222" s="198">
        <v>2</v>
      </c>
      <c r="AB222" s="198">
        <v>0</v>
      </c>
      <c r="AC222" s="198">
        <v>5</v>
      </c>
      <c r="AD222" s="198">
        <v>474.42</v>
      </c>
      <c r="AE222" s="198">
        <v>6.114834956367775</v>
      </c>
      <c r="AF222" s="198">
        <v>660</v>
      </c>
      <c r="AG222" s="198">
        <v>4844149.455160503</v>
      </c>
      <c r="AH222" s="198">
        <v>2777941.34590617</v>
      </c>
      <c r="AI222" s="198">
        <v>1388791.8929337359</v>
      </c>
      <c r="AJ222" s="198">
        <v>677416.2163205979</v>
      </c>
      <c r="AK222" s="198">
        <v>100</v>
      </c>
      <c r="AL222" s="198">
        <v>1224</v>
      </c>
      <c r="AM222" s="198">
        <v>0.6553855678975964</v>
      </c>
      <c r="AN222" s="198">
        <v>5</v>
      </c>
      <c r="AO222" s="198">
        <v>0.001723543605653223</v>
      </c>
      <c r="AP222" s="198">
        <v>0</v>
      </c>
      <c r="AQ222" s="198">
        <v>0</v>
      </c>
      <c r="AR222" s="198">
        <v>2</v>
      </c>
      <c r="AS222" s="198">
        <v>0</v>
      </c>
      <c r="AT222" s="198">
        <v>0</v>
      </c>
      <c r="AU222" s="198">
        <v>474.42</v>
      </c>
      <c r="AV222" s="198">
        <v>6.114834956367775</v>
      </c>
      <c r="AW222" s="198">
        <v>2.94406168266784</v>
      </c>
      <c r="AX222" s="198">
        <v>148</v>
      </c>
      <c r="AY222" s="198">
        <v>760</v>
      </c>
      <c r="AZ222" s="198">
        <v>0.19473684210526315</v>
      </c>
      <c r="BA222" s="198">
        <v>0.131047983409611</v>
      </c>
      <c r="BB222" s="198">
        <v>0.49546666666666667</v>
      </c>
      <c r="BC222" s="198">
        <v>1013</v>
      </c>
      <c r="BD222" s="198">
        <v>1100</v>
      </c>
      <c r="BE222" s="198">
        <v>0.9209090909090909</v>
      </c>
      <c r="BF222" s="198">
        <v>0.49127023661270236</v>
      </c>
      <c r="BG222" s="198">
        <v>0</v>
      </c>
      <c r="BH222" s="198">
        <v>0</v>
      </c>
      <c r="BI222" s="198">
        <v>-290.1</v>
      </c>
      <c r="BJ222" s="198">
        <v>-696.24</v>
      </c>
      <c r="BK222" s="198">
        <v>-11894.099999999999</v>
      </c>
      <c r="BL222" s="198">
        <v>-1073.37</v>
      </c>
      <c r="BM222" s="198">
        <v>-15462.33</v>
      </c>
      <c r="BN222" s="198">
        <v>-348.12</v>
      </c>
      <c r="BO222" s="198">
        <v>1125</v>
      </c>
      <c r="BP222" s="198">
        <v>17542.227682605386</v>
      </c>
      <c r="BQ222" s="198">
        <v>279753</v>
      </c>
      <c r="BR222" s="198">
        <v>82585</v>
      </c>
      <c r="BS222" s="198">
        <v>234894.54925491245</v>
      </c>
      <c r="BT222" s="198">
        <v>11397.25428446925</v>
      </c>
      <c r="BU222" s="198">
        <v>43223.19502340273</v>
      </c>
      <c r="BV222" s="198">
        <v>116300.28153997274</v>
      </c>
      <c r="BW222" s="198">
        <v>152182.85201962653</v>
      </c>
      <c r="BX222" s="198">
        <v>261.09</v>
      </c>
      <c r="BY222" s="198">
        <v>8098.940686657092</v>
      </c>
      <c r="BZ222" s="198">
        <v>947363.3904916461</v>
      </c>
      <c r="CA222" s="198">
        <v>892447.4604916461</v>
      </c>
      <c r="CB222" s="198">
        <v>254548.43582234348</v>
      </c>
      <c r="CC222" s="232">
        <v>2804529.4400000004</v>
      </c>
      <c r="CD222" s="198">
        <v>-390651</v>
      </c>
      <c r="CE222" s="198">
        <v>-66122.35020000002</v>
      </c>
      <c r="CH222" s="198">
        <v>2925</v>
      </c>
    </row>
    <row r="223" spans="1:86" ht="11.25">
      <c r="A223" s="198">
        <v>694</v>
      </c>
      <c r="B223" s="198" t="s">
        <v>298</v>
      </c>
      <c r="C223" s="198">
        <v>29350</v>
      </c>
      <c r="D223" s="198">
        <v>100413305.35</v>
      </c>
      <c r="E223" s="198">
        <v>31480710.756148256</v>
      </c>
      <c r="F223" s="198">
        <v>6026160.636236656</v>
      </c>
      <c r="G223" s="198">
        <v>137920176.7423849</v>
      </c>
      <c r="H223" s="198">
        <v>3642.26</v>
      </c>
      <c r="I223" s="198">
        <v>106900331</v>
      </c>
      <c r="J223" s="198">
        <v>31019845.74238491</v>
      </c>
      <c r="K223" s="198">
        <v>858550.1641178963</v>
      </c>
      <c r="L223" s="198">
        <v>6186901.8037056625</v>
      </c>
      <c r="M223" s="198">
        <v>0</v>
      </c>
      <c r="N223" s="198">
        <v>38065297.71020847</v>
      </c>
      <c r="O223" s="198">
        <v>-530528.6998198025</v>
      </c>
      <c r="P223" s="198">
        <v>37534769.010388665</v>
      </c>
      <c r="Q223" s="198">
        <v>1948</v>
      </c>
      <c r="R223" s="198">
        <v>356</v>
      </c>
      <c r="S223" s="198">
        <v>2036</v>
      </c>
      <c r="T223" s="198">
        <v>893</v>
      </c>
      <c r="U223" s="198">
        <v>1066</v>
      </c>
      <c r="V223" s="198">
        <v>17515</v>
      </c>
      <c r="W223" s="198">
        <v>3136</v>
      </c>
      <c r="X223" s="198">
        <v>1701</v>
      </c>
      <c r="Y223" s="198">
        <v>699</v>
      </c>
      <c r="Z223" s="198">
        <v>27951</v>
      </c>
      <c r="AA223" s="198">
        <v>133</v>
      </c>
      <c r="AB223" s="198">
        <v>0</v>
      </c>
      <c r="AC223" s="198">
        <v>1266</v>
      </c>
      <c r="AD223" s="198">
        <v>121.03</v>
      </c>
      <c r="AE223" s="198">
        <v>242.50185904321242</v>
      </c>
      <c r="AF223" s="198">
        <v>5536</v>
      </c>
      <c r="AG223" s="198">
        <v>31480710.756148256</v>
      </c>
      <c r="AH223" s="198">
        <v>19549016.47886216</v>
      </c>
      <c r="AI223" s="198">
        <v>7676130.867066954</v>
      </c>
      <c r="AJ223" s="198">
        <v>4255563.410219142</v>
      </c>
      <c r="AK223" s="198">
        <v>1726</v>
      </c>
      <c r="AL223" s="198">
        <v>14542</v>
      </c>
      <c r="AM223" s="198">
        <v>0.9521271351905458</v>
      </c>
      <c r="AN223" s="198">
        <v>1266</v>
      </c>
      <c r="AO223" s="198">
        <v>0.04313458262350937</v>
      </c>
      <c r="AP223" s="198">
        <v>0.041411039017856144</v>
      </c>
      <c r="AQ223" s="198">
        <v>0</v>
      </c>
      <c r="AR223" s="198">
        <v>133</v>
      </c>
      <c r="AS223" s="198">
        <v>0</v>
      </c>
      <c r="AT223" s="198">
        <v>0</v>
      </c>
      <c r="AU223" s="198">
        <v>121.03</v>
      </c>
      <c r="AV223" s="198">
        <v>242.50185904321242</v>
      </c>
      <c r="AW223" s="198">
        <v>0.07423634343220564</v>
      </c>
      <c r="AX223" s="198">
        <v>1398</v>
      </c>
      <c r="AY223" s="198">
        <v>9495</v>
      </c>
      <c r="AZ223" s="198">
        <v>0.1472353870458136</v>
      </c>
      <c r="BA223" s="198">
        <v>0.08354652835016142</v>
      </c>
      <c r="BB223" s="198">
        <v>0</v>
      </c>
      <c r="BC223" s="198">
        <v>11399</v>
      </c>
      <c r="BD223" s="198">
        <v>12769</v>
      </c>
      <c r="BE223" s="198">
        <v>0.8927089043777899</v>
      </c>
      <c r="BF223" s="198">
        <v>0.4630700500814014</v>
      </c>
      <c r="BG223" s="198">
        <v>0</v>
      </c>
      <c r="BH223" s="198">
        <v>0</v>
      </c>
      <c r="BI223" s="198">
        <v>-2935</v>
      </c>
      <c r="BJ223" s="198">
        <v>-7044</v>
      </c>
      <c r="BK223" s="198">
        <v>-120334.99999999999</v>
      </c>
      <c r="BL223" s="198">
        <v>-10859.5</v>
      </c>
      <c r="BM223" s="198">
        <v>-156435.5</v>
      </c>
      <c r="BN223" s="198">
        <v>-3522</v>
      </c>
      <c r="BO223" s="198">
        <v>658284</v>
      </c>
      <c r="BP223" s="198">
        <v>-40213.59984558821</v>
      </c>
      <c r="BQ223" s="198">
        <v>1862094</v>
      </c>
      <c r="BR223" s="198">
        <v>644858</v>
      </c>
      <c r="BS223" s="198">
        <v>1377691.1378719537</v>
      </c>
      <c r="BT223" s="198">
        <v>37343.72389893481</v>
      </c>
      <c r="BU223" s="198">
        <v>125027.78905120381</v>
      </c>
      <c r="BV223" s="198">
        <v>564070.1081007131</v>
      </c>
      <c r="BW223" s="198">
        <v>1342389.6847362714</v>
      </c>
      <c r="BX223" s="198">
        <v>2641.5</v>
      </c>
      <c r="BY223" s="198">
        <v>168310.95989217295</v>
      </c>
      <c r="BZ223" s="198">
        <v>6742497.3037056625</v>
      </c>
      <c r="CA223" s="198">
        <v>6186901.8037056625</v>
      </c>
      <c r="CB223" s="198">
        <v>0</v>
      </c>
      <c r="CC223" s="232">
        <v>-530528.6998198025</v>
      </c>
      <c r="CD223" s="198">
        <v>-2199166</v>
      </c>
      <c r="CE223" s="198">
        <v>-61104.02493999986</v>
      </c>
      <c r="CH223" s="198">
        <v>29318</v>
      </c>
    </row>
    <row r="224" spans="1:86" ht="11.25">
      <c r="A224" s="198">
        <v>697</v>
      </c>
      <c r="B224" s="198" t="s">
        <v>299</v>
      </c>
      <c r="C224" s="198">
        <v>1416</v>
      </c>
      <c r="D224" s="198">
        <v>5706741.279999999</v>
      </c>
      <c r="E224" s="198">
        <v>3216930.5324378614</v>
      </c>
      <c r="F224" s="198">
        <v>815672.6270123209</v>
      </c>
      <c r="G224" s="198">
        <v>9739344.439450182</v>
      </c>
      <c r="H224" s="198">
        <v>3642.26</v>
      </c>
      <c r="I224" s="198">
        <v>5157440.16</v>
      </c>
      <c r="J224" s="198">
        <v>4581904.279450182</v>
      </c>
      <c r="K224" s="198">
        <v>206021.64785402335</v>
      </c>
      <c r="L224" s="198">
        <v>573437.0598065377</v>
      </c>
      <c r="M224" s="198">
        <v>0</v>
      </c>
      <c r="N224" s="198">
        <v>5361362.987110743</v>
      </c>
      <c r="O224" s="198">
        <v>1047246.7401904757</v>
      </c>
      <c r="P224" s="198">
        <v>6408609.7273012195</v>
      </c>
      <c r="Q224" s="198">
        <v>54</v>
      </c>
      <c r="R224" s="198">
        <v>13</v>
      </c>
      <c r="S224" s="198">
        <v>58</v>
      </c>
      <c r="T224" s="198">
        <v>30</v>
      </c>
      <c r="U224" s="198">
        <v>35</v>
      </c>
      <c r="V224" s="198">
        <v>751</v>
      </c>
      <c r="W224" s="198">
        <v>224</v>
      </c>
      <c r="X224" s="198">
        <v>150</v>
      </c>
      <c r="Y224" s="198">
        <v>101</v>
      </c>
      <c r="Z224" s="198">
        <v>1400</v>
      </c>
      <c r="AA224" s="198">
        <v>0</v>
      </c>
      <c r="AB224" s="198">
        <v>0</v>
      </c>
      <c r="AC224" s="198">
        <v>16</v>
      </c>
      <c r="AD224" s="198">
        <v>835.62</v>
      </c>
      <c r="AE224" s="198">
        <v>1.6945501543763912</v>
      </c>
      <c r="AF224" s="198">
        <v>475</v>
      </c>
      <c r="AG224" s="198">
        <v>3216930.5324378614</v>
      </c>
      <c r="AH224" s="198">
        <v>1582912.6883983659</v>
      </c>
      <c r="AI224" s="198">
        <v>1373473.1454546503</v>
      </c>
      <c r="AJ224" s="198">
        <v>260544.69858484538</v>
      </c>
      <c r="AK224" s="198">
        <v>86</v>
      </c>
      <c r="AL224" s="198">
        <v>567</v>
      </c>
      <c r="AM224" s="198">
        <v>1.2167285082746486</v>
      </c>
      <c r="AN224" s="198">
        <v>16</v>
      </c>
      <c r="AO224" s="198">
        <v>0.011299435028248588</v>
      </c>
      <c r="AP224" s="198">
        <v>0.009575891422595365</v>
      </c>
      <c r="AQ224" s="198">
        <v>0</v>
      </c>
      <c r="AR224" s="198">
        <v>0</v>
      </c>
      <c r="AS224" s="198">
        <v>0</v>
      </c>
      <c r="AT224" s="198">
        <v>0</v>
      </c>
      <c r="AU224" s="198">
        <v>835.62</v>
      </c>
      <c r="AV224" s="198">
        <v>1.6945501543763912</v>
      </c>
      <c r="AW224" s="198">
        <v>10.623734708817336</v>
      </c>
      <c r="AX224" s="198">
        <v>47</v>
      </c>
      <c r="AY224" s="198">
        <v>354</v>
      </c>
      <c r="AZ224" s="198">
        <v>0.1327683615819209</v>
      </c>
      <c r="BA224" s="198">
        <v>0.06907950288626873</v>
      </c>
      <c r="BB224" s="198">
        <v>0.6009833333333333</v>
      </c>
      <c r="BC224" s="198">
        <v>377</v>
      </c>
      <c r="BD224" s="198">
        <v>501</v>
      </c>
      <c r="BE224" s="198">
        <v>0.7524950099800399</v>
      </c>
      <c r="BF224" s="198">
        <v>0.3228561556836514</v>
      </c>
      <c r="BG224" s="198">
        <v>0</v>
      </c>
      <c r="BH224" s="198">
        <v>0</v>
      </c>
      <c r="BI224" s="198">
        <v>-141.6</v>
      </c>
      <c r="BJ224" s="198">
        <v>-339.84</v>
      </c>
      <c r="BK224" s="198">
        <v>-5805.599999999999</v>
      </c>
      <c r="BL224" s="198">
        <v>-523.92</v>
      </c>
      <c r="BM224" s="198">
        <v>-7547.28</v>
      </c>
      <c r="BN224" s="198">
        <v>-169.92</v>
      </c>
      <c r="BO224" s="198">
        <v>6115</v>
      </c>
      <c r="BP224" s="198">
        <v>104403.79041090794</v>
      </c>
      <c r="BQ224" s="198">
        <v>160754</v>
      </c>
      <c r="BR224" s="198">
        <v>49462</v>
      </c>
      <c r="BS224" s="198">
        <v>124485.65817589301</v>
      </c>
      <c r="BT224" s="198">
        <v>7172.206036784499</v>
      </c>
      <c r="BU224" s="198">
        <v>22496.753395076463</v>
      </c>
      <c r="BV224" s="198">
        <v>55433.95561615519</v>
      </c>
      <c r="BW224" s="198">
        <v>82242.5400061602</v>
      </c>
      <c r="BX224" s="198">
        <v>127.44</v>
      </c>
      <c r="BY224" s="198">
        <v>-12451.403834439503</v>
      </c>
      <c r="BZ224" s="198">
        <v>600241.9398065377</v>
      </c>
      <c r="CA224" s="198">
        <v>573437.0598065377</v>
      </c>
      <c r="CB224" s="198">
        <v>0</v>
      </c>
      <c r="CC224" s="232">
        <v>1047246.7401904757</v>
      </c>
      <c r="CD224" s="198">
        <v>-377452</v>
      </c>
      <c r="CE224" s="198">
        <v>10024.1981</v>
      </c>
      <c r="CH224" s="198">
        <v>1427</v>
      </c>
    </row>
    <row r="225" spans="1:86" ht="11.25">
      <c r="A225" s="198">
        <v>698</v>
      </c>
      <c r="B225" s="198" t="s">
        <v>300</v>
      </c>
      <c r="C225" s="198">
        <v>61551</v>
      </c>
      <c r="D225" s="198">
        <v>206629918.30999997</v>
      </c>
      <c r="E225" s="198">
        <v>70850034.7589597</v>
      </c>
      <c r="F225" s="198">
        <v>16453317.548906475</v>
      </c>
      <c r="G225" s="198">
        <v>293933270.61786616</v>
      </c>
      <c r="H225" s="198">
        <v>3642.26</v>
      </c>
      <c r="I225" s="198">
        <v>224184745.26000002</v>
      </c>
      <c r="J225" s="198">
        <v>69748525.35786614</v>
      </c>
      <c r="K225" s="198">
        <v>2190416.720661303</v>
      </c>
      <c r="L225" s="198">
        <v>13306116.16288725</v>
      </c>
      <c r="M225" s="198">
        <v>0</v>
      </c>
      <c r="N225" s="198">
        <v>85245058.24141468</v>
      </c>
      <c r="O225" s="198">
        <v>17830677.991047602</v>
      </c>
      <c r="P225" s="198">
        <v>103075736.23246229</v>
      </c>
      <c r="Q225" s="198">
        <v>4406</v>
      </c>
      <c r="R225" s="198">
        <v>768</v>
      </c>
      <c r="S225" s="198">
        <v>3900</v>
      </c>
      <c r="T225" s="198">
        <v>1990</v>
      </c>
      <c r="U225" s="198">
        <v>2092</v>
      </c>
      <c r="V225" s="198">
        <v>37821</v>
      </c>
      <c r="W225" s="198">
        <v>5797</v>
      </c>
      <c r="X225" s="198">
        <v>3529</v>
      </c>
      <c r="Y225" s="198">
        <v>1248</v>
      </c>
      <c r="Z225" s="198">
        <v>59518</v>
      </c>
      <c r="AA225" s="198">
        <v>101</v>
      </c>
      <c r="AB225" s="198">
        <v>140</v>
      </c>
      <c r="AC225" s="198">
        <v>1792</v>
      </c>
      <c r="AD225" s="198">
        <v>7582.06</v>
      </c>
      <c r="AE225" s="198">
        <v>8.11797849133349</v>
      </c>
      <c r="AF225" s="198">
        <v>10574</v>
      </c>
      <c r="AG225" s="198">
        <v>70850034.7589597</v>
      </c>
      <c r="AH225" s="198">
        <v>44140085.72917676</v>
      </c>
      <c r="AI225" s="198">
        <v>16296845.909675283</v>
      </c>
      <c r="AJ225" s="198">
        <v>10413103.120107656</v>
      </c>
      <c r="AK225" s="198">
        <v>4489</v>
      </c>
      <c r="AL225" s="198">
        <v>29375</v>
      </c>
      <c r="AM225" s="198">
        <v>1.2258858201510765</v>
      </c>
      <c r="AN225" s="198">
        <v>1792</v>
      </c>
      <c r="AO225" s="198">
        <v>0.02911406800864324</v>
      </c>
      <c r="AP225" s="198">
        <v>0.027390524402990016</v>
      </c>
      <c r="AQ225" s="198">
        <v>0</v>
      </c>
      <c r="AR225" s="198">
        <v>101</v>
      </c>
      <c r="AS225" s="198">
        <v>140</v>
      </c>
      <c r="AT225" s="198">
        <v>0</v>
      </c>
      <c r="AU225" s="198">
        <v>7582.06</v>
      </c>
      <c r="AV225" s="198">
        <v>8.11797849133349</v>
      </c>
      <c r="AW225" s="198">
        <v>2.2176027332542354</v>
      </c>
      <c r="AX225" s="198">
        <v>1902</v>
      </c>
      <c r="AY225" s="198">
        <v>18873</v>
      </c>
      <c r="AZ225" s="198">
        <v>0.1007788904784613</v>
      </c>
      <c r="BA225" s="198">
        <v>0.03709003178280912</v>
      </c>
      <c r="BB225" s="198">
        <v>0</v>
      </c>
      <c r="BC225" s="198">
        <v>25080</v>
      </c>
      <c r="BD225" s="198">
        <v>25257</v>
      </c>
      <c r="BE225" s="198">
        <v>0.9929920418101912</v>
      </c>
      <c r="BF225" s="198">
        <v>0.5633531875138027</v>
      </c>
      <c r="BG225" s="198">
        <v>0</v>
      </c>
      <c r="BH225" s="198">
        <v>140</v>
      </c>
      <c r="BI225" s="198">
        <v>-6155.1</v>
      </c>
      <c r="BJ225" s="198">
        <v>-14772.24</v>
      </c>
      <c r="BK225" s="198">
        <v>-252359.09999999998</v>
      </c>
      <c r="BL225" s="198">
        <v>-22773.87</v>
      </c>
      <c r="BM225" s="198">
        <v>-328066.83</v>
      </c>
      <c r="BN225" s="198">
        <v>-7386.12</v>
      </c>
      <c r="BO225" s="198">
        <v>760982</v>
      </c>
      <c r="BP225" s="198">
        <v>-851137.8510162681</v>
      </c>
      <c r="BQ225" s="198">
        <v>4170263</v>
      </c>
      <c r="BR225" s="198">
        <v>1400370</v>
      </c>
      <c r="BS225" s="198">
        <v>3556984.1957876254</v>
      </c>
      <c r="BT225" s="198">
        <v>130689.61392386896</v>
      </c>
      <c r="BU225" s="198">
        <v>170271.45091107712</v>
      </c>
      <c r="BV225" s="198">
        <v>1530495.8688007353</v>
      </c>
      <c r="BW225" s="198">
        <v>2984112.558650342</v>
      </c>
      <c r="BX225" s="198">
        <v>5539.59</v>
      </c>
      <c r="BY225" s="198">
        <v>612706.1658298711</v>
      </c>
      <c r="BZ225" s="198">
        <v>14471276.592887249</v>
      </c>
      <c r="CA225" s="198">
        <v>13306116.16288725</v>
      </c>
      <c r="CB225" s="198">
        <v>0</v>
      </c>
      <c r="CC225" s="232">
        <v>17830677.991047602</v>
      </c>
      <c r="CD225" s="198">
        <v>-7183803</v>
      </c>
      <c r="CE225" s="198">
        <v>-2854321.2980439994</v>
      </c>
      <c r="CH225" s="198">
        <v>61215</v>
      </c>
    </row>
    <row r="226" spans="1:86" ht="11.25">
      <c r="A226" s="198">
        <v>700</v>
      </c>
      <c r="B226" s="198" t="s">
        <v>301</v>
      </c>
      <c r="C226" s="198">
        <v>5404</v>
      </c>
      <c r="D226" s="198">
        <v>20582298.99</v>
      </c>
      <c r="E226" s="198">
        <v>7520258.885169088</v>
      </c>
      <c r="F226" s="198">
        <v>1408241.1301121009</v>
      </c>
      <c r="G226" s="198">
        <v>29510799.005281188</v>
      </c>
      <c r="H226" s="198">
        <v>3642.26</v>
      </c>
      <c r="I226" s="198">
        <v>19682773.040000003</v>
      </c>
      <c r="J226" s="198">
        <v>9828025.965281185</v>
      </c>
      <c r="K226" s="198">
        <v>41214.82720156731</v>
      </c>
      <c r="L226" s="198">
        <v>1232402.6338914155</v>
      </c>
      <c r="M226" s="198">
        <v>885518.4460082556</v>
      </c>
      <c r="N226" s="198">
        <v>11987161.872382423</v>
      </c>
      <c r="O226" s="198">
        <v>1208943.3173333337</v>
      </c>
      <c r="P226" s="198">
        <v>13196105.189715756</v>
      </c>
      <c r="Q226" s="198">
        <v>259</v>
      </c>
      <c r="R226" s="198">
        <v>48</v>
      </c>
      <c r="S226" s="198">
        <v>323</v>
      </c>
      <c r="T226" s="198">
        <v>160</v>
      </c>
      <c r="U226" s="198">
        <v>156</v>
      </c>
      <c r="V226" s="198">
        <v>2834</v>
      </c>
      <c r="W226" s="198">
        <v>816</v>
      </c>
      <c r="X226" s="198">
        <v>573</v>
      </c>
      <c r="Y226" s="198">
        <v>235</v>
      </c>
      <c r="Z226" s="198">
        <v>5309</v>
      </c>
      <c r="AA226" s="198">
        <v>4</v>
      </c>
      <c r="AB226" s="198">
        <v>0</v>
      </c>
      <c r="AC226" s="198">
        <v>91</v>
      </c>
      <c r="AD226" s="198">
        <v>943.43</v>
      </c>
      <c r="AE226" s="198">
        <v>5.728034936349279</v>
      </c>
      <c r="AF226" s="198">
        <v>1624</v>
      </c>
      <c r="AG226" s="198">
        <v>7520258.885169088</v>
      </c>
      <c r="AH226" s="198">
        <v>4466104.742711748</v>
      </c>
      <c r="AI226" s="198">
        <v>2194356.63712735</v>
      </c>
      <c r="AJ226" s="198">
        <v>859797.50532999</v>
      </c>
      <c r="AK226" s="198">
        <v>271</v>
      </c>
      <c r="AL226" s="198">
        <v>2377</v>
      </c>
      <c r="AM226" s="198">
        <v>0.9145730518043933</v>
      </c>
      <c r="AN226" s="198">
        <v>91</v>
      </c>
      <c r="AO226" s="198">
        <v>0.01683937823834197</v>
      </c>
      <c r="AP226" s="198">
        <v>0.015115834632688747</v>
      </c>
      <c r="AQ226" s="198">
        <v>0</v>
      </c>
      <c r="AR226" s="198">
        <v>4</v>
      </c>
      <c r="AS226" s="198">
        <v>0</v>
      </c>
      <c r="AT226" s="198">
        <v>1</v>
      </c>
      <c r="AU226" s="198">
        <v>943.43</v>
      </c>
      <c r="AV226" s="198">
        <v>5.728034936349279</v>
      </c>
      <c r="AW226" s="198">
        <v>3.1428668803395903</v>
      </c>
      <c r="AX226" s="198">
        <v>185</v>
      </c>
      <c r="AY226" s="198">
        <v>1516</v>
      </c>
      <c r="AZ226" s="198">
        <v>0.12203166226912929</v>
      </c>
      <c r="BA226" s="198">
        <v>0.05834280357347711</v>
      </c>
      <c r="BB226" s="198">
        <v>0</v>
      </c>
      <c r="BC226" s="198">
        <v>1109</v>
      </c>
      <c r="BD226" s="198">
        <v>2015</v>
      </c>
      <c r="BE226" s="198">
        <v>0.5503722084367245</v>
      </c>
      <c r="BF226" s="198">
        <v>0.12073335414033598</v>
      </c>
      <c r="BG226" s="198">
        <v>0</v>
      </c>
      <c r="BH226" s="198">
        <v>0</v>
      </c>
      <c r="BI226" s="198">
        <v>-540.4</v>
      </c>
      <c r="BJ226" s="198">
        <v>-1296.96</v>
      </c>
      <c r="BK226" s="198">
        <v>-22156.399999999998</v>
      </c>
      <c r="BL226" s="198">
        <v>-1999.48</v>
      </c>
      <c r="BM226" s="198">
        <v>-28803.32</v>
      </c>
      <c r="BN226" s="198">
        <v>-648.48</v>
      </c>
      <c r="BO226" s="198">
        <v>56412</v>
      </c>
      <c r="BP226" s="198">
        <v>-18757.48855673708</v>
      </c>
      <c r="BQ226" s="198">
        <v>450007</v>
      </c>
      <c r="BR226" s="198">
        <v>136482</v>
      </c>
      <c r="BS226" s="198">
        <v>271197.13744083105</v>
      </c>
      <c r="BT226" s="198">
        <v>13584.735741688815</v>
      </c>
      <c r="BU226" s="198">
        <v>29722.57333317358</v>
      </c>
      <c r="BV226" s="198">
        <v>156223.5218588037</v>
      </c>
      <c r="BW226" s="198">
        <v>257788.17235712628</v>
      </c>
      <c r="BX226" s="198">
        <v>486.35999999999996</v>
      </c>
      <c r="BY226" s="198">
        <v>-18445.65828347118</v>
      </c>
      <c r="BZ226" s="198">
        <v>1334700.3538914155</v>
      </c>
      <c r="CA226" s="198">
        <v>1232402.6338914155</v>
      </c>
      <c r="CB226" s="198">
        <v>885518.4460082556</v>
      </c>
      <c r="CC226" s="232">
        <v>1208943.3173333337</v>
      </c>
      <c r="CD226" s="198">
        <v>-1295646</v>
      </c>
      <c r="CE226" s="198">
        <v>-298409.7928800001</v>
      </c>
      <c r="CH226" s="198">
        <v>5507</v>
      </c>
    </row>
    <row r="227" spans="1:86" ht="11.25">
      <c r="A227" s="198">
        <v>702</v>
      </c>
      <c r="B227" s="198" t="s">
        <v>302</v>
      </c>
      <c r="C227" s="198">
        <v>4689</v>
      </c>
      <c r="D227" s="198">
        <v>18199618.400000002</v>
      </c>
      <c r="E227" s="198">
        <v>7791921.884169358</v>
      </c>
      <c r="F227" s="198">
        <v>1142646.8526642937</v>
      </c>
      <c r="G227" s="198">
        <v>27134187.136833653</v>
      </c>
      <c r="H227" s="198">
        <v>3642.26</v>
      </c>
      <c r="I227" s="198">
        <v>17078557.14</v>
      </c>
      <c r="J227" s="198">
        <v>10055629.996833652</v>
      </c>
      <c r="K227" s="198">
        <v>390079.7194341443</v>
      </c>
      <c r="L227" s="198">
        <v>1292893.531136713</v>
      </c>
      <c r="M227" s="198">
        <v>68704.81201783198</v>
      </c>
      <c r="N227" s="198">
        <v>11807308.05942234</v>
      </c>
      <c r="O227" s="198">
        <v>3003014.1224186067</v>
      </c>
      <c r="P227" s="198">
        <v>14810322.181840947</v>
      </c>
      <c r="Q227" s="198">
        <v>197</v>
      </c>
      <c r="R227" s="198">
        <v>31</v>
      </c>
      <c r="S227" s="198">
        <v>258</v>
      </c>
      <c r="T227" s="198">
        <v>138</v>
      </c>
      <c r="U227" s="198">
        <v>142</v>
      </c>
      <c r="V227" s="198">
        <v>2385</v>
      </c>
      <c r="W227" s="198">
        <v>769</v>
      </c>
      <c r="X227" s="198">
        <v>538</v>
      </c>
      <c r="Y227" s="198">
        <v>231</v>
      </c>
      <c r="Z227" s="198">
        <v>4629</v>
      </c>
      <c r="AA227" s="198">
        <v>13</v>
      </c>
      <c r="AB227" s="198">
        <v>1</v>
      </c>
      <c r="AC227" s="198">
        <v>46</v>
      </c>
      <c r="AD227" s="198">
        <v>776.76</v>
      </c>
      <c r="AE227" s="198">
        <v>6.036613625830372</v>
      </c>
      <c r="AF227" s="198">
        <v>1538</v>
      </c>
      <c r="AG227" s="198">
        <v>7791921.884169358</v>
      </c>
      <c r="AH227" s="198">
        <v>4432871.96179295</v>
      </c>
      <c r="AI227" s="198">
        <v>2568731.003335711</v>
      </c>
      <c r="AJ227" s="198">
        <v>790318.9190406977</v>
      </c>
      <c r="AK227" s="198">
        <v>213</v>
      </c>
      <c r="AL227" s="198">
        <v>1982</v>
      </c>
      <c r="AM227" s="198">
        <v>0.8620932501398494</v>
      </c>
      <c r="AN227" s="198">
        <v>46</v>
      </c>
      <c r="AO227" s="198">
        <v>0.00981019407123054</v>
      </c>
      <c r="AP227" s="198">
        <v>0.008086650465577317</v>
      </c>
      <c r="AQ227" s="198">
        <v>0</v>
      </c>
      <c r="AR227" s="198">
        <v>13</v>
      </c>
      <c r="AS227" s="198">
        <v>1</v>
      </c>
      <c r="AT227" s="198">
        <v>0</v>
      </c>
      <c r="AU227" s="198">
        <v>776.76</v>
      </c>
      <c r="AV227" s="198">
        <v>6.036613625830372</v>
      </c>
      <c r="AW227" s="198">
        <v>2.9822102931763994</v>
      </c>
      <c r="AX227" s="198">
        <v>169</v>
      </c>
      <c r="AY227" s="198">
        <v>1201</v>
      </c>
      <c r="AZ227" s="198">
        <v>0.14071606994171523</v>
      </c>
      <c r="BA227" s="198">
        <v>0.07702721124606306</v>
      </c>
      <c r="BB227" s="198">
        <v>0.23</v>
      </c>
      <c r="BC227" s="198">
        <v>1657</v>
      </c>
      <c r="BD227" s="198">
        <v>1676</v>
      </c>
      <c r="BE227" s="198">
        <v>0.9886634844868735</v>
      </c>
      <c r="BF227" s="198">
        <v>0.5590246301904849</v>
      </c>
      <c r="BG227" s="198">
        <v>0</v>
      </c>
      <c r="BH227" s="198">
        <v>1</v>
      </c>
      <c r="BI227" s="198">
        <v>-468.90000000000003</v>
      </c>
      <c r="BJ227" s="198">
        <v>-1125.36</v>
      </c>
      <c r="BK227" s="198">
        <v>-19224.899999999998</v>
      </c>
      <c r="BL227" s="198">
        <v>-1734.93</v>
      </c>
      <c r="BM227" s="198">
        <v>-24992.37</v>
      </c>
      <c r="BN227" s="198">
        <v>-562.68</v>
      </c>
      <c r="BO227" s="198">
        <v>-29452</v>
      </c>
      <c r="BP227" s="198">
        <v>-42497.95249035582</v>
      </c>
      <c r="BQ227" s="198">
        <v>482033</v>
      </c>
      <c r="BR227" s="198">
        <v>141231</v>
      </c>
      <c r="BS227" s="198">
        <v>359715.4068817046</v>
      </c>
      <c r="BT227" s="198">
        <v>16850.194763104068</v>
      </c>
      <c r="BU227" s="198">
        <v>65127.400944814086</v>
      </c>
      <c r="BV227" s="198">
        <v>181748.09925467972</v>
      </c>
      <c r="BW227" s="198">
        <v>244644.40806863777</v>
      </c>
      <c r="BX227" s="198">
        <v>422.01</v>
      </c>
      <c r="BY227" s="198">
        <v>-38165.26628587129</v>
      </c>
      <c r="BZ227" s="198">
        <v>1381656.301136713</v>
      </c>
      <c r="CA227" s="198">
        <v>1292893.531136713</v>
      </c>
      <c r="CB227" s="198">
        <v>68704.81201783198</v>
      </c>
      <c r="CC227" s="232">
        <v>3003014.1224186067</v>
      </c>
      <c r="CD227" s="198">
        <v>-373275</v>
      </c>
      <c r="CE227" s="198">
        <v>-40096.79240000002</v>
      </c>
      <c r="CH227" s="198">
        <v>4771</v>
      </c>
    </row>
    <row r="228" spans="1:86" ht="11.25">
      <c r="A228" s="198">
        <v>704</v>
      </c>
      <c r="B228" s="198" t="s">
        <v>303</v>
      </c>
      <c r="C228" s="198">
        <v>6045</v>
      </c>
      <c r="D228" s="198">
        <v>21915552.14</v>
      </c>
      <c r="E228" s="198">
        <v>4567548.339767983</v>
      </c>
      <c r="F228" s="198">
        <v>619872.7720013009</v>
      </c>
      <c r="G228" s="198">
        <v>27102973.251769286</v>
      </c>
      <c r="H228" s="198">
        <v>3642.26</v>
      </c>
      <c r="I228" s="198">
        <v>22017461.700000003</v>
      </c>
      <c r="J228" s="198">
        <v>5085511.551769283</v>
      </c>
      <c r="K228" s="198">
        <v>65217.45765957645</v>
      </c>
      <c r="L228" s="198">
        <v>943441.8198327707</v>
      </c>
      <c r="M228" s="198">
        <v>0</v>
      </c>
      <c r="N228" s="198">
        <v>6094170.82926163</v>
      </c>
      <c r="O228" s="198">
        <v>831725.121368423</v>
      </c>
      <c r="P228" s="198">
        <v>6925895.950630053</v>
      </c>
      <c r="Q228" s="198">
        <v>430</v>
      </c>
      <c r="R228" s="198">
        <v>81</v>
      </c>
      <c r="S228" s="198">
        <v>484</v>
      </c>
      <c r="T228" s="198">
        <v>303</v>
      </c>
      <c r="U228" s="198">
        <v>304</v>
      </c>
      <c r="V228" s="198">
        <v>3471</v>
      </c>
      <c r="W228" s="198">
        <v>579</v>
      </c>
      <c r="X228" s="198">
        <v>290</v>
      </c>
      <c r="Y228" s="198">
        <v>103</v>
      </c>
      <c r="Z228" s="198">
        <v>5888</v>
      </c>
      <c r="AA228" s="198">
        <v>82</v>
      </c>
      <c r="AB228" s="198">
        <v>0</v>
      </c>
      <c r="AC228" s="198">
        <v>75</v>
      </c>
      <c r="AD228" s="198">
        <v>127.12</v>
      </c>
      <c r="AE228" s="198">
        <v>47.553492762743865</v>
      </c>
      <c r="AF228" s="198">
        <v>972</v>
      </c>
      <c r="AG228" s="198">
        <v>4567548.339767983</v>
      </c>
      <c r="AH228" s="198">
        <v>2861080.287293426</v>
      </c>
      <c r="AI228" s="198">
        <v>1046421.4827262814</v>
      </c>
      <c r="AJ228" s="198">
        <v>660046.5697482751</v>
      </c>
      <c r="AK228" s="198">
        <v>209</v>
      </c>
      <c r="AL228" s="198">
        <v>2999</v>
      </c>
      <c r="AM228" s="198">
        <v>0.559046730367761</v>
      </c>
      <c r="AN228" s="198">
        <v>75</v>
      </c>
      <c r="AO228" s="198">
        <v>0.01240694789081886</v>
      </c>
      <c r="AP228" s="198">
        <v>0.010683404285165636</v>
      </c>
      <c r="AQ228" s="198">
        <v>0</v>
      </c>
      <c r="AR228" s="198">
        <v>82</v>
      </c>
      <c r="AS228" s="198">
        <v>0</v>
      </c>
      <c r="AT228" s="198">
        <v>0</v>
      </c>
      <c r="AU228" s="198">
        <v>127.12</v>
      </c>
      <c r="AV228" s="198">
        <v>47.553492762743865</v>
      </c>
      <c r="AW228" s="198">
        <v>0.3785726398836553</v>
      </c>
      <c r="AX228" s="198">
        <v>224</v>
      </c>
      <c r="AY228" s="198">
        <v>2195</v>
      </c>
      <c r="AZ228" s="198">
        <v>0.1020501138952164</v>
      </c>
      <c r="BA228" s="198">
        <v>0.03836125519956422</v>
      </c>
      <c r="BB228" s="198">
        <v>0</v>
      </c>
      <c r="BC228" s="198">
        <v>1689</v>
      </c>
      <c r="BD228" s="198">
        <v>2813</v>
      </c>
      <c r="BE228" s="198">
        <v>0.6004265908282972</v>
      </c>
      <c r="BF228" s="198">
        <v>0.17078773653190865</v>
      </c>
      <c r="BG228" s="198">
        <v>0</v>
      </c>
      <c r="BH228" s="198">
        <v>0</v>
      </c>
      <c r="BI228" s="198">
        <v>-604.5</v>
      </c>
      <c r="BJ228" s="198">
        <v>-1450.8</v>
      </c>
      <c r="BK228" s="198">
        <v>-24784.499999999996</v>
      </c>
      <c r="BL228" s="198">
        <v>-2236.65</v>
      </c>
      <c r="BM228" s="198">
        <v>-32219.850000000002</v>
      </c>
      <c r="BN228" s="198">
        <v>-725.4</v>
      </c>
      <c r="BO228" s="198">
        <v>39883</v>
      </c>
      <c r="BP228" s="198">
        <v>-138690.0078582205</v>
      </c>
      <c r="BQ228" s="198">
        <v>387043</v>
      </c>
      <c r="BR228" s="198">
        <v>126882</v>
      </c>
      <c r="BS228" s="198">
        <v>241368.28376477773</v>
      </c>
      <c r="BT228" s="198">
        <v>4103.035289727531</v>
      </c>
      <c r="BU228" s="198">
        <v>27149.87359443658</v>
      </c>
      <c r="BV228" s="198">
        <v>119934.73479326064</v>
      </c>
      <c r="BW228" s="198">
        <v>266606.4805046723</v>
      </c>
      <c r="BX228" s="198">
        <v>544.05</v>
      </c>
      <c r="BY228" s="198">
        <v>-16950.780255883357</v>
      </c>
      <c r="BZ228" s="198">
        <v>1057873.6698327707</v>
      </c>
      <c r="CA228" s="198">
        <v>943441.8198327707</v>
      </c>
      <c r="CB228" s="198">
        <v>0</v>
      </c>
      <c r="CC228" s="232">
        <v>831725.121368423</v>
      </c>
      <c r="CD228" s="198">
        <v>-1481700</v>
      </c>
      <c r="CE228" s="198">
        <v>-256009.30277999997</v>
      </c>
      <c r="CH228" s="198">
        <v>5995</v>
      </c>
    </row>
    <row r="229" spans="1:86" ht="11.25">
      <c r="A229" s="198">
        <v>707</v>
      </c>
      <c r="B229" s="198" t="s">
        <v>304</v>
      </c>
      <c r="C229" s="198">
        <v>2435</v>
      </c>
      <c r="D229" s="198">
        <v>9079178.2</v>
      </c>
      <c r="E229" s="198">
        <v>4608790.873854295</v>
      </c>
      <c r="F229" s="198">
        <v>902037.7277041755</v>
      </c>
      <c r="G229" s="198">
        <v>14590006.801558468</v>
      </c>
      <c r="H229" s="198">
        <v>3642.26</v>
      </c>
      <c r="I229" s="198">
        <v>8868903.1</v>
      </c>
      <c r="J229" s="198">
        <v>5721103.701558469</v>
      </c>
      <c r="K229" s="198">
        <v>241683.61952171204</v>
      </c>
      <c r="L229" s="198">
        <v>1270174.1851132282</v>
      </c>
      <c r="M229" s="198">
        <v>0</v>
      </c>
      <c r="N229" s="198">
        <v>7232961.506193409</v>
      </c>
      <c r="O229" s="198">
        <v>2913331.68152381</v>
      </c>
      <c r="P229" s="198">
        <v>10146293.187717218</v>
      </c>
      <c r="Q229" s="198">
        <v>87</v>
      </c>
      <c r="R229" s="198">
        <v>21</v>
      </c>
      <c r="S229" s="198">
        <v>117</v>
      </c>
      <c r="T229" s="198">
        <v>77</v>
      </c>
      <c r="U229" s="198">
        <v>61</v>
      </c>
      <c r="V229" s="198">
        <v>1297</v>
      </c>
      <c r="W229" s="198">
        <v>418</v>
      </c>
      <c r="X229" s="198">
        <v>239</v>
      </c>
      <c r="Y229" s="198">
        <v>118</v>
      </c>
      <c r="Z229" s="198">
        <v>2348</v>
      </c>
      <c r="AA229" s="198">
        <v>5</v>
      </c>
      <c r="AB229" s="198">
        <v>0</v>
      </c>
      <c r="AC229" s="198">
        <v>82</v>
      </c>
      <c r="AD229" s="198">
        <v>427.67</v>
      </c>
      <c r="AE229" s="198">
        <v>5.693642294292328</v>
      </c>
      <c r="AF229" s="198">
        <v>775</v>
      </c>
      <c r="AG229" s="198">
        <v>4608790.873854295</v>
      </c>
      <c r="AH229" s="198">
        <v>2677477.721080599</v>
      </c>
      <c r="AI229" s="198">
        <v>1410223.755604006</v>
      </c>
      <c r="AJ229" s="198">
        <v>521089.3971696908</v>
      </c>
      <c r="AK229" s="198">
        <v>177</v>
      </c>
      <c r="AL229" s="198">
        <v>951</v>
      </c>
      <c r="AM229" s="198">
        <v>1.4930386173909407</v>
      </c>
      <c r="AN229" s="198">
        <v>82</v>
      </c>
      <c r="AO229" s="198">
        <v>0.03367556468172485</v>
      </c>
      <c r="AP229" s="198">
        <v>0.031952021076071625</v>
      </c>
      <c r="AQ229" s="198">
        <v>0</v>
      </c>
      <c r="AR229" s="198">
        <v>5</v>
      </c>
      <c r="AS229" s="198">
        <v>0</v>
      </c>
      <c r="AT229" s="198">
        <v>1</v>
      </c>
      <c r="AU229" s="198">
        <v>427.67</v>
      </c>
      <c r="AV229" s="198">
        <v>5.693642294292328</v>
      </c>
      <c r="AW229" s="198">
        <v>3.1618514757990774</v>
      </c>
      <c r="AX229" s="198">
        <v>113</v>
      </c>
      <c r="AY229" s="198">
        <v>633</v>
      </c>
      <c r="AZ229" s="198">
        <v>0.17851500789889416</v>
      </c>
      <c r="BA229" s="198">
        <v>0.11482614920324198</v>
      </c>
      <c r="BB229" s="198">
        <v>0.36293333333333333</v>
      </c>
      <c r="BC229" s="198">
        <v>623</v>
      </c>
      <c r="BD229" s="198">
        <v>774</v>
      </c>
      <c r="BE229" s="198">
        <v>0.8049095607235142</v>
      </c>
      <c r="BF229" s="198">
        <v>0.3752707064271256</v>
      </c>
      <c r="BG229" s="198">
        <v>0</v>
      </c>
      <c r="BH229" s="198">
        <v>0</v>
      </c>
      <c r="BI229" s="198">
        <v>-243.5</v>
      </c>
      <c r="BJ229" s="198">
        <v>-584.4</v>
      </c>
      <c r="BK229" s="198">
        <v>-9983.5</v>
      </c>
      <c r="BL229" s="198">
        <v>-900.95</v>
      </c>
      <c r="BM229" s="198">
        <v>-12978.55</v>
      </c>
      <c r="BN229" s="198">
        <v>-292.2</v>
      </c>
      <c r="BO229" s="198">
        <v>200161</v>
      </c>
      <c r="BP229" s="198">
        <v>152966.38367605582</v>
      </c>
      <c r="BQ229" s="198">
        <v>302843</v>
      </c>
      <c r="BR229" s="198">
        <v>87748</v>
      </c>
      <c r="BS229" s="198">
        <v>236964.1114700343</v>
      </c>
      <c r="BT229" s="198">
        <v>12584.419830805715</v>
      </c>
      <c r="BU229" s="198">
        <v>39572.3615710929</v>
      </c>
      <c r="BV229" s="198">
        <v>110909.52963556179</v>
      </c>
      <c r="BW229" s="198">
        <v>141980.20093140722</v>
      </c>
      <c r="BX229" s="198">
        <v>219.15</v>
      </c>
      <c r="BY229" s="198">
        <v>30320.577998270594</v>
      </c>
      <c r="BZ229" s="198">
        <v>1316268.7351132282</v>
      </c>
      <c r="CA229" s="198">
        <v>1270174.1851132282</v>
      </c>
      <c r="CB229" s="198">
        <v>0</v>
      </c>
      <c r="CC229" s="232">
        <v>2913331.68152381</v>
      </c>
      <c r="CD229" s="198">
        <v>-700615</v>
      </c>
      <c r="CE229" s="198">
        <v>-59721.80632000002</v>
      </c>
      <c r="CH229" s="198">
        <v>2467</v>
      </c>
    </row>
    <row r="230" spans="1:86" ht="11.25">
      <c r="A230" s="198">
        <v>729</v>
      </c>
      <c r="B230" s="198" t="s">
        <v>305</v>
      </c>
      <c r="C230" s="198">
        <v>10084</v>
      </c>
      <c r="D230" s="198">
        <v>37552673.75</v>
      </c>
      <c r="E230" s="198">
        <v>15067665.328347476</v>
      </c>
      <c r="F230" s="198">
        <v>2813904.939213209</v>
      </c>
      <c r="G230" s="198">
        <v>55434244.01756068</v>
      </c>
      <c r="H230" s="198">
        <v>3642.26</v>
      </c>
      <c r="I230" s="198">
        <v>36728549.84</v>
      </c>
      <c r="J230" s="198">
        <v>18705694.17756068</v>
      </c>
      <c r="K230" s="198">
        <v>504867.8131898911</v>
      </c>
      <c r="L230" s="198">
        <v>3532825.614293426</v>
      </c>
      <c r="M230" s="198">
        <v>0</v>
      </c>
      <c r="N230" s="198">
        <v>22743387.605043996</v>
      </c>
      <c r="O230" s="198">
        <v>8587505.481142858</v>
      </c>
      <c r="P230" s="198">
        <v>31330893.086186856</v>
      </c>
      <c r="Q230" s="198">
        <v>535</v>
      </c>
      <c r="R230" s="198">
        <v>106</v>
      </c>
      <c r="S230" s="198">
        <v>638</v>
      </c>
      <c r="T230" s="198">
        <v>301</v>
      </c>
      <c r="U230" s="198">
        <v>321</v>
      </c>
      <c r="V230" s="198">
        <v>5456</v>
      </c>
      <c r="W230" s="198">
        <v>1383</v>
      </c>
      <c r="X230" s="198">
        <v>962</v>
      </c>
      <c r="Y230" s="198">
        <v>382</v>
      </c>
      <c r="Z230" s="198">
        <v>9964</v>
      </c>
      <c r="AA230" s="198">
        <v>11</v>
      </c>
      <c r="AB230" s="198">
        <v>0</v>
      </c>
      <c r="AC230" s="198">
        <v>109</v>
      </c>
      <c r="AD230" s="198">
        <v>1251.88</v>
      </c>
      <c r="AE230" s="198">
        <v>8.055085151931495</v>
      </c>
      <c r="AF230" s="198">
        <v>2727</v>
      </c>
      <c r="AG230" s="198">
        <v>15067665.328347476</v>
      </c>
      <c r="AH230" s="198">
        <v>9207076.009034595</v>
      </c>
      <c r="AI230" s="198">
        <v>4054146.075791286</v>
      </c>
      <c r="AJ230" s="198">
        <v>1806443.2435215951</v>
      </c>
      <c r="AK230" s="198">
        <v>828</v>
      </c>
      <c r="AL230" s="198">
        <v>4464</v>
      </c>
      <c r="AM230" s="198">
        <v>1.4879366538268655</v>
      </c>
      <c r="AN230" s="198">
        <v>109</v>
      </c>
      <c r="AO230" s="198">
        <v>0.010809202697342325</v>
      </c>
      <c r="AP230" s="198">
        <v>0.009085659091689102</v>
      </c>
      <c r="AQ230" s="198">
        <v>0</v>
      </c>
      <c r="AR230" s="198">
        <v>11</v>
      </c>
      <c r="AS230" s="198">
        <v>0</v>
      </c>
      <c r="AT230" s="198">
        <v>0</v>
      </c>
      <c r="AU230" s="198">
        <v>1251.88</v>
      </c>
      <c r="AV230" s="198">
        <v>8.055085151931495</v>
      </c>
      <c r="AW230" s="198">
        <v>2.2349175646595754</v>
      </c>
      <c r="AX230" s="198">
        <v>432</v>
      </c>
      <c r="AY230" s="198">
        <v>2777</v>
      </c>
      <c r="AZ230" s="198">
        <v>0.15556355779618294</v>
      </c>
      <c r="BA230" s="198">
        <v>0.09187469910053077</v>
      </c>
      <c r="BB230" s="198">
        <v>0.0918</v>
      </c>
      <c r="BC230" s="198">
        <v>3184</v>
      </c>
      <c r="BD230" s="198">
        <v>3462</v>
      </c>
      <c r="BE230" s="198">
        <v>0.9196995956094743</v>
      </c>
      <c r="BF230" s="198">
        <v>0.4900607413130858</v>
      </c>
      <c r="BG230" s="198">
        <v>0</v>
      </c>
      <c r="BH230" s="198">
        <v>0</v>
      </c>
      <c r="BI230" s="198">
        <v>-1008.4000000000001</v>
      </c>
      <c r="BJ230" s="198">
        <v>-2420.16</v>
      </c>
      <c r="BK230" s="198">
        <v>-41344.399999999994</v>
      </c>
      <c r="BL230" s="198">
        <v>-3731.08</v>
      </c>
      <c r="BM230" s="198">
        <v>-53747.72</v>
      </c>
      <c r="BN230" s="198">
        <v>-1210.08</v>
      </c>
      <c r="BO230" s="198">
        <v>321957</v>
      </c>
      <c r="BP230" s="198">
        <v>251383.7136722952</v>
      </c>
      <c r="BQ230" s="198">
        <v>954489</v>
      </c>
      <c r="BR230" s="198">
        <v>293114</v>
      </c>
      <c r="BS230" s="198">
        <v>743309.2555429272</v>
      </c>
      <c r="BT230" s="198">
        <v>41048.66335412597</v>
      </c>
      <c r="BU230" s="198">
        <v>106843.04163109911</v>
      </c>
      <c r="BV230" s="198">
        <v>374059.29699343286</v>
      </c>
      <c r="BW230" s="198">
        <v>568328.1513533845</v>
      </c>
      <c r="BX230" s="198">
        <v>907.56</v>
      </c>
      <c r="BY230" s="198">
        <v>68276.05174616053</v>
      </c>
      <c r="BZ230" s="198">
        <v>3723715.734293426</v>
      </c>
      <c r="CA230" s="198">
        <v>3532825.614293426</v>
      </c>
      <c r="CB230" s="198">
        <v>0</v>
      </c>
      <c r="CC230" s="232">
        <v>8587505.481142858</v>
      </c>
      <c r="CD230" s="198">
        <v>-685716</v>
      </c>
      <c r="CE230" s="198">
        <v>-106966.28779999996</v>
      </c>
      <c r="CH230" s="198">
        <v>10165</v>
      </c>
    </row>
    <row r="231" spans="1:86" ht="11.25">
      <c r="A231" s="198">
        <v>732</v>
      </c>
      <c r="B231" s="198" t="s">
        <v>306</v>
      </c>
      <c r="C231" s="198">
        <v>3781</v>
      </c>
      <c r="D231" s="198">
        <v>13776261.34</v>
      </c>
      <c r="E231" s="198">
        <v>7657389.539614734</v>
      </c>
      <c r="F231" s="198">
        <v>3797133.0485234363</v>
      </c>
      <c r="G231" s="198">
        <v>25230783.92813817</v>
      </c>
      <c r="H231" s="198">
        <v>3642.26</v>
      </c>
      <c r="I231" s="198">
        <v>13771385.06</v>
      </c>
      <c r="J231" s="198">
        <v>11459398.86813817</v>
      </c>
      <c r="K231" s="198">
        <v>4119677.9322529025</v>
      </c>
      <c r="L231" s="198">
        <v>1982014.2443751849</v>
      </c>
      <c r="M231" s="198">
        <v>-255761.41503808647</v>
      </c>
      <c r="N231" s="198">
        <v>17305329.629728172</v>
      </c>
      <c r="O231" s="198">
        <v>3013034.407414635</v>
      </c>
      <c r="P231" s="198">
        <v>20318364.037142806</v>
      </c>
      <c r="Q231" s="198">
        <v>122</v>
      </c>
      <c r="R231" s="198">
        <v>22</v>
      </c>
      <c r="S231" s="198">
        <v>162</v>
      </c>
      <c r="T231" s="198">
        <v>80</v>
      </c>
      <c r="U231" s="198">
        <v>114</v>
      </c>
      <c r="V231" s="198">
        <v>2023</v>
      </c>
      <c r="W231" s="198">
        <v>589</v>
      </c>
      <c r="X231" s="198">
        <v>492</v>
      </c>
      <c r="Y231" s="198">
        <v>177</v>
      </c>
      <c r="Z231" s="198">
        <v>3728</v>
      </c>
      <c r="AA231" s="198">
        <v>8</v>
      </c>
      <c r="AB231" s="198">
        <v>3</v>
      </c>
      <c r="AC231" s="198">
        <v>42</v>
      </c>
      <c r="AD231" s="198">
        <v>5729.85</v>
      </c>
      <c r="AE231" s="198">
        <v>0.6598776582284004</v>
      </c>
      <c r="AF231" s="198">
        <v>1258</v>
      </c>
      <c r="AG231" s="198">
        <v>7657389.539614734</v>
      </c>
      <c r="AH231" s="198">
        <v>4429859.681307903</v>
      </c>
      <c r="AI231" s="198">
        <v>2411156.46940765</v>
      </c>
      <c r="AJ231" s="198">
        <v>816373.3888991823</v>
      </c>
      <c r="AK231" s="198">
        <v>350</v>
      </c>
      <c r="AL231" s="198">
        <v>1618</v>
      </c>
      <c r="AM231" s="198">
        <v>1.7352730363864663</v>
      </c>
      <c r="AN231" s="198">
        <v>42</v>
      </c>
      <c r="AO231" s="198">
        <v>0.011108172441153134</v>
      </c>
      <c r="AP231" s="198">
        <v>0.009384628835499911</v>
      </c>
      <c r="AQ231" s="198">
        <v>0</v>
      </c>
      <c r="AR231" s="198">
        <v>8</v>
      </c>
      <c r="AS231" s="198">
        <v>3</v>
      </c>
      <c r="AT231" s="198">
        <v>0</v>
      </c>
      <c r="AU231" s="198">
        <v>5729.85</v>
      </c>
      <c r="AV231" s="198">
        <v>0.6598776582284004</v>
      </c>
      <c r="AW231" s="198">
        <v>27.281498420801416</v>
      </c>
      <c r="AX231" s="198">
        <v>154</v>
      </c>
      <c r="AY231" s="198">
        <v>946</v>
      </c>
      <c r="AZ231" s="198">
        <v>0.16279069767441862</v>
      </c>
      <c r="BA231" s="198">
        <v>0.09910183897876644</v>
      </c>
      <c r="BB231" s="198">
        <v>1.6931666666666667</v>
      </c>
      <c r="BC231" s="198">
        <v>1139</v>
      </c>
      <c r="BD231" s="198">
        <v>1212</v>
      </c>
      <c r="BE231" s="198">
        <v>0.9397689768976898</v>
      </c>
      <c r="BF231" s="198">
        <v>0.5101301226013013</v>
      </c>
      <c r="BG231" s="198">
        <v>0</v>
      </c>
      <c r="BH231" s="198">
        <v>3</v>
      </c>
      <c r="BI231" s="198">
        <v>-378.1</v>
      </c>
      <c r="BJ231" s="198">
        <v>-907.4399999999999</v>
      </c>
      <c r="BK231" s="198">
        <v>-15502.099999999999</v>
      </c>
      <c r="BL231" s="198">
        <v>-1398.97</v>
      </c>
      <c r="BM231" s="198">
        <v>-20152.73</v>
      </c>
      <c r="BN231" s="198">
        <v>-453.71999999999997</v>
      </c>
      <c r="BO231" s="198">
        <v>258365</v>
      </c>
      <c r="BP231" s="198">
        <v>501435.70851542056</v>
      </c>
      <c r="BQ231" s="198">
        <v>397132</v>
      </c>
      <c r="BR231" s="198">
        <v>120884</v>
      </c>
      <c r="BS231" s="198">
        <v>323961.8783023534</v>
      </c>
      <c r="BT231" s="198">
        <v>18056.029456748154</v>
      </c>
      <c r="BU231" s="198">
        <v>65713.15219817025</v>
      </c>
      <c r="BV231" s="198">
        <v>160800.97622708709</v>
      </c>
      <c r="BW231" s="198">
        <v>205845.79816194318</v>
      </c>
      <c r="BX231" s="198">
        <v>340.28999999999996</v>
      </c>
      <c r="BY231" s="198">
        <v>1053.7415134621988</v>
      </c>
      <c r="BZ231" s="198">
        <v>2053588.574375185</v>
      </c>
      <c r="CA231" s="198">
        <v>1982014.2443751849</v>
      </c>
      <c r="CB231" s="198">
        <v>-255761.41503808647</v>
      </c>
      <c r="CC231" s="232">
        <v>3013034.407414635</v>
      </c>
      <c r="CD231" s="198">
        <v>-332227</v>
      </c>
      <c r="CE231" s="198">
        <v>-8343.121399999996</v>
      </c>
      <c r="CH231" s="198">
        <v>3890</v>
      </c>
    </row>
    <row r="232" spans="1:86" ht="11.25">
      <c r="A232" s="198">
        <v>734</v>
      </c>
      <c r="B232" s="198" t="s">
        <v>307</v>
      </c>
      <c r="C232" s="198">
        <v>54238</v>
      </c>
      <c r="D232" s="198">
        <v>195502718.38</v>
      </c>
      <c r="E232" s="198">
        <v>62728745.95285831</v>
      </c>
      <c r="F232" s="198">
        <v>15274035.613678819</v>
      </c>
      <c r="G232" s="198">
        <v>273505499.94653714</v>
      </c>
      <c r="H232" s="198">
        <v>3642.26</v>
      </c>
      <c r="I232" s="198">
        <v>197548897.88000003</v>
      </c>
      <c r="J232" s="198">
        <v>75956602.06653711</v>
      </c>
      <c r="K232" s="198">
        <v>1806004.676935365</v>
      </c>
      <c r="L232" s="198">
        <v>12969527.426721977</v>
      </c>
      <c r="M232" s="198">
        <v>0</v>
      </c>
      <c r="N232" s="198">
        <v>90732134.17019445</v>
      </c>
      <c r="O232" s="198">
        <v>22766129.500337355</v>
      </c>
      <c r="P232" s="198">
        <v>113498263.67053181</v>
      </c>
      <c r="Q232" s="198">
        <v>3247</v>
      </c>
      <c r="R232" s="198">
        <v>596</v>
      </c>
      <c r="S232" s="198">
        <v>3676</v>
      </c>
      <c r="T232" s="198">
        <v>1865</v>
      </c>
      <c r="U232" s="198">
        <v>1892</v>
      </c>
      <c r="V232" s="198">
        <v>30542</v>
      </c>
      <c r="W232" s="198">
        <v>6860</v>
      </c>
      <c r="X232" s="198">
        <v>3924</v>
      </c>
      <c r="Y232" s="198">
        <v>1636</v>
      </c>
      <c r="Z232" s="198">
        <v>50621</v>
      </c>
      <c r="AA232" s="198">
        <v>586</v>
      </c>
      <c r="AB232" s="198">
        <v>0</v>
      </c>
      <c r="AC232" s="198">
        <v>3031</v>
      </c>
      <c r="AD232" s="198">
        <v>1986.52</v>
      </c>
      <c r="AE232" s="198">
        <v>27.30302237077905</v>
      </c>
      <c r="AF232" s="198">
        <v>12420</v>
      </c>
      <c r="AG232" s="198">
        <v>62728745.95285831</v>
      </c>
      <c r="AH232" s="198">
        <v>36767911.883062504</v>
      </c>
      <c r="AI232" s="198">
        <v>17970796.646527212</v>
      </c>
      <c r="AJ232" s="198">
        <v>7990037.423268592</v>
      </c>
      <c r="AK232" s="198">
        <v>3988</v>
      </c>
      <c r="AL232" s="198">
        <v>25528</v>
      </c>
      <c r="AM232" s="198">
        <v>1.2531892185856126</v>
      </c>
      <c r="AN232" s="198">
        <v>3031</v>
      </c>
      <c r="AO232" s="198">
        <v>0.05588332903130647</v>
      </c>
      <c r="AP232" s="198">
        <v>0.054159785425653244</v>
      </c>
      <c r="AQ232" s="198">
        <v>0</v>
      </c>
      <c r="AR232" s="198">
        <v>586</v>
      </c>
      <c r="AS232" s="198">
        <v>0</v>
      </c>
      <c r="AT232" s="198">
        <v>1</v>
      </c>
      <c r="AU232" s="198">
        <v>1986.52</v>
      </c>
      <c r="AV232" s="198">
        <v>27.30302237077905</v>
      </c>
      <c r="AW232" s="198">
        <v>0.6593574530469305</v>
      </c>
      <c r="AX232" s="198">
        <v>2583</v>
      </c>
      <c r="AY232" s="198">
        <v>17233</v>
      </c>
      <c r="AZ232" s="198">
        <v>0.14988684500667324</v>
      </c>
      <c r="BA232" s="198">
        <v>0.08619798631102106</v>
      </c>
      <c r="BB232" s="198">
        <v>0</v>
      </c>
      <c r="BC232" s="198">
        <v>19822</v>
      </c>
      <c r="BD232" s="198">
        <v>20718</v>
      </c>
      <c r="BE232" s="198">
        <v>0.9567525822955883</v>
      </c>
      <c r="BF232" s="198">
        <v>0.5271137279991998</v>
      </c>
      <c r="BG232" s="198">
        <v>0</v>
      </c>
      <c r="BH232" s="198">
        <v>0</v>
      </c>
      <c r="BI232" s="198">
        <v>-5423.8</v>
      </c>
      <c r="BJ232" s="198">
        <v>-13017.119999999999</v>
      </c>
      <c r="BK232" s="198">
        <v>-222375.8</v>
      </c>
      <c r="BL232" s="198">
        <v>-20068.06</v>
      </c>
      <c r="BM232" s="198">
        <v>-289088.54</v>
      </c>
      <c r="BN232" s="198">
        <v>-6508.5599999999995</v>
      </c>
      <c r="BO232" s="198">
        <v>-333760</v>
      </c>
      <c r="BP232" s="198">
        <v>825981.7808151245</v>
      </c>
      <c r="BQ232" s="198">
        <v>4035158</v>
      </c>
      <c r="BR232" s="198">
        <v>1360728</v>
      </c>
      <c r="BS232" s="198">
        <v>3108333.4400907625</v>
      </c>
      <c r="BT232" s="198">
        <v>109870.08065928429</v>
      </c>
      <c r="BU232" s="198">
        <v>143591.84511297155</v>
      </c>
      <c r="BV232" s="198">
        <v>1435082.5456556936</v>
      </c>
      <c r="BW232" s="198">
        <v>2834246.9621794405</v>
      </c>
      <c r="BX232" s="198">
        <v>4881.42</v>
      </c>
      <c r="BY232" s="198">
        <v>472138.69220869715</v>
      </c>
      <c r="BZ232" s="198">
        <v>13996252.766721977</v>
      </c>
      <c r="CA232" s="198">
        <v>12969527.426721977</v>
      </c>
      <c r="CB232" s="198">
        <v>0</v>
      </c>
      <c r="CC232" s="232">
        <v>22766129.500337355</v>
      </c>
      <c r="CD232" s="198">
        <v>-5529500</v>
      </c>
      <c r="CE232" s="198">
        <v>-626802.5226360001</v>
      </c>
      <c r="CH232" s="198">
        <v>54478</v>
      </c>
    </row>
    <row r="233" spans="1:86" ht="11.25">
      <c r="A233" s="198">
        <v>790</v>
      </c>
      <c r="B233" s="198" t="s">
        <v>308</v>
      </c>
      <c r="C233" s="198">
        <v>25372</v>
      </c>
      <c r="D233" s="198">
        <v>95963600.86</v>
      </c>
      <c r="E233" s="198">
        <v>35179470.442671254</v>
      </c>
      <c r="F233" s="198">
        <v>4918317.725979416</v>
      </c>
      <c r="G233" s="198">
        <v>136061389.02865067</v>
      </c>
      <c r="H233" s="198">
        <v>3642.26</v>
      </c>
      <c r="I233" s="198">
        <v>92411420.72</v>
      </c>
      <c r="J233" s="198">
        <v>43649968.30865067</v>
      </c>
      <c r="K233" s="198">
        <v>740007.0199734982</v>
      </c>
      <c r="L233" s="198">
        <v>6662891.485386904</v>
      </c>
      <c r="M233" s="198">
        <v>0</v>
      </c>
      <c r="N233" s="198">
        <v>51052866.81401108</v>
      </c>
      <c r="O233" s="198">
        <v>15944209.998900011</v>
      </c>
      <c r="P233" s="198">
        <v>66997076.81291109</v>
      </c>
      <c r="Q233" s="198">
        <v>1475</v>
      </c>
      <c r="R233" s="198">
        <v>262</v>
      </c>
      <c r="S233" s="198">
        <v>1655</v>
      </c>
      <c r="T233" s="198">
        <v>912</v>
      </c>
      <c r="U233" s="198">
        <v>850</v>
      </c>
      <c r="V233" s="198">
        <v>13810</v>
      </c>
      <c r="W233" s="198">
        <v>3318</v>
      </c>
      <c r="X233" s="198">
        <v>2140</v>
      </c>
      <c r="Y233" s="198">
        <v>950</v>
      </c>
      <c r="Z233" s="198">
        <v>24752</v>
      </c>
      <c r="AA233" s="198">
        <v>34</v>
      </c>
      <c r="AB233" s="198">
        <v>0</v>
      </c>
      <c r="AC233" s="198">
        <v>586</v>
      </c>
      <c r="AD233" s="198">
        <v>1429.23</v>
      </c>
      <c r="AE233" s="198">
        <v>17.752216228318744</v>
      </c>
      <c r="AF233" s="198">
        <v>6408</v>
      </c>
      <c r="AG233" s="198">
        <v>35179470.442671254</v>
      </c>
      <c r="AH233" s="198">
        <v>19936086.379891902</v>
      </c>
      <c r="AI233" s="198">
        <v>10735960.777261525</v>
      </c>
      <c r="AJ233" s="198">
        <v>4507423.285517825</v>
      </c>
      <c r="AK233" s="198">
        <v>1226</v>
      </c>
      <c r="AL233" s="198">
        <v>11170</v>
      </c>
      <c r="AM233" s="198">
        <v>0.8804720791770481</v>
      </c>
      <c r="AN233" s="198">
        <v>586</v>
      </c>
      <c r="AO233" s="198">
        <v>0.023096326659309475</v>
      </c>
      <c r="AP233" s="198">
        <v>0.021372783053656252</v>
      </c>
      <c r="AQ233" s="198">
        <v>0</v>
      </c>
      <c r="AR233" s="198">
        <v>34</v>
      </c>
      <c r="AS233" s="198">
        <v>0</v>
      </c>
      <c r="AT233" s="198">
        <v>0</v>
      </c>
      <c r="AU233" s="198">
        <v>1429.23</v>
      </c>
      <c r="AV233" s="198">
        <v>17.752216228318744</v>
      </c>
      <c r="AW233" s="198">
        <v>1.0140959900072823</v>
      </c>
      <c r="AX233" s="198">
        <v>1038</v>
      </c>
      <c r="AY233" s="198">
        <v>7380</v>
      </c>
      <c r="AZ233" s="198">
        <v>0.14065040650406505</v>
      </c>
      <c r="BA233" s="198">
        <v>0.07696154780841287</v>
      </c>
      <c r="BB233" s="198">
        <v>0</v>
      </c>
      <c r="BC233" s="198">
        <v>8934</v>
      </c>
      <c r="BD233" s="198">
        <v>10023</v>
      </c>
      <c r="BE233" s="198">
        <v>0.8913498952409459</v>
      </c>
      <c r="BF233" s="198">
        <v>0.46171104094455734</v>
      </c>
      <c r="BG233" s="198">
        <v>0</v>
      </c>
      <c r="BH233" s="198">
        <v>0</v>
      </c>
      <c r="BI233" s="198">
        <v>-2537.2000000000003</v>
      </c>
      <c r="BJ233" s="198">
        <v>-6089.28</v>
      </c>
      <c r="BK233" s="198">
        <v>-104025.2</v>
      </c>
      <c r="BL233" s="198">
        <v>-9387.64</v>
      </c>
      <c r="BM233" s="198">
        <v>-135232.76</v>
      </c>
      <c r="BN233" s="198">
        <v>-3044.64</v>
      </c>
      <c r="BO233" s="198">
        <v>109921</v>
      </c>
      <c r="BP233" s="198">
        <v>314590.4163180054</v>
      </c>
      <c r="BQ233" s="198">
        <v>2132215</v>
      </c>
      <c r="BR233" s="198">
        <v>693692</v>
      </c>
      <c r="BS233" s="198">
        <v>1590061.451839151</v>
      </c>
      <c r="BT233" s="198">
        <v>77740.95422471622</v>
      </c>
      <c r="BU233" s="198">
        <v>165931.79737755808</v>
      </c>
      <c r="BV233" s="198">
        <v>756892.1389919305</v>
      </c>
      <c r="BW233" s="198">
        <v>1347356.6117657272</v>
      </c>
      <c r="BX233" s="198">
        <v>2283.48</v>
      </c>
      <c r="BY233" s="198">
        <v>-47501.40513018501</v>
      </c>
      <c r="BZ233" s="198">
        <v>7143183.445386904</v>
      </c>
      <c r="CA233" s="198">
        <v>6662891.485386904</v>
      </c>
      <c r="CB233" s="198">
        <v>0</v>
      </c>
      <c r="CC233" s="232">
        <v>15944209.998900011</v>
      </c>
      <c r="CD233" s="198">
        <v>-2383467</v>
      </c>
      <c r="CE233" s="198">
        <v>-355479.23374000017</v>
      </c>
      <c r="CH233" s="198">
        <v>25511</v>
      </c>
    </row>
    <row r="234" spans="1:86" ht="11.25">
      <c r="A234" s="198">
        <v>738</v>
      </c>
      <c r="B234" s="198" t="s">
        <v>309</v>
      </c>
      <c r="C234" s="198">
        <v>2999</v>
      </c>
      <c r="D234" s="198">
        <v>10624597.139999999</v>
      </c>
      <c r="E234" s="198">
        <v>2883641.1254627546</v>
      </c>
      <c r="F234" s="198">
        <v>560504.5815673551</v>
      </c>
      <c r="G234" s="198">
        <v>14068742.847030107</v>
      </c>
      <c r="H234" s="198">
        <v>3642.26</v>
      </c>
      <c r="I234" s="198">
        <v>10923137.74</v>
      </c>
      <c r="J234" s="198">
        <v>3145605.1070301067</v>
      </c>
      <c r="K234" s="198">
        <v>26819.71795918172</v>
      </c>
      <c r="L234" s="198">
        <v>635305.0562889684</v>
      </c>
      <c r="M234" s="198">
        <v>65354.32357677351</v>
      </c>
      <c r="N234" s="198">
        <v>3873084.2048550304</v>
      </c>
      <c r="O234" s="198">
        <v>1638824.7832289159</v>
      </c>
      <c r="P234" s="198">
        <v>5511908.9880839465</v>
      </c>
      <c r="Q234" s="198">
        <v>179</v>
      </c>
      <c r="R234" s="198">
        <v>41</v>
      </c>
      <c r="S234" s="198">
        <v>208</v>
      </c>
      <c r="T234" s="198">
        <v>103</v>
      </c>
      <c r="U234" s="198">
        <v>84</v>
      </c>
      <c r="V234" s="198">
        <v>1734</v>
      </c>
      <c r="W234" s="198">
        <v>376</v>
      </c>
      <c r="X234" s="198">
        <v>187</v>
      </c>
      <c r="Y234" s="198">
        <v>87</v>
      </c>
      <c r="Z234" s="198">
        <v>2860</v>
      </c>
      <c r="AA234" s="198">
        <v>72</v>
      </c>
      <c r="AB234" s="198">
        <v>0</v>
      </c>
      <c r="AC234" s="198">
        <v>67</v>
      </c>
      <c r="AD234" s="198">
        <v>252.47</v>
      </c>
      <c r="AE234" s="198">
        <v>11.878639046223313</v>
      </c>
      <c r="AF234" s="198">
        <v>650</v>
      </c>
      <c r="AG234" s="198">
        <v>2883641.1254627546</v>
      </c>
      <c r="AH234" s="198">
        <v>1714443.5087129471</v>
      </c>
      <c r="AI234" s="198">
        <v>761010.9223002164</v>
      </c>
      <c r="AJ234" s="198">
        <v>408186.6944495911</v>
      </c>
      <c r="AK234" s="198">
        <v>115</v>
      </c>
      <c r="AL234" s="198">
        <v>1394</v>
      </c>
      <c r="AM234" s="198">
        <v>0.6617795734380606</v>
      </c>
      <c r="AN234" s="198">
        <v>67</v>
      </c>
      <c r="AO234" s="198">
        <v>0.022340780260086696</v>
      </c>
      <c r="AP234" s="198">
        <v>0.020617236654433473</v>
      </c>
      <c r="AQ234" s="198">
        <v>0</v>
      </c>
      <c r="AR234" s="198">
        <v>72</v>
      </c>
      <c r="AS234" s="198">
        <v>0</v>
      </c>
      <c r="AT234" s="198">
        <v>0</v>
      </c>
      <c r="AU234" s="198">
        <v>252.47</v>
      </c>
      <c r="AV234" s="198">
        <v>11.878639046223313</v>
      </c>
      <c r="AW234" s="198">
        <v>1.5155314696260536</v>
      </c>
      <c r="AX234" s="198">
        <v>127</v>
      </c>
      <c r="AY234" s="198">
        <v>994</v>
      </c>
      <c r="AZ234" s="198">
        <v>0.12776659959758552</v>
      </c>
      <c r="BA234" s="198">
        <v>0.06407774090193334</v>
      </c>
      <c r="BB234" s="198">
        <v>0</v>
      </c>
      <c r="BC234" s="198">
        <v>738</v>
      </c>
      <c r="BD234" s="198">
        <v>1292</v>
      </c>
      <c r="BE234" s="198">
        <v>0.5712074303405573</v>
      </c>
      <c r="BF234" s="198">
        <v>0.14156857604416878</v>
      </c>
      <c r="BG234" s="198">
        <v>0</v>
      </c>
      <c r="BH234" s="198">
        <v>0</v>
      </c>
      <c r="BI234" s="198">
        <v>-299.90000000000003</v>
      </c>
      <c r="BJ234" s="198">
        <v>-719.76</v>
      </c>
      <c r="BK234" s="198">
        <v>-12295.9</v>
      </c>
      <c r="BL234" s="198">
        <v>-1109.6299999999999</v>
      </c>
      <c r="BM234" s="198">
        <v>-15984.67</v>
      </c>
      <c r="BN234" s="198">
        <v>-359.88</v>
      </c>
      <c r="BO234" s="198">
        <v>-87894</v>
      </c>
      <c r="BP234" s="198">
        <v>-25972.495480962098</v>
      </c>
      <c r="BQ234" s="198">
        <v>275701</v>
      </c>
      <c r="BR234" s="198">
        <v>85382</v>
      </c>
      <c r="BS234" s="198">
        <v>191068.64161105533</v>
      </c>
      <c r="BT234" s="198">
        <v>6790.062972697254</v>
      </c>
      <c r="BU234" s="198">
        <v>2703.277612326673</v>
      </c>
      <c r="BV234" s="198">
        <v>71784.76699329968</v>
      </c>
      <c r="BW234" s="198">
        <v>167333.10536533807</v>
      </c>
      <c r="BX234" s="198">
        <v>269.90999999999997</v>
      </c>
      <c r="BY234" s="198">
        <v>4909.857215213526</v>
      </c>
      <c r="BZ234" s="198">
        <v>692076.1262889684</v>
      </c>
      <c r="CA234" s="198">
        <v>635305.0562889684</v>
      </c>
      <c r="CB234" s="198">
        <v>65354.32357677351</v>
      </c>
      <c r="CC234" s="232">
        <v>1638824.7832289159</v>
      </c>
      <c r="CD234" s="198">
        <v>-817284</v>
      </c>
      <c r="CE234" s="198">
        <v>-62324.362099999984</v>
      </c>
      <c r="CH234" s="198">
        <v>3032</v>
      </c>
    </row>
    <row r="235" spans="1:86" ht="11.25">
      <c r="A235" s="198">
        <v>739</v>
      </c>
      <c r="B235" s="198" t="s">
        <v>310</v>
      </c>
      <c r="C235" s="198">
        <v>3667</v>
      </c>
      <c r="D235" s="198">
        <v>14494681.37</v>
      </c>
      <c r="E235" s="198">
        <v>5767359.337013415</v>
      </c>
      <c r="F235" s="198">
        <v>893139.7755908472</v>
      </c>
      <c r="G235" s="198">
        <v>21155180.48260426</v>
      </c>
      <c r="H235" s="198">
        <v>3642.26</v>
      </c>
      <c r="I235" s="198">
        <v>13356167.42</v>
      </c>
      <c r="J235" s="198">
        <v>7799013.062604262</v>
      </c>
      <c r="K235" s="198">
        <v>214792.93724597996</v>
      </c>
      <c r="L235" s="198">
        <v>1244466.2257202652</v>
      </c>
      <c r="M235" s="198">
        <v>0</v>
      </c>
      <c r="N235" s="198">
        <v>9258272.225570507</v>
      </c>
      <c r="O235" s="198">
        <v>2461264.160666668</v>
      </c>
      <c r="P235" s="198">
        <v>11719536.386237174</v>
      </c>
      <c r="Q235" s="198">
        <v>152</v>
      </c>
      <c r="R235" s="198">
        <v>29</v>
      </c>
      <c r="S235" s="198">
        <v>178</v>
      </c>
      <c r="T235" s="198">
        <v>110</v>
      </c>
      <c r="U235" s="198">
        <v>100</v>
      </c>
      <c r="V235" s="198">
        <v>1828</v>
      </c>
      <c r="W235" s="198">
        <v>593</v>
      </c>
      <c r="X235" s="198">
        <v>493</v>
      </c>
      <c r="Y235" s="198">
        <v>184</v>
      </c>
      <c r="Z235" s="198">
        <v>3628</v>
      </c>
      <c r="AA235" s="198">
        <v>4</v>
      </c>
      <c r="AB235" s="198">
        <v>0</v>
      </c>
      <c r="AC235" s="198">
        <v>35</v>
      </c>
      <c r="AD235" s="198">
        <v>539.74</v>
      </c>
      <c r="AE235" s="198">
        <v>6.794011931670805</v>
      </c>
      <c r="AF235" s="198">
        <v>1270</v>
      </c>
      <c r="AG235" s="198">
        <v>5767359.337013415</v>
      </c>
      <c r="AH235" s="198">
        <v>3155160.2756199483</v>
      </c>
      <c r="AI235" s="198">
        <v>2195327.543657714</v>
      </c>
      <c r="AJ235" s="198">
        <v>416871.5177357526</v>
      </c>
      <c r="AK235" s="198">
        <v>192</v>
      </c>
      <c r="AL235" s="198">
        <v>1555</v>
      </c>
      <c r="AM235" s="198">
        <v>0.9904877912570953</v>
      </c>
      <c r="AN235" s="198">
        <v>35</v>
      </c>
      <c r="AO235" s="198">
        <v>0.009544586855740387</v>
      </c>
      <c r="AP235" s="198">
        <v>0.007821043250087164</v>
      </c>
      <c r="AQ235" s="198">
        <v>0</v>
      </c>
      <c r="AR235" s="198">
        <v>4</v>
      </c>
      <c r="AS235" s="198">
        <v>0</v>
      </c>
      <c r="AT235" s="198">
        <v>0</v>
      </c>
      <c r="AU235" s="198">
        <v>539.74</v>
      </c>
      <c r="AV235" s="198">
        <v>6.794011931670805</v>
      </c>
      <c r="AW235" s="198">
        <v>2.6497526751403604</v>
      </c>
      <c r="AX235" s="198">
        <v>135</v>
      </c>
      <c r="AY235" s="198">
        <v>930</v>
      </c>
      <c r="AZ235" s="198">
        <v>0.14516129032258066</v>
      </c>
      <c r="BA235" s="198">
        <v>0.08147243162692848</v>
      </c>
      <c r="BB235" s="198">
        <v>0.1582</v>
      </c>
      <c r="BC235" s="198">
        <v>1113</v>
      </c>
      <c r="BD235" s="198">
        <v>1332</v>
      </c>
      <c r="BE235" s="198">
        <v>0.8355855855855856</v>
      </c>
      <c r="BF235" s="198">
        <v>0.40594673128919706</v>
      </c>
      <c r="BG235" s="198">
        <v>0</v>
      </c>
      <c r="BH235" s="198">
        <v>0</v>
      </c>
      <c r="BI235" s="198">
        <v>-366.70000000000005</v>
      </c>
      <c r="BJ235" s="198">
        <v>-880.0799999999999</v>
      </c>
      <c r="BK235" s="198">
        <v>-15034.699999999999</v>
      </c>
      <c r="BL235" s="198">
        <v>-1356.79</v>
      </c>
      <c r="BM235" s="198">
        <v>-19545.11</v>
      </c>
      <c r="BN235" s="198">
        <v>-440.03999999999996</v>
      </c>
      <c r="BO235" s="198">
        <v>71974</v>
      </c>
      <c r="BP235" s="198">
        <v>17385.44724056311</v>
      </c>
      <c r="BQ235" s="198">
        <v>404465</v>
      </c>
      <c r="BR235" s="198">
        <v>122158</v>
      </c>
      <c r="BS235" s="198">
        <v>311739.8156545589</v>
      </c>
      <c r="BT235" s="198">
        <v>16778.709372529363</v>
      </c>
      <c r="BU235" s="198">
        <v>32261.40038031776</v>
      </c>
      <c r="BV235" s="198">
        <v>141033.168890131</v>
      </c>
      <c r="BW235" s="198">
        <v>190507.54564333978</v>
      </c>
      <c r="BX235" s="198">
        <v>330.03</v>
      </c>
      <c r="BY235" s="198">
        <v>5249.418538825426</v>
      </c>
      <c r="BZ235" s="198">
        <v>1313882.5357202652</v>
      </c>
      <c r="CA235" s="198">
        <v>1244466.2257202652</v>
      </c>
      <c r="CB235" s="198">
        <v>0</v>
      </c>
      <c r="CC235" s="232">
        <v>2461264.160666668</v>
      </c>
      <c r="CD235" s="198">
        <v>-25639</v>
      </c>
      <c r="CE235" s="198">
        <v>287962.2125</v>
      </c>
      <c r="CH235" s="198">
        <v>3729</v>
      </c>
    </row>
    <row r="236" spans="1:86" ht="11.25">
      <c r="A236" s="198">
        <v>740</v>
      </c>
      <c r="B236" s="198" t="s">
        <v>311</v>
      </c>
      <c r="C236" s="198">
        <v>35944</v>
      </c>
      <c r="D236" s="198">
        <v>126168776.85999998</v>
      </c>
      <c r="E236" s="198">
        <v>50861804.61876743</v>
      </c>
      <c r="F236" s="198">
        <v>8571424.678296689</v>
      </c>
      <c r="G236" s="198">
        <v>185602006.1570641</v>
      </c>
      <c r="H236" s="198">
        <v>3642.26</v>
      </c>
      <c r="I236" s="198">
        <v>130917393.44000001</v>
      </c>
      <c r="J236" s="198">
        <v>54684612.7170641</v>
      </c>
      <c r="K236" s="198">
        <v>2045928.2410396445</v>
      </c>
      <c r="L236" s="198">
        <v>9861439.012532229</v>
      </c>
      <c r="M236" s="198">
        <v>0</v>
      </c>
      <c r="N236" s="198">
        <v>66591979.970635965</v>
      </c>
      <c r="O236" s="198">
        <v>16402537.819818173</v>
      </c>
      <c r="P236" s="198">
        <v>82994517.79045413</v>
      </c>
      <c r="Q236" s="198">
        <v>1729</v>
      </c>
      <c r="R236" s="198">
        <v>314</v>
      </c>
      <c r="S236" s="198">
        <v>1976</v>
      </c>
      <c r="T236" s="198">
        <v>1045</v>
      </c>
      <c r="U236" s="198">
        <v>1134</v>
      </c>
      <c r="V236" s="198">
        <v>20097</v>
      </c>
      <c r="W236" s="198">
        <v>5203</v>
      </c>
      <c r="X236" s="198">
        <v>3242</v>
      </c>
      <c r="Y236" s="198">
        <v>1204</v>
      </c>
      <c r="Z236" s="198">
        <v>34774</v>
      </c>
      <c r="AA236" s="198">
        <v>44</v>
      </c>
      <c r="AB236" s="198">
        <v>0</v>
      </c>
      <c r="AC236" s="198">
        <v>1126</v>
      </c>
      <c r="AD236" s="198">
        <v>2239.5</v>
      </c>
      <c r="AE236" s="198">
        <v>16.050011163206072</v>
      </c>
      <c r="AF236" s="198">
        <v>9649</v>
      </c>
      <c r="AG236" s="198">
        <v>50861804.61876743</v>
      </c>
      <c r="AH236" s="198">
        <v>30163657.886871044</v>
      </c>
      <c r="AI236" s="198">
        <v>14983533.009602113</v>
      </c>
      <c r="AJ236" s="198">
        <v>5714613.722294276</v>
      </c>
      <c r="AK236" s="198">
        <v>2429</v>
      </c>
      <c r="AL236" s="198">
        <v>16145</v>
      </c>
      <c r="AM236" s="198">
        <v>1.2068901891446715</v>
      </c>
      <c r="AN236" s="198">
        <v>1126</v>
      </c>
      <c r="AO236" s="198">
        <v>0.031326507901179614</v>
      </c>
      <c r="AP236" s="198">
        <v>0.02960296429552639</v>
      </c>
      <c r="AQ236" s="198">
        <v>0</v>
      </c>
      <c r="AR236" s="198">
        <v>44</v>
      </c>
      <c r="AS236" s="198">
        <v>0</v>
      </c>
      <c r="AT236" s="198">
        <v>1</v>
      </c>
      <c r="AU236" s="198">
        <v>2239.5</v>
      </c>
      <c r="AV236" s="198">
        <v>16.050011163206072</v>
      </c>
      <c r="AW236" s="198">
        <v>1.1216472753707518</v>
      </c>
      <c r="AX236" s="198">
        <v>1284</v>
      </c>
      <c r="AY236" s="198">
        <v>10003</v>
      </c>
      <c r="AZ236" s="198">
        <v>0.12836149155253423</v>
      </c>
      <c r="BA236" s="198">
        <v>0.06467263285688206</v>
      </c>
      <c r="BB236" s="198">
        <v>0.10058333333333333</v>
      </c>
      <c r="BC236" s="198">
        <v>13357</v>
      </c>
      <c r="BD236" s="198">
        <v>13367</v>
      </c>
      <c r="BE236" s="198">
        <v>0.9992518889803247</v>
      </c>
      <c r="BF236" s="198">
        <v>0.5696130346839361</v>
      </c>
      <c r="BG236" s="198">
        <v>0</v>
      </c>
      <c r="BH236" s="198">
        <v>0</v>
      </c>
      <c r="BI236" s="198">
        <v>-3594.4</v>
      </c>
      <c r="BJ236" s="198">
        <v>-8626.56</v>
      </c>
      <c r="BK236" s="198">
        <v>-147370.4</v>
      </c>
      <c r="BL236" s="198">
        <v>-13299.28</v>
      </c>
      <c r="BM236" s="198">
        <v>-191581.52</v>
      </c>
      <c r="BN236" s="198">
        <v>-4313.28</v>
      </c>
      <c r="BO236" s="198">
        <v>523093</v>
      </c>
      <c r="BP236" s="198">
        <v>224198.56074189395</v>
      </c>
      <c r="BQ236" s="198">
        <v>3134752</v>
      </c>
      <c r="BR236" s="198">
        <v>972657</v>
      </c>
      <c r="BS236" s="198">
        <v>2432360.2074209754</v>
      </c>
      <c r="BT236" s="198">
        <v>111060.45902521518</v>
      </c>
      <c r="BU236" s="198">
        <v>21440.63081911284</v>
      </c>
      <c r="BV236" s="198">
        <v>1185246.8266214402</v>
      </c>
      <c r="BW236" s="198">
        <v>1830537.2006798845</v>
      </c>
      <c r="BX236" s="198">
        <v>3234.96</v>
      </c>
      <c r="BY236" s="198">
        <v>103278.08722370467</v>
      </c>
      <c r="BZ236" s="198">
        <v>10541858.932532229</v>
      </c>
      <c r="CA236" s="198">
        <v>9861439.012532229</v>
      </c>
      <c r="CB236" s="198">
        <v>0</v>
      </c>
      <c r="CC236" s="232">
        <v>16402537.819818173</v>
      </c>
      <c r="CD236" s="198">
        <v>-3658514</v>
      </c>
      <c r="CE236" s="198">
        <v>-2529933.26656</v>
      </c>
      <c r="CH236" s="198">
        <v>36256</v>
      </c>
    </row>
    <row r="237" spans="1:86" ht="11.25">
      <c r="A237" s="198">
        <v>742</v>
      </c>
      <c r="B237" s="198" t="s">
        <v>312</v>
      </c>
      <c r="C237" s="198">
        <v>1103</v>
      </c>
      <c r="D237" s="198">
        <v>3799320.7699999996</v>
      </c>
      <c r="E237" s="198">
        <v>1544234.312987831</v>
      </c>
      <c r="F237" s="198">
        <v>1085928.8059707547</v>
      </c>
      <c r="G237" s="198">
        <v>6429483.8889585845</v>
      </c>
      <c r="H237" s="198">
        <v>3642.26</v>
      </c>
      <c r="I237" s="198">
        <v>4017412.7800000003</v>
      </c>
      <c r="J237" s="198">
        <v>2412071.1089585843</v>
      </c>
      <c r="K237" s="198">
        <v>1330780.784005322</v>
      </c>
      <c r="L237" s="198">
        <v>550012.2027686172</v>
      </c>
      <c r="M237" s="198">
        <v>0</v>
      </c>
      <c r="N237" s="198">
        <v>4292864.095732523</v>
      </c>
      <c r="O237" s="198">
        <v>405142.2342068961</v>
      </c>
      <c r="P237" s="198">
        <v>4698006.329939419</v>
      </c>
      <c r="Q237" s="198">
        <v>45</v>
      </c>
      <c r="R237" s="198">
        <v>6</v>
      </c>
      <c r="S237" s="198">
        <v>54</v>
      </c>
      <c r="T237" s="198">
        <v>32</v>
      </c>
      <c r="U237" s="198">
        <v>28</v>
      </c>
      <c r="V237" s="198">
        <v>621</v>
      </c>
      <c r="W237" s="198">
        <v>176</v>
      </c>
      <c r="X237" s="198">
        <v>101</v>
      </c>
      <c r="Y237" s="198">
        <v>40</v>
      </c>
      <c r="Z237" s="198">
        <v>1094</v>
      </c>
      <c r="AA237" s="198">
        <v>2</v>
      </c>
      <c r="AB237" s="198">
        <v>1</v>
      </c>
      <c r="AC237" s="198">
        <v>6</v>
      </c>
      <c r="AD237" s="198">
        <v>6438.33</v>
      </c>
      <c r="AE237" s="198">
        <v>0.17131771748263913</v>
      </c>
      <c r="AF237" s="198">
        <v>317</v>
      </c>
      <c r="AG237" s="198">
        <v>1544234.312987831</v>
      </c>
      <c r="AH237" s="198">
        <v>960868.6269378632</v>
      </c>
      <c r="AI237" s="198">
        <v>400984.3970405761</v>
      </c>
      <c r="AJ237" s="198">
        <v>182381.2890093918</v>
      </c>
      <c r="AK237" s="198">
        <v>112</v>
      </c>
      <c r="AL237" s="198">
        <v>521</v>
      </c>
      <c r="AM237" s="198">
        <v>1.7244817031083626</v>
      </c>
      <c r="AN237" s="198">
        <v>6</v>
      </c>
      <c r="AO237" s="198">
        <v>0.005439709882139619</v>
      </c>
      <c r="AP237" s="198">
        <v>0.003716166276486396</v>
      </c>
      <c r="AQ237" s="198">
        <v>0</v>
      </c>
      <c r="AR237" s="198">
        <v>2</v>
      </c>
      <c r="AS237" s="198">
        <v>1</v>
      </c>
      <c r="AT237" s="198">
        <v>0</v>
      </c>
      <c r="AU237" s="198">
        <v>6438.33</v>
      </c>
      <c r="AV237" s="198">
        <v>0.17131771748263913</v>
      </c>
      <c r="AW237" s="198">
        <v>105.08225042575974</v>
      </c>
      <c r="AX237" s="198">
        <v>46</v>
      </c>
      <c r="AY237" s="198">
        <v>318</v>
      </c>
      <c r="AZ237" s="198">
        <v>0.14465408805031446</v>
      </c>
      <c r="BA237" s="198">
        <v>0.08096522935466229</v>
      </c>
      <c r="BB237" s="198">
        <v>1.8854833333333332</v>
      </c>
      <c r="BC237" s="198">
        <v>355</v>
      </c>
      <c r="BD237" s="198">
        <v>399</v>
      </c>
      <c r="BE237" s="198">
        <v>0.8897243107769424</v>
      </c>
      <c r="BF237" s="198">
        <v>0.4600854564805538</v>
      </c>
      <c r="BG237" s="198">
        <v>0</v>
      </c>
      <c r="BH237" s="198">
        <v>1</v>
      </c>
      <c r="BI237" s="198">
        <v>-110.30000000000001</v>
      </c>
      <c r="BJ237" s="198">
        <v>-264.71999999999997</v>
      </c>
      <c r="BK237" s="198">
        <v>-4522.299999999999</v>
      </c>
      <c r="BL237" s="198">
        <v>-408.11</v>
      </c>
      <c r="BM237" s="198">
        <v>-5878.99</v>
      </c>
      <c r="BN237" s="198">
        <v>-132.35999999999999</v>
      </c>
      <c r="BO237" s="198">
        <v>93901</v>
      </c>
      <c r="BP237" s="198">
        <v>106604.61965460237</v>
      </c>
      <c r="BQ237" s="198">
        <v>109834</v>
      </c>
      <c r="BR237" s="198">
        <v>36537</v>
      </c>
      <c r="BS237" s="198">
        <v>107128.47253510478</v>
      </c>
      <c r="BT237" s="198">
        <v>6185.452639417533</v>
      </c>
      <c r="BU237" s="198">
        <v>17547.13801080827</v>
      </c>
      <c r="BV237" s="198">
        <v>43891.12617323774</v>
      </c>
      <c r="BW237" s="198">
        <v>66776.36370884697</v>
      </c>
      <c r="BX237" s="198">
        <v>99.27</v>
      </c>
      <c r="BY237" s="198">
        <v>-17612.449953400366</v>
      </c>
      <c r="BZ237" s="198">
        <v>570891.9927686172</v>
      </c>
      <c r="CA237" s="198">
        <v>550012.2027686172</v>
      </c>
      <c r="CB237" s="198">
        <v>0</v>
      </c>
      <c r="CC237" s="232">
        <v>405142.2342068961</v>
      </c>
      <c r="CD237" s="198">
        <v>-63807</v>
      </c>
      <c r="CE237" s="198">
        <v>-32376.292</v>
      </c>
      <c r="CH237" s="198">
        <v>1126</v>
      </c>
    </row>
    <row r="238" spans="1:86" ht="11.25">
      <c r="A238" s="198">
        <v>743</v>
      </c>
      <c r="B238" s="198" t="s">
        <v>313</v>
      </c>
      <c r="C238" s="198">
        <v>60880</v>
      </c>
      <c r="D238" s="198">
        <v>212311551.81999996</v>
      </c>
      <c r="E238" s="198">
        <v>72403963.44135137</v>
      </c>
      <c r="F238" s="198">
        <v>8937327.919297436</v>
      </c>
      <c r="G238" s="198">
        <v>293652843.1806488</v>
      </c>
      <c r="H238" s="198">
        <v>3642.26</v>
      </c>
      <c r="I238" s="198">
        <v>221740788.8</v>
      </c>
      <c r="J238" s="198">
        <v>71912054.38064879</v>
      </c>
      <c r="K238" s="198">
        <v>2658828.0695301616</v>
      </c>
      <c r="L238" s="198">
        <v>12835938.317689946</v>
      </c>
      <c r="M238" s="198">
        <v>0</v>
      </c>
      <c r="N238" s="198">
        <v>87406820.76786889</v>
      </c>
      <c r="O238" s="198">
        <v>9980958.195714317</v>
      </c>
      <c r="P238" s="198">
        <v>97387778.9635832</v>
      </c>
      <c r="Q238" s="198">
        <v>4603</v>
      </c>
      <c r="R238" s="198">
        <v>760</v>
      </c>
      <c r="S238" s="198">
        <v>4210</v>
      </c>
      <c r="T238" s="198">
        <v>2123</v>
      </c>
      <c r="U238" s="198">
        <v>2121</v>
      </c>
      <c r="V238" s="198">
        <v>36335</v>
      </c>
      <c r="W238" s="198">
        <v>6075</v>
      </c>
      <c r="X238" s="198">
        <v>3290</v>
      </c>
      <c r="Y238" s="198">
        <v>1363</v>
      </c>
      <c r="Z238" s="198">
        <v>59421</v>
      </c>
      <c r="AA238" s="198">
        <v>119</v>
      </c>
      <c r="AB238" s="198">
        <v>5</v>
      </c>
      <c r="AC238" s="198">
        <v>1335</v>
      </c>
      <c r="AD238" s="198">
        <v>1431.64</v>
      </c>
      <c r="AE238" s="198">
        <v>42.5246570366852</v>
      </c>
      <c r="AF238" s="198">
        <v>10728</v>
      </c>
      <c r="AG238" s="198">
        <v>72403963.44135137</v>
      </c>
      <c r="AH238" s="198">
        <v>42732862.26474403</v>
      </c>
      <c r="AI238" s="198">
        <v>20621515.312427044</v>
      </c>
      <c r="AJ238" s="198">
        <v>9049585.864180299</v>
      </c>
      <c r="AK238" s="198">
        <v>3145</v>
      </c>
      <c r="AL238" s="198">
        <v>29591</v>
      </c>
      <c r="AM238" s="198">
        <v>0.852588163938508</v>
      </c>
      <c r="AN238" s="198">
        <v>1335</v>
      </c>
      <c r="AO238" s="198">
        <v>0.02192838370565046</v>
      </c>
      <c r="AP238" s="198">
        <v>0.020204840099997238</v>
      </c>
      <c r="AQ238" s="198">
        <v>0</v>
      </c>
      <c r="AR238" s="198">
        <v>119</v>
      </c>
      <c r="AS238" s="198">
        <v>5</v>
      </c>
      <c r="AT238" s="198">
        <v>0</v>
      </c>
      <c r="AU238" s="198">
        <v>1431.64</v>
      </c>
      <c r="AV238" s="198">
        <v>42.5246570366852</v>
      </c>
      <c r="AW238" s="198">
        <v>0.42334148104592295</v>
      </c>
      <c r="AX238" s="198">
        <v>1808</v>
      </c>
      <c r="AY238" s="198">
        <v>18873</v>
      </c>
      <c r="AZ238" s="198">
        <v>0.09579823027605575</v>
      </c>
      <c r="BA238" s="198">
        <v>0.03210937158040357</v>
      </c>
      <c r="BB238" s="198">
        <v>0</v>
      </c>
      <c r="BC238" s="198">
        <v>30054</v>
      </c>
      <c r="BD238" s="198">
        <v>26810</v>
      </c>
      <c r="BE238" s="198">
        <v>1.120999627004849</v>
      </c>
      <c r="BF238" s="198">
        <v>0.6913607727084605</v>
      </c>
      <c r="BG238" s="198">
        <v>0</v>
      </c>
      <c r="BH238" s="198">
        <v>5</v>
      </c>
      <c r="BI238" s="198">
        <v>-6088</v>
      </c>
      <c r="BJ238" s="198">
        <v>-14611.199999999999</v>
      </c>
      <c r="BK238" s="198">
        <v>-249607.99999999997</v>
      </c>
      <c r="BL238" s="198">
        <v>-22525.6</v>
      </c>
      <c r="BM238" s="198">
        <v>-324490.4</v>
      </c>
      <c r="BN238" s="198">
        <v>-7305.599999999999</v>
      </c>
      <c r="BO238" s="198">
        <v>461848</v>
      </c>
      <c r="BP238" s="198">
        <v>89519.31668151915</v>
      </c>
      <c r="BQ238" s="198">
        <v>3978804</v>
      </c>
      <c r="BR238" s="198">
        <v>1391477</v>
      </c>
      <c r="BS238" s="198">
        <v>3226519.989374259</v>
      </c>
      <c r="BT238" s="198">
        <v>102023.61029979105</v>
      </c>
      <c r="BU238" s="198">
        <v>237407.69299697477</v>
      </c>
      <c r="BV238" s="198">
        <v>1427481.3590565426</v>
      </c>
      <c r="BW238" s="198">
        <v>3103554.5938886544</v>
      </c>
      <c r="BX238" s="198">
        <v>5479.2</v>
      </c>
      <c r="BY238" s="198">
        <v>-35718.04460779624</v>
      </c>
      <c r="BZ238" s="198">
        <v>13988396.717689946</v>
      </c>
      <c r="CA238" s="198">
        <v>12835938.317689946</v>
      </c>
      <c r="CB238" s="198">
        <v>0</v>
      </c>
      <c r="CC238" s="232">
        <v>9980958.195714317</v>
      </c>
      <c r="CD238" s="198">
        <v>-5501646</v>
      </c>
      <c r="CE238" s="198">
        <v>-155717.51209999982</v>
      </c>
      <c r="CH238" s="198">
        <v>60354</v>
      </c>
    </row>
    <row r="239" spans="1:86" ht="11.25">
      <c r="A239" s="198">
        <v>746</v>
      </c>
      <c r="B239" s="198" t="s">
        <v>314</v>
      </c>
      <c r="C239" s="198">
        <v>5154</v>
      </c>
      <c r="D239" s="198">
        <v>22387356.729999997</v>
      </c>
      <c r="E239" s="198">
        <v>8104400.211195888</v>
      </c>
      <c r="F239" s="198">
        <v>1283971.9128177292</v>
      </c>
      <c r="G239" s="198">
        <v>31775728.85401361</v>
      </c>
      <c r="H239" s="198">
        <v>3642.26</v>
      </c>
      <c r="I239" s="198">
        <v>18772208.040000003</v>
      </c>
      <c r="J239" s="198">
        <v>13003520.814013608</v>
      </c>
      <c r="K239" s="198">
        <v>257320.7076469938</v>
      </c>
      <c r="L239" s="198">
        <v>1119487.3775289704</v>
      </c>
      <c r="M239" s="198">
        <v>-224442.58482507995</v>
      </c>
      <c r="N239" s="198">
        <v>14155886.314364493</v>
      </c>
      <c r="O239" s="198">
        <v>4595026.499586207</v>
      </c>
      <c r="P239" s="198">
        <v>18750912.8139507</v>
      </c>
      <c r="Q239" s="198">
        <v>540</v>
      </c>
      <c r="R239" s="198">
        <v>113</v>
      </c>
      <c r="S239" s="198">
        <v>566</v>
      </c>
      <c r="T239" s="198">
        <v>266</v>
      </c>
      <c r="U239" s="198">
        <v>274</v>
      </c>
      <c r="V239" s="198">
        <v>2525</v>
      </c>
      <c r="W239" s="198">
        <v>471</v>
      </c>
      <c r="X239" s="198">
        <v>266</v>
      </c>
      <c r="Y239" s="198">
        <v>133</v>
      </c>
      <c r="Z239" s="198">
        <v>5066</v>
      </c>
      <c r="AA239" s="198">
        <v>9</v>
      </c>
      <c r="AB239" s="198">
        <v>1</v>
      </c>
      <c r="AC239" s="198">
        <v>78</v>
      </c>
      <c r="AD239" s="198">
        <v>787.33</v>
      </c>
      <c r="AE239" s="198">
        <v>6.5461750473118006</v>
      </c>
      <c r="AF239" s="198">
        <v>870</v>
      </c>
      <c r="AG239" s="198">
        <v>8104400.211195888</v>
      </c>
      <c r="AH239" s="198">
        <v>4509090.799363207</v>
      </c>
      <c r="AI239" s="198">
        <v>2466282.384631684</v>
      </c>
      <c r="AJ239" s="198">
        <v>1129027.0272009966</v>
      </c>
      <c r="AK239" s="198">
        <v>233</v>
      </c>
      <c r="AL239" s="198">
        <v>2079</v>
      </c>
      <c r="AM239" s="198">
        <v>0.8990414664735512</v>
      </c>
      <c r="AN239" s="198">
        <v>78</v>
      </c>
      <c r="AO239" s="198">
        <v>0.015133876600698487</v>
      </c>
      <c r="AP239" s="198">
        <v>0.013410332995045264</v>
      </c>
      <c r="AQ239" s="198">
        <v>0</v>
      </c>
      <c r="AR239" s="198">
        <v>9</v>
      </c>
      <c r="AS239" s="198">
        <v>1</v>
      </c>
      <c r="AT239" s="198">
        <v>0</v>
      </c>
      <c r="AU239" s="198">
        <v>787.33</v>
      </c>
      <c r="AV239" s="198">
        <v>6.5461750473118006</v>
      </c>
      <c r="AW239" s="198">
        <v>2.7500717840218742</v>
      </c>
      <c r="AX239" s="198">
        <v>196</v>
      </c>
      <c r="AY239" s="198">
        <v>1374</v>
      </c>
      <c r="AZ239" s="198">
        <v>0.14264919941775836</v>
      </c>
      <c r="BA239" s="198">
        <v>0.07896034072210618</v>
      </c>
      <c r="BB239" s="198">
        <v>0</v>
      </c>
      <c r="BC239" s="198">
        <v>2185</v>
      </c>
      <c r="BD239" s="198">
        <v>1791</v>
      </c>
      <c r="BE239" s="198">
        <v>1.2199888330541597</v>
      </c>
      <c r="BF239" s="198">
        <v>0.7903499787577712</v>
      </c>
      <c r="BG239" s="198">
        <v>0</v>
      </c>
      <c r="BH239" s="198">
        <v>1</v>
      </c>
      <c r="BI239" s="198">
        <v>-515.4</v>
      </c>
      <c r="BJ239" s="198">
        <v>-1236.96</v>
      </c>
      <c r="BK239" s="198">
        <v>-21131.399999999998</v>
      </c>
      <c r="BL239" s="198">
        <v>-1906.98</v>
      </c>
      <c r="BM239" s="198">
        <v>-27470.82</v>
      </c>
      <c r="BN239" s="198">
        <v>-618.48</v>
      </c>
      <c r="BO239" s="198">
        <v>-98522</v>
      </c>
      <c r="BP239" s="198">
        <v>-93567.0326451771</v>
      </c>
      <c r="BQ239" s="198">
        <v>462947</v>
      </c>
      <c r="BR239" s="198">
        <v>137655</v>
      </c>
      <c r="BS239" s="198">
        <v>343284.8799799744</v>
      </c>
      <c r="BT239" s="198">
        <v>13713.831083321365</v>
      </c>
      <c r="BU239" s="198">
        <v>41211.212880320585</v>
      </c>
      <c r="BV239" s="198">
        <v>189663.91626609047</v>
      </c>
      <c r="BW239" s="198">
        <v>263049.577475816</v>
      </c>
      <c r="BX239" s="198">
        <v>463.85999999999996</v>
      </c>
      <c r="BY239" s="198">
        <v>-42847.64751137537</v>
      </c>
      <c r="BZ239" s="198">
        <v>1217052.5975289703</v>
      </c>
      <c r="CA239" s="198">
        <v>1119487.3775289704</v>
      </c>
      <c r="CB239" s="198">
        <v>-224442.58482507995</v>
      </c>
      <c r="CC239" s="232">
        <v>4595026.499586207</v>
      </c>
      <c r="CD239" s="198">
        <v>-241943</v>
      </c>
      <c r="CE239" s="198">
        <v>-59398.04340000002</v>
      </c>
      <c r="CH239" s="198">
        <v>5198</v>
      </c>
    </row>
    <row r="240" spans="1:86" ht="11.25">
      <c r="A240" s="198">
        <v>747</v>
      </c>
      <c r="B240" s="198" t="s">
        <v>315</v>
      </c>
      <c r="C240" s="198">
        <v>1593</v>
      </c>
      <c r="D240" s="198">
        <v>6211667.379999999</v>
      </c>
      <c r="E240" s="198">
        <v>2403828.882392752</v>
      </c>
      <c r="F240" s="198">
        <v>626994.5421804108</v>
      </c>
      <c r="G240" s="198">
        <v>9242490.804573163</v>
      </c>
      <c r="H240" s="198">
        <v>3642.26</v>
      </c>
      <c r="I240" s="198">
        <v>5802120.180000001</v>
      </c>
      <c r="J240" s="198">
        <v>3440370.6245731628</v>
      </c>
      <c r="K240" s="198">
        <v>123053.70466893209</v>
      </c>
      <c r="L240" s="198">
        <v>711487.9994289139</v>
      </c>
      <c r="M240" s="198">
        <v>74073.21659082176</v>
      </c>
      <c r="N240" s="198">
        <v>4348985.54526183</v>
      </c>
      <c r="O240" s="198">
        <v>1725560.862190476</v>
      </c>
      <c r="P240" s="198">
        <v>6074546.407452306</v>
      </c>
      <c r="Q240" s="198">
        <v>74</v>
      </c>
      <c r="R240" s="198">
        <v>9</v>
      </c>
      <c r="S240" s="198">
        <v>90</v>
      </c>
      <c r="T240" s="198">
        <v>57</v>
      </c>
      <c r="U240" s="198">
        <v>54</v>
      </c>
      <c r="V240" s="198">
        <v>806</v>
      </c>
      <c r="W240" s="198">
        <v>245</v>
      </c>
      <c r="X240" s="198">
        <v>189</v>
      </c>
      <c r="Y240" s="198">
        <v>69</v>
      </c>
      <c r="Z240" s="198">
        <v>1574</v>
      </c>
      <c r="AA240" s="198">
        <v>4</v>
      </c>
      <c r="AB240" s="198">
        <v>0</v>
      </c>
      <c r="AC240" s="198">
        <v>15</v>
      </c>
      <c r="AD240" s="198">
        <v>463.19</v>
      </c>
      <c r="AE240" s="198">
        <v>3.439193419547054</v>
      </c>
      <c r="AF240" s="198">
        <v>503</v>
      </c>
      <c r="AG240" s="198">
        <v>2403828.882392752</v>
      </c>
      <c r="AH240" s="198">
        <v>1385974.675065257</v>
      </c>
      <c r="AI240" s="198">
        <v>722570.2155980035</v>
      </c>
      <c r="AJ240" s="198">
        <v>295283.99172949145</v>
      </c>
      <c r="AK240" s="198">
        <v>96</v>
      </c>
      <c r="AL240" s="198">
        <v>644</v>
      </c>
      <c r="AM240" s="198">
        <v>1.1958140647552664</v>
      </c>
      <c r="AN240" s="198">
        <v>15</v>
      </c>
      <c r="AO240" s="198">
        <v>0.009416195856873822</v>
      </c>
      <c r="AP240" s="198">
        <v>0.007692652251220599</v>
      </c>
      <c r="AQ240" s="198">
        <v>0</v>
      </c>
      <c r="AR240" s="198">
        <v>4</v>
      </c>
      <c r="AS240" s="198">
        <v>0</v>
      </c>
      <c r="AT240" s="198">
        <v>0</v>
      </c>
      <c r="AU240" s="198">
        <v>463.19</v>
      </c>
      <c r="AV240" s="198">
        <v>3.439193419547054</v>
      </c>
      <c r="AW240" s="198">
        <v>5.234498062412316</v>
      </c>
      <c r="AX240" s="198">
        <v>89</v>
      </c>
      <c r="AY240" s="198">
        <v>412</v>
      </c>
      <c r="AZ240" s="198">
        <v>0.21601941747572814</v>
      </c>
      <c r="BA240" s="198">
        <v>0.15233055878007595</v>
      </c>
      <c r="BB240" s="198">
        <v>0.24446666666666667</v>
      </c>
      <c r="BC240" s="198">
        <v>437</v>
      </c>
      <c r="BD240" s="198">
        <v>516</v>
      </c>
      <c r="BE240" s="198">
        <v>0.8468992248062015</v>
      </c>
      <c r="BF240" s="198">
        <v>0.41726037050981296</v>
      </c>
      <c r="BG240" s="198">
        <v>0</v>
      </c>
      <c r="BH240" s="198">
        <v>0</v>
      </c>
      <c r="BI240" s="198">
        <v>-159.3</v>
      </c>
      <c r="BJ240" s="198">
        <v>-382.32</v>
      </c>
      <c r="BK240" s="198">
        <v>-6531.299999999999</v>
      </c>
      <c r="BL240" s="198">
        <v>-589.41</v>
      </c>
      <c r="BM240" s="198">
        <v>-8490.69</v>
      </c>
      <c r="BN240" s="198">
        <v>-191.16</v>
      </c>
      <c r="BO240" s="198">
        <v>47662</v>
      </c>
      <c r="BP240" s="198">
        <v>109608.27899000607</v>
      </c>
      <c r="BQ240" s="198">
        <v>194214</v>
      </c>
      <c r="BR240" s="198">
        <v>52652</v>
      </c>
      <c r="BS240" s="198">
        <v>152870.6242828669</v>
      </c>
      <c r="BT240" s="198">
        <v>8275.73137988836</v>
      </c>
      <c r="BU240" s="198">
        <v>23177.556399739366</v>
      </c>
      <c r="BV240" s="198">
        <v>76240.89283177744</v>
      </c>
      <c r="BW240" s="198">
        <v>90801.53764661435</v>
      </c>
      <c r="BX240" s="198">
        <v>143.37</v>
      </c>
      <c r="BY240" s="198">
        <v>-14002.502101978618</v>
      </c>
      <c r="BZ240" s="198">
        <v>741643.4894289139</v>
      </c>
      <c r="CA240" s="198">
        <v>711487.9994289139</v>
      </c>
      <c r="CB240" s="198">
        <v>74073.21659082176</v>
      </c>
      <c r="CC240" s="232">
        <v>1725560.862190476</v>
      </c>
      <c r="CD240" s="198">
        <v>-420023</v>
      </c>
      <c r="CE240" s="198">
        <v>-59958.40229999996</v>
      </c>
      <c r="CH240" s="198">
        <v>1632</v>
      </c>
    </row>
    <row r="241" spans="1:86" ht="11.25">
      <c r="A241" s="198">
        <v>748</v>
      </c>
      <c r="B241" s="198" t="s">
        <v>316</v>
      </c>
      <c r="C241" s="198">
        <v>5526</v>
      </c>
      <c r="D241" s="198">
        <v>22275667.86</v>
      </c>
      <c r="E241" s="198">
        <v>9055937.938582294</v>
      </c>
      <c r="F241" s="198">
        <v>1560479.7905102274</v>
      </c>
      <c r="G241" s="198">
        <v>32892085.58909252</v>
      </c>
      <c r="H241" s="198">
        <v>3642.26</v>
      </c>
      <c r="I241" s="198">
        <v>20127128.76</v>
      </c>
      <c r="J241" s="198">
        <v>12764956.829092517</v>
      </c>
      <c r="K241" s="198">
        <v>147009.5256230797</v>
      </c>
      <c r="L241" s="198">
        <v>1414863.1537644446</v>
      </c>
      <c r="M241" s="198">
        <v>-679174.679281745</v>
      </c>
      <c r="N241" s="198">
        <v>13647654.829198297</v>
      </c>
      <c r="O241" s="198">
        <v>4631751.223636363</v>
      </c>
      <c r="P241" s="198">
        <v>18279406.05283466</v>
      </c>
      <c r="Q241" s="198">
        <v>511</v>
      </c>
      <c r="R241" s="198">
        <v>82</v>
      </c>
      <c r="S241" s="198">
        <v>506</v>
      </c>
      <c r="T241" s="198">
        <v>252</v>
      </c>
      <c r="U241" s="198">
        <v>219</v>
      </c>
      <c r="V241" s="198">
        <v>2922</v>
      </c>
      <c r="W241" s="198">
        <v>574</v>
      </c>
      <c r="X241" s="198">
        <v>307</v>
      </c>
      <c r="Y241" s="198">
        <v>153</v>
      </c>
      <c r="Z241" s="198">
        <v>5436</v>
      </c>
      <c r="AA241" s="198">
        <v>2</v>
      </c>
      <c r="AB241" s="198">
        <v>0</v>
      </c>
      <c r="AC241" s="198">
        <v>88</v>
      </c>
      <c r="AD241" s="198">
        <v>1052.3</v>
      </c>
      <c r="AE241" s="198">
        <v>5.251354176565618</v>
      </c>
      <c r="AF241" s="198">
        <v>1034</v>
      </c>
      <c r="AG241" s="198">
        <v>9055937.938582294</v>
      </c>
      <c r="AH241" s="198">
        <v>4872274.130276397</v>
      </c>
      <c r="AI241" s="198">
        <v>3011212.6646740916</v>
      </c>
      <c r="AJ241" s="198">
        <v>1172451.1436318043</v>
      </c>
      <c r="AK241" s="198">
        <v>276</v>
      </c>
      <c r="AL241" s="198">
        <v>2315</v>
      </c>
      <c r="AM241" s="198">
        <v>0.9563929766282401</v>
      </c>
      <c r="AN241" s="198">
        <v>88</v>
      </c>
      <c r="AO241" s="198">
        <v>0.015924719507781397</v>
      </c>
      <c r="AP241" s="198">
        <v>0.014201175902128174</v>
      </c>
      <c r="AQ241" s="198">
        <v>0</v>
      </c>
      <c r="AR241" s="198">
        <v>2</v>
      </c>
      <c r="AS241" s="198">
        <v>0</v>
      </c>
      <c r="AT241" s="198">
        <v>0</v>
      </c>
      <c r="AU241" s="198">
        <v>1052.3</v>
      </c>
      <c r="AV241" s="198">
        <v>5.251354176565618</v>
      </c>
      <c r="AW241" s="198">
        <v>3.4281540885619397</v>
      </c>
      <c r="AX241" s="198">
        <v>217</v>
      </c>
      <c r="AY241" s="198">
        <v>1525</v>
      </c>
      <c r="AZ241" s="198">
        <v>0.1422950819672131</v>
      </c>
      <c r="BA241" s="198">
        <v>0.07860622327156093</v>
      </c>
      <c r="BB241" s="198">
        <v>0</v>
      </c>
      <c r="BC241" s="198">
        <v>1699</v>
      </c>
      <c r="BD241" s="198">
        <v>1997</v>
      </c>
      <c r="BE241" s="198">
        <v>0.8507761642463696</v>
      </c>
      <c r="BF241" s="198">
        <v>0.42113730994998105</v>
      </c>
      <c r="BG241" s="198">
        <v>0</v>
      </c>
      <c r="BH241" s="198">
        <v>0</v>
      </c>
      <c r="BI241" s="198">
        <v>-552.6</v>
      </c>
      <c r="BJ241" s="198">
        <v>-1326.24</v>
      </c>
      <c r="BK241" s="198">
        <v>-22656.6</v>
      </c>
      <c r="BL241" s="198">
        <v>-2044.62</v>
      </c>
      <c r="BM241" s="198">
        <v>-29453.58</v>
      </c>
      <c r="BN241" s="198">
        <v>-663.12</v>
      </c>
      <c r="BO241" s="198">
        <v>70971</v>
      </c>
      <c r="BP241" s="198">
        <v>-83113.75313581899</v>
      </c>
      <c r="BQ241" s="198">
        <v>465420</v>
      </c>
      <c r="BR241" s="198">
        <v>151091</v>
      </c>
      <c r="BS241" s="198">
        <v>374569.73627007403</v>
      </c>
      <c r="BT241" s="198">
        <v>18315.786693797167</v>
      </c>
      <c r="BU241" s="198">
        <v>52426.30817274111</v>
      </c>
      <c r="BV241" s="198">
        <v>175422.2095034288</v>
      </c>
      <c r="BW241" s="198">
        <v>268457.08111838007</v>
      </c>
      <c r="BX241" s="198">
        <v>497.34</v>
      </c>
      <c r="BY241" s="198">
        <v>25413.62514184197</v>
      </c>
      <c r="BZ241" s="198">
        <v>1519470.3337644446</v>
      </c>
      <c r="CA241" s="198">
        <v>1414863.1537644446</v>
      </c>
      <c r="CB241" s="198">
        <v>-679174.679281745</v>
      </c>
      <c r="CC241" s="232">
        <v>4631751.223636363</v>
      </c>
      <c r="CD241" s="198">
        <v>-448783</v>
      </c>
      <c r="CE241" s="198">
        <v>23734.312520000007</v>
      </c>
      <c r="CH241" s="198">
        <v>5593</v>
      </c>
    </row>
    <row r="242" spans="1:86" ht="11.25">
      <c r="A242" s="198">
        <v>791</v>
      </c>
      <c r="B242" s="198" t="s">
        <v>317</v>
      </c>
      <c r="C242" s="198">
        <v>5816</v>
      </c>
      <c r="D242" s="198">
        <v>22819715.28</v>
      </c>
      <c r="E242" s="198">
        <v>10795785.17204648</v>
      </c>
      <c r="F242" s="198">
        <v>2259277.414192621</v>
      </c>
      <c r="G242" s="198">
        <v>35874777.86623911</v>
      </c>
      <c r="H242" s="198">
        <v>3642.26</v>
      </c>
      <c r="I242" s="198">
        <v>21183384.16</v>
      </c>
      <c r="J242" s="198">
        <v>14691393.706239108</v>
      </c>
      <c r="K242" s="198">
        <v>2190668.27983643</v>
      </c>
      <c r="L242" s="198">
        <v>1750220.1601606188</v>
      </c>
      <c r="M242" s="198">
        <v>0</v>
      </c>
      <c r="N242" s="198">
        <v>18632282.14623616</v>
      </c>
      <c r="O242" s="198">
        <v>5754646.5424367795</v>
      </c>
      <c r="P242" s="198">
        <v>24386928.688672937</v>
      </c>
      <c r="Q242" s="198">
        <v>341</v>
      </c>
      <c r="R242" s="198">
        <v>69</v>
      </c>
      <c r="S242" s="198">
        <v>379</v>
      </c>
      <c r="T242" s="198">
        <v>224</v>
      </c>
      <c r="U242" s="198">
        <v>196</v>
      </c>
      <c r="V242" s="198">
        <v>3047</v>
      </c>
      <c r="W242" s="198">
        <v>739</v>
      </c>
      <c r="X242" s="198">
        <v>601</v>
      </c>
      <c r="Y242" s="198">
        <v>220</v>
      </c>
      <c r="Z242" s="198">
        <v>5759</v>
      </c>
      <c r="AA242" s="198">
        <v>3</v>
      </c>
      <c r="AB242" s="198">
        <v>0</v>
      </c>
      <c r="AC242" s="198">
        <v>54</v>
      </c>
      <c r="AD242" s="198">
        <v>2171.86</v>
      </c>
      <c r="AE242" s="198">
        <v>2.6778889983700607</v>
      </c>
      <c r="AF242" s="198">
        <v>1560</v>
      </c>
      <c r="AG242" s="198">
        <v>10795785.17204648</v>
      </c>
      <c r="AH242" s="198">
        <v>6452581.603120127</v>
      </c>
      <c r="AI242" s="198">
        <v>3092589.0157190952</v>
      </c>
      <c r="AJ242" s="198">
        <v>1250614.553207258</v>
      </c>
      <c r="AK242" s="198">
        <v>284</v>
      </c>
      <c r="AL242" s="198">
        <v>2517</v>
      </c>
      <c r="AM242" s="198">
        <v>0.9051351194687758</v>
      </c>
      <c r="AN242" s="198">
        <v>54</v>
      </c>
      <c r="AO242" s="198">
        <v>0.009284731774415406</v>
      </c>
      <c r="AP242" s="198">
        <v>0.007561188168762183</v>
      </c>
      <c r="AQ242" s="198">
        <v>0</v>
      </c>
      <c r="AR242" s="198">
        <v>3</v>
      </c>
      <c r="AS242" s="198">
        <v>0</v>
      </c>
      <c r="AT242" s="198">
        <v>0</v>
      </c>
      <c r="AU242" s="198">
        <v>2171.86</v>
      </c>
      <c r="AV242" s="198">
        <v>2.6778889983700607</v>
      </c>
      <c r="AW242" s="198">
        <v>6.72262789900467</v>
      </c>
      <c r="AX242" s="198">
        <v>207</v>
      </c>
      <c r="AY242" s="198">
        <v>1615</v>
      </c>
      <c r="AZ242" s="198">
        <v>0.1281733746130031</v>
      </c>
      <c r="BA242" s="198">
        <v>0.06448451591735092</v>
      </c>
      <c r="BB242" s="198">
        <v>1.0941166666666666</v>
      </c>
      <c r="BC242" s="198">
        <v>2126</v>
      </c>
      <c r="BD242" s="198">
        <v>2160</v>
      </c>
      <c r="BE242" s="198">
        <v>0.9842592592592593</v>
      </c>
      <c r="BF242" s="198">
        <v>0.5546204049628707</v>
      </c>
      <c r="BG242" s="198">
        <v>0</v>
      </c>
      <c r="BH242" s="198">
        <v>0</v>
      </c>
      <c r="BI242" s="198">
        <v>-581.6</v>
      </c>
      <c r="BJ242" s="198">
        <v>-1395.84</v>
      </c>
      <c r="BK242" s="198">
        <v>-23845.6</v>
      </c>
      <c r="BL242" s="198">
        <v>-2151.92</v>
      </c>
      <c r="BM242" s="198">
        <v>-30999.28</v>
      </c>
      <c r="BN242" s="198">
        <v>-697.92</v>
      </c>
      <c r="BO242" s="198">
        <v>-21214</v>
      </c>
      <c r="BP242" s="198">
        <v>-166306.19408746436</v>
      </c>
      <c r="BQ242" s="198">
        <v>624315</v>
      </c>
      <c r="BR242" s="198">
        <v>194814</v>
      </c>
      <c r="BS242" s="198">
        <v>524333.8768369056</v>
      </c>
      <c r="BT242" s="198">
        <v>27091.534205211276</v>
      </c>
      <c r="BU242" s="198">
        <v>67076.00854807171</v>
      </c>
      <c r="BV242" s="198">
        <v>250225.7736871039</v>
      </c>
      <c r="BW242" s="198">
        <v>348729.76500832755</v>
      </c>
      <c r="BX242" s="198">
        <v>523.4399999999999</v>
      </c>
      <c r="BY242" s="198">
        <v>10727.83596246325</v>
      </c>
      <c r="BZ242" s="198">
        <v>1860317.040160619</v>
      </c>
      <c r="CA242" s="198">
        <v>1750220.1601606188</v>
      </c>
      <c r="CB242" s="198">
        <v>0</v>
      </c>
      <c r="CC242" s="232">
        <v>5754646.5424367795</v>
      </c>
      <c r="CD242" s="198">
        <v>-1006932</v>
      </c>
      <c r="CE242" s="198">
        <v>-107862.86204000002</v>
      </c>
      <c r="CH242" s="198">
        <v>5857</v>
      </c>
    </row>
    <row r="243" spans="1:86" ht="11.25">
      <c r="A243" s="198">
        <v>749</v>
      </c>
      <c r="B243" s="198" t="s">
        <v>318</v>
      </c>
      <c r="C243" s="198">
        <v>21668</v>
      </c>
      <c r="D243" s="198">
        <v>77754247.49</v>
      </c>
      <c r="E243" s="198">
        <v>25245528.463400252</v>
      </c>
      <c r="F243" s="198">
        <v>2266954.2655402394</v>
      </c>
      <c r="G243" s="198">
        <v>105266730.2189405</v>
      </c>
      <c r="H243" s="198">
        <v>3642.26</v>
      </c>
      <c r="I243" s="198">
        <v>78920489.68</v>
      </c>
      <c r="J243" s="198">
        <v>26346240.53894049</v>
      </c>
      <c r="K243" s="198">
        <v>410280.1758180884</v>
      </c>
      <c r="L243" s="198">
        <v>3647921.2554022325</v>
      </c>
      <c r="M243" s="198">
        <v>-1048132.3193026672</v>
      </c>
      <c r="N243" s="198">
        <v>29356309.650858145</v>
      </c>
      <c r="O243" s="198">
        <v>2306975.4326588213</v>
      </c>
      <c r="P243" s="198">
        <v>31663285.083516967</v>
      </c>
      <c r="Q243" s="198">
        <v>1748</v>
      </c>
      <c r="R243" s="198">
        <v>295</v>
      </c>
      <c r="S243" s="198">
        <v>1801</v>
      </c>
      <c r="T243" s="198">
        <v>919</v>
      </c>
      <c r="U243" s="198">
        <v>889</v>
      </c>
      <c r="V243" s="198">
        <v>12339</v>
      </c>
      <c r="W243" s="198">
        <v>2193</v>
      </c>
      <c r="X243" s="198">
        <v>1168</v>
      </c>
      <c r="Y243" s="198">
        <v>316</v>
      </c>
      <c r="Z243" s="198">
        <v>21400</v>
      </c>
      <c r="AA243" s="198">
        <v>11</v>
      </c>
      <c r="AB243" s="198">
        <v>1</v>
      </c>
      <c r="AC243" s="198">
        <v>256</v>
      </c>
      <c r="AD243" s="198">
        <v>400.96</v>
      </c>
      <c r="AE243" s="198">
        <v>54.04030327214685</v>
      </c>
      <c r="AF243" s="198">
        <v>3677</v>
      </c>
      <c r="AG243" s="198">
        <v>25245528.463400252</v>
      </c>
      <c r="AH243" s="198">
        <v>15929883.595559128</v>
      </c>
      <c r="AI243" s="198">
        <v>6032781.665672073</v>
      </c>
      <c r="AJ243" s="198">
        <v>3282863.2021690523</v>
      </c>
      <c r="AK243" s="198">
        <v>905</v>
      </c>
      <c r="AL243" s="198">
        <v>10315</v>
      </c>
      <c r="AM243" s="198">
        <v>0.7038135736999761</v>
      </c>
      <c r="AN243" s="198">
        <v>256</v>
      </c>
      <c r="AO243" s="198">
        <v>0.011814657559534798</v>
      </c>
      <c r="AP243" s="198">
        <v>0.010091113953881575</v>
      </c>
      <c r="AQ243" s="198">
        <v>0</v>
      </c>
      <c r="AR243" s="198">
        <v>11</v>
      </c>
      <c r="AS243" s="198">
        <v>1</v>
      </c>
      <c r="AT243" s="198">
        <v>0</v>
      </c>
      <c r="AU243" s="198">
        <v>400.96</v>
      </c>
      <c r="AV243" s="198">
        <v>54.04030327214685</v>
      </c>
      <c r="AW243" s="198">
        <v>0.33313009366768237</v>
      </c>
      <c r="AX243" s="198">
        <v>606</v>
      </c>
      <c r="AY243" s="198">
        <v>7298</v>
      </c>
      <c r="AZ243" s="198">
        <v>0.08303644834201152</v>
      </c>
      <c r="BA243" s="198">
        <v>0.01934758964635934</v>
      </c>
      <c r="BB243" s="198">
        <v>0</v>
      </c>
      <c r="BC243" s="198">
        <v>6881</v>
      </c>
      <c r="BD243" s="198">
        <v>9434</v>
      </c>
      <c r="BE243" s="198">
        <v>0.7293830824676701</v>
      </c>
      <c r="BF243" s="198">
        <v>0.2997442281712816</v>
      </c>
      <c r="BG243" s="198">
        <v>0</v>
      </c>
      <c r="BH243" s="198">
        <v>1</v>
      </c>
      <c r="BI243" s="198">
        <v>-2166.8</v>
      </c>
      <c r="BJ243" s="198">
        <v>-5200.32</v>
      </c>
      <c r="BK243" s="198">
        <v>-88838.79999999999</v>
      </c>
      <c r="BL243" s="198">
        <v>-8017.16</v>
      </c>
      <c r="BM243" s="198">
        <v>-115490.44</v>
      </c>
      <c r="BN243" s="198">
        <v>-2600.16</v>
      </c>
      <c r="BO243" s="198">
        <v>5984</v>
      </c>
      <c r="BP243" s="198">
        <v>-59214.694434806705</v>
      </c>
      <c r="BQ243" s="198">
        <v>1402958</v>
      </c>
      <c r="BR243" s="198">
        <v>450760</v>
      </c>
      <c r="BS243" s="198">
        <v>925488.7753349461</v>
      </c>
      <c r="BT243" s="198">
        <v>16784.10139488702</v>
      </c>
      <c r="BU243" s="198">
        <v>5877.08950053069</v>
      </c>
      <c r="BV243" s="198">
        <v>448920.0188770383</v>
      </c>
      <c r="BW243" s="198">
        <v>976688.5146856301</v>
      </c>
      <c r="BX243" s="198">
        <v>1950.12</v>
      </c>
      <c r="BY243" s="198">
        <v>-118099.429955993</v>
      </c>
      <c r="BZ243" s="198">
        <v>4058096.4954022327</v>
      </c>
      <c r="CA243" s="198">
        <v>3647921.2554022325</v>
      </c>
      <c r="CB243" s="198">
        <v>-1048132.3193026672</v>
      </c>
      <c r="CC243" s="232">
        <v>2306975.4326588213</v>
      </c>
      <c r="CD243" s="198">
        <v>-3130137</v>
      </c>
      <c r="CE243" s="198">
        <v>2540.293680000119</v>
      </c>
      <c r="CH243" s="198">
        <v>21567</v>
      </c>
    </row>
    <row r="244" spans="1:86" ht="11.25">
      <c r="A244" s="198">
        <v>751</v>
      </c>
      <c r="B244" s="198" t="s">
        <v>319</v>
      </c>
      <c r="C244" s="198">
        <v>3296</v>
      </c>
      <c r="D244" s="198">
        <v>12210915.79</v>
      </c>
      <c r="E244" s="198">
        <v>4497890.458571881</v>
      </c>
      <c r="F244" s="198">
        <v>1522890.7725205717</v>
      </c>
      <c r="G244" s="198">
        <v>18231697.021092452</v>
      </c>
      <c r="H244" s="198">
        <v>3642.26</v>
      </c>
      <c r="I244" s="198">
        <v>12004888.96</v>
      </c>
      <c r="J244" s="198">
        <v>6226808.061092451</v>
      </c>
      <c r="K244" s="198">
        <v>33310.84920683017</v>
      </c>
      <c r="L244" s="198">
        <v>780945.108611217</v>
      </c>
      <c r="M244" s="198">
        <v>510033.81140056445</v>
      </c>
      <c r="N244" s="198">
        <v>7551097.830311063</v>
      </c>
      <c r="O244" s="198">
        <v>1760295.0179764712</v>
      </c>
      <c r="P244" s="198">
        <v>9311392.848287534</v>
      </c>
      <c r="Q244" s="198">
        <v>181</v>
      </c>
      <c r="R244" s="198">
        <v>36</v>
      </c>
      <c r="S244" s="198">
        <v>247</v>
      </c>
      <c r="T244" s="198">
        <v>127</v>
      </c>
      <c r="U244" s="198">
        <v>112</v>
      </c>
      <c r="V244" s="198">
        <v>1740</v>
      </c>
      <c r="W244" s="198">
        <v>480</v>
      </c>
      <c r="X244" s="198">
        <v>280</v>
      </c>
      <c r="Y244" s="198">
        <v>93</v>
      </c>
      <c r="Z244" s="198">
        <v>3264</v>
      </c>
      <c r="AA244" s="198">
        <v>3</v>
      </c>
      <c r="AB244" s="198">
        <v>2</v>
      </c>
      <c r="AC244" s="198">
        <v>27</v>
      </c>
      <c r="AD244" s="198">
        <v>1446.81</v>
      </c>
      <c r="AE244" s="198">
        <v>2.2781153019401303</v>
      </c>
      <c r="AF244" s="198">
        <v>853</v>
      </c>
      <c r="AG244" s="198">
        <v>4497890.458571881</v>
      </c>
      <c r="AH244" s="198">
        <v>2533523.2790898583</v>
      </c>
      <c r="AI244" s="198">
        <v>1339059.9028783941</v>
      </c>
      <c r="AJ244" s="198">
        <v>625307.2766036289</v>
      </c>
      <c r="AK244" s="198">
        <v>219</v>
      </c>
      <c r="AL244" s="198">
        <v>1366</v>
      </c>
      <c r="AM244" s="198">
        <v>1.2860910233408351</v>
      </c>
      <c r="AN244" s="198">
        <v>27</v>
      </c>
      <c r="AO244" s="198">
        <v>0.008191747572815534</v>
      </c>
      <c r="AP244" s="198">
        <v>0.006468203967162311</v>
      </c>
      <c r="AQ244" s="198">
        <v>0</v>
      </c>
      <c r="AR244" s="198">
        <v>3</v>
      </c>
      <c r="AS244" s="198">
        <v>2</v>
      </c>
      <c r="AT244" s="198">
        <v>0</v>
      </c>
      <c r="AU244" s="198">
        <v>1446.81</v>
      </c>
      <c r="AV244" s="198">
        <v>2.2781153019401303</v>
      </c>
      <c r="AW244" s="198">
        <v>7.902344220921857</v>
      </c>
      <c r="AX244" s="198">
        <v>104</v>
      </c>
      <c r="AY244" s="198">
        <v>896</v>
      </c>
      <c r="AZ244" s="198">
        <v>0.11607142857142858</v>
      </c>
      <c r="BA244" s="198">
        <v>0.0523825698757764</v>
      </c>
      <c r="BB244" s="198">
        <v>0</v>
      </c>
      <c r="BC244" s="198">
        <v>648</v>
      </c>
      <c r="BD244" s="198">
        <v>1099</v>
      </c>
      <c r="BE244" s="198">
        <v>0.5896269335759782</v>
      </c>
      <c r="BF244" s="198">
        <v>0.15998807927958963</v>
      </c>
      <c r="BG244" s="198">
        <v>0</v>
      </c>
      <c r="BH244" s="198">
        <v>2</v>
      </c>
      <c r="BI244" s="198">
        <v>-329.6</v>
      </c>
      <c r="BJ244" s="198">
        <v>-791.04</v>
      </c>
      <c r="BK244" s="198">
        <v>-13513.599999999999</v>
      </c>
      <c r="BL244" s="198">
        <v>-1219.52</v>
      </c>
      <c r="BM244" s="198">
        <v>-17567.68</v>
      </c>
      <c r="BN244" s="198">
        <v>-395.52</v>
      </c>
      <c r="BO244" s="198">
        <v>76854</v>
      </c>
      <c r="BP244" s="198">
        <v>-78985.75758260861</v>
      </c>
      <c r="BQ244" s="198">
        <v>281841</v>
      </c>
      <c r="BR244" s="198">
        <v>83216</v>
      </c>
      <c r="BS244" s="198">
        <v>185548.22637782278</v>
      </c>
      <c r="BT244" s="198">
        <v>9122.781979068071</v>
      </c>
      <c r="BU244" s="198">
        <v>27602.543467581676</v>
      </c>
      <c r="BV244" s="198">
        <v>93219.1741502555</v>
      </c>
      <c r="BW244" s="198">
        <v>150113.46565694397</v>
      </c>
      <c r="BX244" s="198">
        <v>296.64</v>
      </c>
      <c r="BY244" s="198">
        <v>14510.314562153615</v>
      </c>
      <c r="BZ244" s="198">
        <v>843338.388611217</v>
      </c>
      <c r="CA244" s="198">
        <v>780945.108611217</v>
      </c>
      <c r="CB244" s="198">
        <v>510033.81140056445</v>
      </c>
      <c r="CC244" s="232">
        <v>1760295.0179764712</v>
      </c>
      <c r="CD244" s="198">
        <v>-281085</v>
      </c>
      <c r="CE244" s="198">
        <v>-48564.43800000001</v>
      </c>
      <c r="CH244" s="198">
        <v>3356</v>
      </c>
    </row>
    <row r="245" spans="1:86" ht="11.25">
      <c r="A245" s="198">
        <v>753</v>
      </c>
      <c r="B245" s="198" t="s">
        <v>320</v>
      </c>
      <c r="C245" s="198">
        <v>19034</v>
      </c>
      <c r="D245" s="198">
        <v>68540398.97999999</v>
      </c>
      <c r="E245" s="198">
        <v>14861507.796257349</v>
      </c>
      <c r="F245" s="198">
        <v>4896952.07823198</v>
      </c>
      <c r="G245" s="198">
        <v>88298858.85448931</v>
      </c>
      <c r="H245" s="198">
        <v>3642.26</v>
      </c>
      <c r="I245" s="198">
        <v>69326776.84</v>
      </c>
      <c r="J245" s="198">
        <v>18972082.014489308</v>
      </c>
      <c r="K245" s="198">
        <v>175953.54857457473</v>
      </c>
      <c r="L245" s="198">
        <v>2918897.0168867437</v>
      </c>
      <c r="M245" s="198">
        <v>0</v>
      </c>
      <c r="N245" s="198">
        <v>22066932.579950627</v>
      </c>
      <c r="O245" s="198">
        <v>-4186740.132856245</v>
      </c>
      <c r="P245" s="198">
        <v>17880192.44709438</v>
      </c>
      <c r="Q245" s="198">
        <v>1391</v>
      </c>
      <c r="R245" s="198">
        <v>283</v>
      </c>
      <c r="S245" s="198">
        <v>1642</v>
      </c>
      <c r="T245" s="198">
        <v>811</v>
      </c>
      <c r="U245" s="198">
        <v>820</v>
      </c>
      <c r="V245" s="198">
        <v>10949</v>
      </c>
      <c r="W245" s="198">
        <v>1888</v>
      </c>
      <c r="X245" s="198">
        <v>908</v>
      </c>
      <c r="Y245" s="198">
        <v>342</v>
      </c>
      <c r="Z245" s="198">
        <v>11731</v>
      </c>
      <c r="AA245" s="198">
        <v>6669</v>
      </c>
      <c r="AB245" s="198">
        <v>0</v>
      </c>
      <c r="AC245" s="198">
        <v>634</v>
      </c>
      <c r="AD245" s="198">
        <v>339.62</v>
      </c>
      <c r="AE245" s="198">
        <v>56.044991461044695</v>
      </c>
      <c r="AF245" s="198">
        <v>3138</v>
      </c>
      <c r="AG245" s="198">
        <v>14861507.796257349</v>
      </c>
      <c r="AH245" s="198">
        <v>8890477.188757703</v>
      </c>
      <c r="AI245" s="198">
        <v>4025630.1913994667</v>
      </c>
      <c r="AJ245" s="198">
        <v>1945400.4161001793</v>
      </c>
      <c r="AK245" s="198">
        <v>562</v>
      </c>
      <c r="AL245" s="198">
        <v>9474</v>
      </c>
      <c r="AM245" s="198">
        <v>0.4758622203187057</v>
      </c>
      <c r="AN245" s="198">
        <v>634</v>
      </c>
      <c r="AO245" s="198">
        <v>0.033308815803299356</v>
      </c>
      <c r="AP245" s="198">
        <v>0.03158527219764613</v>
      </c>
      <c r="AQ245" s="198">
        <v>1</v>
      </c>
      <c r="AR245" s="198">
        <v>6669</v>
      </c>
      <c r="AS245" s="198">
        <v>0</v>
      </c>
      <c r="AT245" s="198">
        <v>1</v>
      </c>
      <c r="AU245" s="198">
        <v>339.62</v>
      </c>
      <c r="AV245" s="198">
        <v>56.044991461044695</v>
      </c>
      <c r="AW245" s="198">
        <v>0.32121427484547377</v>
      </c>
      <c r="AX245" s="198">
        <v>942</v>
      </c>
      <c r="AY245" s="198">
        <v>7052</v>
      </c>
      <c r="AZ245" s="198">
        <v>0.1335791264889393</v>
      </c>
      <c r="BA245" s="198">
        <v>0.06989026779328712</v>
      </c>
      <c r="BB245" s="198">
        <v>0</v>
      </c>
      <c r="BC245" s="198">
        <v>5174</v>
      </c>
      <c r="BD245" s="198">
        <v>8983</v>
      </c>
      <c r="BE245" s="198">
        <v>0.5759768451519537</v>
      </c>
      <c r="BF245" s="198">
        <v>0.14633799085556515</v>
      </c>
      <c r="BG245" s="198">
        <v>0</v>
      </c>
      <c r="BH245" s="198">
        <v>0</v>
      </c>
      <c r="BI245" s="198">
        <v>-1903.4</v>
      </c>
      <c r="BJ245" s="198">
        <v>-4568.16</v>
      </c>
      <c r="BK245" s="198">
        <v>-78039.4</v>
      </c>
      <c r="BL245" s="198">
        <v>-7042.58</v>
      </c>
      <c r="BM245" s="198">
        <v>-101451.22</v>
      </c>
      <c r="BN245" s="198">
        <v>-2284.08</v>
      </c>
      <c r="BO245" s="198">
        <v>-139882</v>
      </c>
      <c r="BP245" s="198">
        <v>338261.93236998096</v>
      </c>
      <c r="BQ245" s="198">
        <v>1224672</v>
      </c>
      <c r="BR245" s="198">
        <v>413367</v>
      </c>
      <c r="BS245" s="198">
        <v>738996.3770171361</v>
      </c>
      <c r="BT245" s="198">
        <v>4966.691090181297</v>
      </c>
      <c r="BU245" s="198">
        <v>-246469.34371148542</v>
      </c>
      <c r="BV245" s="198">
        <v>217092.7317241785</v>
      </c>
      <c r="BW245" s="198">
        <v>777343.7007073108</v>
      </c>
      <c r="BX245" s="198">
        <v>1713.06</v>
      </c>
      <c r="BY245" s="198">
        <v>-50851.512310558566</v>
      </c>
      <c r="BZ245" s="198">
        <v>3279210.636886744</v>
      </c>
      <c r="CA245" s="198">
        <v>2918897.0168867437</v>
      </c>
      <c r="CB245" s="198">
        <v>0</v>
      </c>
      <c r="CC245" s="232">
        <v>-4186740.132856245</v>
      </c>
      <c r="CD245" s="198">
        <v>-2477676</v>
      </c>
      <c r="CE245" s="198">
        <v>138719.9587999998</v>
      </c>
      <c r="CH245" s="198">
        <v>18914</v>
      </c>
    </row>
    <row r="246" spans="1:86" ht="11.25">
      <c r="A246" s="198">
        <v>755</v>
      </c>
      <c r="B246" s="198" t="s">
        <v>321</v>
      </c>
      <c r="C246" s="198">
        <v>6199</v>
      </c>
      <c r="D246" s="198">
        <v>21389495.190000005</v>
      </c>
      <c r="E246" s="198">
        <v>4926839.85449653</v>
      </c>
      <c r="F246" s="198">
        <v>1734612.173079459</v>
      </c>
      <c r="G246" s="198">
        <v>28050947.217575997</v>
      </c>
      <c r="H246" s="198">
        <v>3642.26</v>
      </c>
      <c r="I246" s="198">
        <v>22578369.740000002</v>
      </c>
      <c r="J246" s="198">
        <v>5472577.477575995</v>
      </c>
      <c r="K246" s="198">
        <v>37711.03597176915</v>
      </c>
      <c r="L246" s="198">
        <v>1215462.8275401923</v>
      </c>
      <c r="M246" s="198">
        <v>0</v>
      </c>
      <c r="N246" s="198">
        <v>6725751.341087956</v>
      </c>
      <c r="O246" s="198">
        <v>-505726.6891681096</v>
      </c>
      <c r="P246" s="198">
        <v>6220024.651919846</v>
      </c>
      <c r="Q246" s="198">
        <v>468</v>
      </c>
      <c r="R246" s="198">
        <v>92</v>
      </c>
      <c r="S246" s="198">
        <v>565</v>
      </c>
      <c r="T246" s="198">
        <v>251</v>
      </c>
      <c r="U246" s="198">
        <v>232</v>
      </c>
      <c r="V246" s="198">
        <v>3633</v>
      </c>
      <c r="W246" s="198">
        <v>641</v>
      </c>
      <c r="X246" s="198">
        <v>247</v>
      </c>
      <c r="Y246" s="198">
        <v>70</v>
      </c>
      <c r="Z246" s="198">
        <v>4137</v>
      </c>
      <c r="AA246" s="198">
        <v>1819</v>
      </c>
      <c r="AB246" s="198">
        <v>0</v>
      </c>
      <c r="AC246" s="198">
        <v>243</v>
      </c>
      <c r="AD246" s="198">
        <v>241.08</v>
      </c>
      <c r="AE246" s="198">
        <v>25.713456114152976</v>
      </c>
      <c r="AF246" s="198">
        <v>958</v>
      </c>
      <c r="AG246" s="198">
        <v>4926839.85449653</v>
      </c>
      <c r="AH246" s="198">
        <v>3090143.864934616</v>
      </c>
      <c r="AI246" s="198">
        <v>1167964.5965274782</v>
      </c>
      <c r="AJ246" s="198">
        <v>668731.3930344366</v>
      </c>
      <c r="AK246" s="198">
        <v>204</v>
      </c>
      <c r="AL246" s="198">
        <v>3132</v>
      </c>
      <c r="AM246" s="198">
        <v>0.5225004941307734</v>
      </c>
      <c r="AN246" s="198">
        <v>243</v>
      </c>
      <c r="AO246" s="198">
        <v>0.039199870946926924</v>
      </c>
      <c r="AP246" s="198">
        <v>0.0374763273412737</v>
      </c>
      <c r="AQ246" s="198">
        <v>1</v>
      </c>
      <c r="AR246" s="198">
        <v>1819</v>
      </c>
      <c r="AS246" s="198">
        <v>0</v>
      </c>
      <c r="AT246" s="198">
        <v>0</v>
      </c>
      <c r="AU246" s="198">
        <v>241.08</v>
      </c>
      <c r="AV246" s="198">
        <v>25.713456114152976</v>
      </c>
      <c r="AW246" s="198">
        <v>0.7001179153420566</v>
      </c>
      <c r="AX246" s="198">
        <v>349</v>
      </c>
      <c r="AY246" s="198">
        <v>2338</v>
      </c>
      <c r="AZ246" s="198">
        <v>0.14927288280581694</v>
      </c>
      <c r="BA246" s="198">
        <v>0.08558402411016476</v>
      </c>
      <c r="BB246" s="198">
        <v>0</v>
      </c>
      <c r="BC246" s="198">
        <v>1551</v>
      </c>
      <c r="BD246" s="198">
        <v>2949</v>
      </c>
      <c r="BE246" s="198">
        <v>0.525940996948118</v>
      </c>
      <c r="BF246" s="198">
        <v>0.09630214265172948</v>
      </c>
      <c r="BG246" s="198">
        <v>0</v>
      </c>
      <c r="BH246" s="198">
        <v>0</v>
      </c>
      <c r="BI246" s="198">
        <v>-619.9000000000001</v>
      </c>
      <c r="BJ246" s="198">
        <v>-1487.76</v>
      </c>
      <c r="BK246" s="198">
        <v>-25415.899999999998</v>
      </c>
      <c r="BL246" s="198">
        <v>-2293.63</v>
      </c>
      <c r="BM246" s="198">
        <v>-33040.67</v>
      </c>
      <c r="BN246" s="198">
        <v>-743.88</v>
      </c>
      <c r="BO246" s="198">
        <v>25135</v>
      </c>
      <c r="BP246" s="198">
        <v>113029.24575293995</v>
      </c>
      <c r="BQ246" s="198">
        <v>469181</v>
      </c>
      <c r="BR246" s="198">
        <v>150862</v>
      </c>
      <c r="BS246" s="198">
        <v>268572.64857911115</v>
      </c>
      <c r="BT246" s="198">
        <v>-1211.545421818339</v>
      </c>
      <c r="BU246" s="198">
        <v>-61896.04433055531</v>
      </c>
      <c r="BV246" s="198">
        <v>43681.11176883208</v>
      </c>
      <c r="BW246" s="198">
        <v>306185.7172904802</v>
      </c>
      <c r="BX246" s="198">
        <v>557.91</v>
      </c>
      <c r="BY246" s="198">
        <v>18712.85390120282</v>
      </c>
      <c r="BZ246" s="198">
        <v>1332809.8975401924</v>
      </c>
      <c r="CA246" s="198">
        <v>1215462.8275401923</v>
      </c>
      <c r="CB246" s="198">
        <v>0</v>
      </c>
      <c r="CC246" s="232">
        <v>-505726.6891681096</v>
      </c>
      <c r="CD246" s="198">
        <v>-1637676</v>
      </c>
      <c r="CE246" s="198">
        <v>-918984.8602740001</v>
      </c>
      <c r="CH246" s="198">
        <v>6183</v>
      </c>
    </row>
    <row r="247" spans="1:86" ht="11.25">
      <c r="A247" s="198">
        <v>758</v>
      </c>
      <c r="B247" s="198" t="s">
        <v>322</v>
      </c>
      <c r="C247" s="198">
        <v>8820</v>
      </c>
      <c r="D247" s="198">
        <v>29454062.950000003</v>
      </c>
      <c r="E247" s="198">
        <v>13151441.27969111</v>
      </c>
      <c r="F247" s="198">
        <v>8194991.03700527</v>
      </c>
      <c r="G247" s="198">
        <v>50800495.26669638</v>
      </c>
      <c r="H247" s="198">
        <v>3642.26</v>
      </c>
      <c r="I247" s="198">
        <v>32124733.200000003</v>
      </c>
      <c r="J247" s="198">
        <v>18675762.066696376</v>
      </c>
      <c r="K247" s="198">
        <v>4482395.270729556</v>
      </c>
      <c r="L247" s="198">
        <v>2298370.259173457</v>
      </c>
      <c r="M247" s="198">
        <v>-1051490.4601086266</v>
      </c>
      <c r="N247" s="198">
        <v>24405037.136490762</v>
      </c>
      <c r="O247" s="198">
        <v>2729813.2654999997</v>
      </c>
      <c r="P247" s="198">
        <v>27134850.401990764</v>
      </c>
      <c r="Q247" s="198">
        <v>488</v>
      </c>
      <c r="R247" s="198">
        <v>85</v>
      </c>
      <c r="S247" s="198">
        <v>435</v>
      </c>
      <c r="T247" s="198">
        <v>283</v>
      </c>
      <c r="U247" s="198">
        <v>286</v>
      </c>
      <c r="V247" s="198">
        <v>5152</v>
      </c>
      <c r="W247" s="198">
        <v>1145</v>
      </c>
      <c r="X247" s="198">
        <v>739</v>
      </c>
      <c r="Y247" s="198">
        <v>207</v>
      </c>
      <c r="Z247" s="198">
        <v>8555</v>
      </c>
      <c r="AA247" s="198">
        <v>17</v>
      </c>
      <c r="AB247" s="198">
        <v>140</v>
      </c>
      <c r="AC247" s="198">
        <v>108</v>
      </c>
      <c r="AD247" s="198">
        <v>11693.35</v>
      </c>
      <c r="AE247" s="198">
        <v>0.7542748656287548</v>
      </c>
      <c r="AF247" s="198">
        <v>2091</v>
      </c>
      <c r="AG247" s="198">
        <v>13151441.27969111</v>
      </c>
      <c r="AH247" s="198">
        <v>7326598.856505382</v>
      </c>
      <c r="AI247" s="198">
        <v>4322367.994679785</v>
      </c>
      <c r="AJ247" s="198">
        <v>1502474.4285059418</v>
      </c>
      <c r="AK247" s="198">
        <v>561</v>
      </c>
      <c r="AL247" s="198">
        <v>4047</v>
      </c>
      <c r="AM247" s="198">
        <v>1.1120080938839514</v>
      </c>
      <c r="AN247" s="198">
        <v>108</v>
      </c>
      <c r="AO247" s="198">
        <v>0.012244897959183673</v>
      </c>
      <c r="AP247" s="198">
        <v>0.01052135435353045</v>
      </c>
      <c r="AQ247" s="198">
        <v>0</v>
      </c>
      <c r="AR247" s="198">
        <v>17</v>
      </c>
      <c r="AS247" s="198">
        <v>140</v>
      </c>
      <c r="AT247" s="198">
        <v>0</v>
      </c>
      <c r="AU247" s="198">
        <v>11693.35</v>
      </c>
      <c r="AV247" s="198">
        <v>0.7542748656287548</v>
      </c>
      <c r="AW247" s="198">
        <v>23.86722945603339</v>
      </c>
      <c r="AX247" s="198">
        <v>296</v>
      </c>
      <c r="AY247" s="198">
        <v>2618</v>
      </c>
      <c r="AZ247" s="198">
        <v>0.11306340718105425</v>
      </c>
      <c r="BA247" s="198">
        <v>0.04937454848540207</v>
      </c>
      <c r="BB247" s="198">
        <v>1.3773166666666667</v>
      </c>
      <c r="BC247" s="198">
        <v>3578</v>
      </c>
      <c r="BD247" s="198">
        <v>3569</v>
      </c>
      <c r="BE247" s="198">
        <v>1.002521714766041</v>
      </c>
      <c r="BF247" s="198">
        <v>0.5728828604696525</v>
      </c>
      <c r="BG247" s="198">
        <v>1</v>
      </c>
      <c r="BH247" s="198">
        <v>140</v>
      </c>
      <c r="BI247" s="198">
        <v>-882</v>
      </c>
      <c r="BJ247" s="198">
        <v>-2116.7999999999997</v>
      </c>
      <c r="BK247" s="198">
        <v>-36162</v>
      </c>
      <c r="BL247" s="198">
        <v>-3263.4</v>
      </c>
      <c r="BM247" s="198">
        <v>-47010.6</v>
      </c>
      <c r="BN247" s="198">
        <v>-1058.3999999999999</v>
      </c>
      <c r="BO247" s="198">
        <v>420189</v>
      </c>
      <c r="BP247" s="198">
        <v>-287297.2251544371</v>
      </c>
      <c r="BQ247" s="198">
        <v>693231</v>
      </c>
      <c r="BR247" s="198">
        <v>237883</v>
      </c>
      <c r="BS247" s="198">
        <v>592945.920689107</v>
      </c>
      <c r="BT247" s="198">
        <v>31524.228177903762</v>
      </c>
      <c r="BU247" s="198">
        <v>91412.20974928621</v>
      </c>
      <c r="BV247" s="198">
        <v>255352.7917019284</v>
      </c>
      <c r="BW247" s="198">
        <v>449560.58820030326</v>
      </c>
      <c r="BX247" s="198">
        <v>793.8</v>
      </c>
      <c r="BY247" s="198">
        <v>-20262.454190634002</v>
      </c>
      <c r="BZ247" s="198">
        <v>2465332.859173457</v>
      </c>
      <c r="CA247" s="198">
        <v>2298370.259173457</v>
      </c>
      <c r="CB247" s="198">
        <v>-1051490.4601086266</v>
      </c>
      <c r="CC247" s="232">
        <v>2729813.2654999997</v>
      </c>
      <c r="CD247" s="198">
        <v>-1218891</v>
      </c>
      <c r="CE247" s="198">
        <v>-46721.479840000015</v>
      </c>
      <c r="CH247" s="198">
        <v>8884</v>
      </c>
    </row>
    <row r="248" spans="1:86" ht="11.25">
      <c r="A248" s="198">
        <v>759</v>
      </c>
      <c r="B248" s="198" t="s">
        <v>323</v>
      </c>
      <c r="C248" s="198">
        <v>2273</v>
      </c>
      <c r="D248" s="198">
        <v>9101856.77</v>
      </c>
      <c r="E248" s="198">
        <v>3853211.418831824</v>
      </c>
      <c r="F248" s="198">
        <v>721811.2251665612</v>
      </c>
      <c r="G248" s="198">
        <v>13676879.413998384</v>
      </c>
      <c r="H248" s="198">
        <v>3642.26</v>
      </c>
      <c r="I248" s="198">
        <v>8278856.98</v>
      </c>
      <c r="J248" s="198">
        <v>5398022.433998384</v>
      </c>
      <c r="K248" s="198">
        <v>277289.55211577774</v>
      </c>
      <c r="L248" s="198">
        <v>775475.4559815871</v>
      </c>
      <c r="M248" s="198">
        <v>0</v>
      </c>
      <c r="N248" s="198">
        <v>6450787.442095748</v>
      </c>
      <c r="O248" s="198">
        <v>2563136.996761905</v>
      </c>
      <c r="P248" s="198">
        <v>9013924.438857652</v>
      </c>
      <c r="Q248" s="198">
        <v>160</v>
      </c>
      <c r="R248" s="198">
        <v>18</v>
      </c>
      <c r="S248" s="198">
        <v>139</v>
      </c>
      <c r="T248" s="198">
        <v>97</v>
      </c>
      <c r="U248" s="198">
        <v>87</v>
      </c>
      <c r="V248" s="198">
        <v>1162</v>
      </c>
      <c r="W248" s="198">
        <v>294</v>
      </c>
      <c r="X248" s="198">
        <v>231</v>
      </c>
      <c r="Y248" s="198">
        <v>85</v>
      </c>
      <c r="Z248" s="198">
        <v>2248</v>
      </c>
      <c r="AA248" s="198">
        <v>7</v>
      </c>
      <c r="AB248" s="198">
        <v>0</v>
      </c>
      <c r="AC248" s="198">
        <v>18</v>
      </c>
      <c r="AD248" s="198">
        <v>551.95</v>
      </c>
      <c r="AE248" s="198">
        <v>4.118126641905969</v>
      </c>
      <c r="AF248" s="198">
        <v>610</v>
      </c>
      <c r="AG248" s="198">
        <v>3853211.418831824</v>
      </c>
      <c r="AH248" s="198">
        <v>2237049.748972516</v>
      </c>
      <c r="AI248" s="198">
        <v>1129811.5658342626</v>
      </c>
      <c r="AJ248" s="198">
        <v>486350.10402504477</v>
      </c>
      <c r="AK248" s="198">
        <v>111</v>
      </c>
      <c r="AL248" s="198">
        <v>938</v>
      </c>
      <c r="AM248" s="198">
        <v>0.9492889637189662</v>
      </c>
      <c r="AN248" s="198">
        <v>18</v>
      </c>
      <c r="AO248" s="198">
        <v>0.007919049714034315</v>
      </c>
      <c r="AP248" s="198">
        <v>0.006195506108381092</v>
      </c>
      <c r="AQ248" s="198">
        <v>0</v>
      </c>
      <c r="AR248" s="198">
        <v>7</v>
      </c>
      <c r="AS248" s="198">
        <v>0</v>
      </c>
      <c r="AT248" s="198">
        <v>0</v>
      </c>
      <c r="AU248" s="198">
        <v>551.95</v>
      </c>
      <c r="AV248" s="198">
        <v>4.118126641905969</v>
      </c>
      <c r="AW248" s="198">
        <v>4.371514733832534</v>
      </c>
      <c r="AX248" s="198">
        <v>105</v>
      </c>
      <c r="AY248" s="198">
        <v>596</v>
      </c>
      <c r="AZ248" s="198">
        <v>0.1761744966442953</v>
      </c>
      <c r="BA248" s="198">
        <v>0.11248563794864312</v>
      </c>
      <c r="BB248" s="198">
        <v>0.3894666666666666</v>
      </c>
      <c r="BC248" s="198">
        <v>807</v>
      </c>
      <c r="BD248" s="198">
        <v>749</v>
      </c>
      <c r="BE248" s="198">
        <v>1.0774365821094793</v>
      </c>
      <c r="BF248" s="198">
        <v>0.6477977278130909</v>
      </c>
      <c r="BG248" s="198">
        <v>0</v>
      </c>
      <c r="BH248" s="198">
        <v>0</v>
      </c>
      <c r="BI248" s="198">
        <v>-227.3</v>
      </c>
      <c r="BJ248" s="198">
        <v>-545.52</v>
      </c>
      <c r="BK248" s="198">
        <v>-9319.3</v>
      </c>
      <c r="BL248" s="198">
        <v>-841.01</v>
      </c>
      <c r="BM248" s="198">
        <v>-12115.09</v>
      </c>
      <c r="BN248" s="198">
        <v>-272.76</v>
      </c>
      <c r="BO248" s="198">
        <v>12453</v>
      </c>
      <c r="BP248" s="198">
        <v>-12221.49818348512</v>
      </c>
      <c r="BQ248" s="198">
        <v>262591</v>
      </c>
      <c r="BR248" s="198">
        <v>74315</v>
      </c>
      <c r="BS248" s="198">
        <v>200718.70552327146</v>
      </c>
      <c r="BT248" s="198">
        <v>11886.434532257832</v>
      </c>
      <c r="BU248" s="198">
        <v>31400.727928979493</v>
      </c>
      <c r="BV248" s="198">
        <v>102409.69369838842</v>
      </c>
      <c r="BW248" s="198">
        <v>136460.3667287286</v>
      </c>
      <c r="BX248" s="198">
        <v>204.57</v>
      </c>
      <c r="BY248" s="198">
        <v>-1714.6542465534949</v>
      </c>
      <c r="BZ248" s="198">
        <v>818503.3459815871</v>
      </c>
      <c r="CA248" s="198">
        <v>775475.4559815871</v>
      </c>
      <c r="CB248" s="198">
        <v>0</v>
      </c>
      <c r="CC248" s="232">
        <v>2563136.996761905</v>
      </c>
      <c r="CD248" s="198">
        <v>-674234</v>
      </c>
      <c r="CE248" s="198">
        <v>-1889281.1623999998</v>
      </c>
      <c r="CH248" s="198">
        <v>2284</v>
      </c>
    </row>
    <row r="249" spans="1:86" ht="11.25">
      <c r="A249" s="198">
        <v>761</v>
      </c>
      <c r="B249" s="198" t="s">
        <v>324</v>
      </c>
      <c r="C249" s="198">
        <v>9173</v>
      </c>
      <c r="D249" s="198">
        <v>35550283.21</v>
      </c>
      <c r="E249" s="198">
        <v>11261731.810048122</v>
      </c>
      <c r="F249" s="198">
        <v>2217491.3867014274</v>
      </c>
      <c r="G249" s="198">
        <v>49029506.406749554</v>
      </c>
      <c r="H249" s="198">
        <v>3642.26</v>
      </c>
      <c r="I249" s="198">
        <v>33410450.98</v>
      </c>
      <c r="J249" s="198">
        <v>15619055.426749554</v>
      </c>
      <c r="K249" s="198">
        <v>230839.00493407494</v>
      </c>
      <c r="L249" s="198">
        <v>2890740.533390461</v>
      </c>
      <c r="M249" s="198">
        <v>1364943.5425631143</v>
      </c>
      <c r="N249" s="198">
        <v>20105578.507637203</v>
      </c>
      <c r="O249" s="198">
        <v>6456566.235794874</v>
      </c>
      <c r="P249" s="198">
        <v>26562144.743432075</v>
      </c>
      <c r="Q249" s="198">
        <v>448</v>
      </c>
      <c r="R249" s="198">
        <v>91</v>
      </c>
      <c r="S249" s="198">
        <v>603</v>
      </c>
      <c r="T249" s="198">
        <v>302</v>
      </c>
      <c r="U249" s="198">
        <v>286</v>
      </c>
      <c r="V249" s="198">
        <v>4822</v>
      </c>
      <c r="W249" s="198">
        <v>1310</v>
      </c>
      <c r="X249" s="198">
        <v>907</v>
      </c>
      <c r="Y249" s="198">
        <v>404</v>
      </c>
      <c r="Z249" s="198">
        <v>8867</v>
      </c>
      <c r="AA249" s="198">
        <v>49</v>
      </c>
      <c r="AB249" s="198">
        <v>0</v>
      </c>
      <c r="AC249" s="198">
        <v>257</v>
      </c>
      <c r="AD249" s="198">
        <v>667.78</v>
      </c>
      <c r="AE249" s="198">
        <v>13.736559944892031</v>
      </c>
      <c r="AF249" s="198">
        <v>2621</v>
      </c>
      <c r="AG249" s="198">
        <v>11261731.810048122</v>
      </c>
      <c r="AH249" s="198">
        <v>6576410.7549513215</v>
      </c>
      <c r="AI249" s="198">
        <v>3452076.1484618657</v>
      </c>
      <c r="AJ249" s="198">
        <v>1233244.9066349352</v>
      </c>
      <c r="AK249" s="198">
        <v>459</v>
      </c>
      <c r="AL249" s="198">
        <v>4045</v>
      </c>
      <c r="AM249" s="198">
        <v>0.9102746556587292</v>
      </c>
      <c r="AN249" s="198">
        <v>257</v>
      </c>
      <c r="AO249" s="198">
        <v>0.028017006431919764</v>
      </c>
      <c r="AP249" s="198">
        <v>0.02629346282626654</v>
      </c>
      <c r="AQ249" s="198">
        <v>0</v>
      </c>
      <c r="AR249" s="198">
        <v>49</v>
      </c>
      <c r="AS249" s="198">
        <v>0</v>
      </c>
      <c r="AT249" s="198">
        <v>0</v>
      </c>
      <c r="AU249" s="198">
        <v>667.78</v>
      </c>
      <c r="AV249" s="198">
        <v>13.736559944892031</v>
      </c>
      <c r="AW249" s="198">
        <v>1.3105501932872567</v>
      </c>
      <c r="AX249" s="198">
        <v>505</v>
      </c>
      <c r="AY249" s="198">
        <v>2562</v>
      </c>
      <c r="AZ249" s="198">
        <v>0.19711163153786104</v>
      </c>
      <c r="BA249" s="198">
        <v>0.13342277284220888</v>
      </c>
      <c r="BB249" s="198">
        <v>0</v>
      </c>
      <c r="BC249" s="198">
        <v>2903</v>
      </c>
      <c r="BD249" s="198">
        <v>3506</v>
      </c>
      <c r="BE249" s="198">
        <v>0.8280091272104962</v>
      </c>
      <c r="BF249" s="198">
        <v>0.3983702729141077</v>
      </c>
      <c r="BG249" s="198">
        <v>0</v>
      </c>
      <c r="BH249" s="198">
        <v>0</v>
      </c>
      <c r="BI249" s="198">
        <v>-917.3000000000001</v>
      </c>
      <c r="BJ249" s="198">
        <v>-2201.52</v>
      </c>
      <c r="BK249" s="198">
        <v>-37609.299999999996</v>
      </c>
      <c r="BL249" s="198">
        <v>-3394.0099999999998</v>
      </c>
      <c r="BM249" s="198">
        <v>-48892.090000000004</v>
      </c>
      <c r="BN249" s="198">
        <v>-1100.76</v>
      </c>
      <c r="BO249" s="198">
        <v>-61765</v>
      </c>
      <c r="BP249" s="198">
        <v>273763.0343242958</v>
      </c>
      <c r="BQ249" s="198">
        <v>887508</v>
      </c>
      <c r="BR249" s="198">
        <v>278652</v>
      </c>
      <c r="BS249" s="198">
        <v>659966.2377995836</v>
      </c>
      <c r="BT249" s="198">
        <v>34333.41140619083</v>
      </c>
      <c r="BU249" s="198">
        <v>121275.90096974367</v>
      </c>
      <c r="BV249" s="198">
        <v>306245.2735996983</v>
      </c>
      <c r="BW249" s="198">
        <v>525011.4966202404</v>
      </c>
      <c r="BX249" s="198">
        <v>825.5699999999999</v>
      </c>
      <c r="BY249" s="198">
        <v>38569.49867070903</v>
      </c>
      <c r="BZ249" s="198">
        <v>3064385.423390461</v>
      </c>
      <c r="CA249" s="198">
        <v>2890740.533390461</v>
      </c>
      <c r="CB249" s="198">
        <v>1364943.5425631143</v>
      </c>
      <c r="CC249" s="232">
        <v>6456566.235794874</v>
      </c>
      <c r="CD249" s="198">
        <v>-775880</v>
      </c>
      <c r="CE249" s="198">
        <v>120116.04331999994</v>
      </c>
      <c r="CH249" s="198">
        <v>9146</v>
      </c>
    </row>
    <row r="250" spans="1:86" ht="11.25">
      <c r="A250" s="198">
        <v>762</v>
      </c>
      <c r="B250" s="198" t="s">
        <v>325</v>
      </c>
      <c r="C250" s="198">
        <v>4336</v>
      </c>
      <c r="D250" s="198">
        <v>16073290.559999999</v>
      </c>
      <c r="E250" s="198">
        <v>8240599.724384243</v>
      </c>
      <c r="F250" s="198">
        <v>1845641.9529711455</v>
      </c>
      <c r="G250" s="198">
        <v>26159532.23735539</v>
      </c>
      <c r="H250" s="198">
        <v>3642.26</v>
      </c>
      <c r="I250" s="198">
        <v>15792839.360000001</v>
      </c>
      <c r="J250" s="198">
        <v>10366692.877355387</v>
      </c>
      <c r="K250" s="198">
        <v>243138.8481585536</v>
      </c>
      <c r="L250" s="198">
        <v>1593231.7748536668</v>
      </c>
      <c r="M250" s="198">
        <v>0</v>
      </c>
      <c r="N250" s="198">
        <v>12203063.500367608</v>
      </c>
      <c r="O250" s="198">
        <v>3455676.4704390243</v>
      </c>
      <c r="P250" s="198">
        <v>15658739.970806632</v>
      </c>
      <c r="Q250" s="198">
        <v>207</v>
      </c>
      <c r="R250" s="198">
        <v>46</v>
      </c>
      <c r="S250" s="198">
        <v>259</v>
      </c>
      <c r="T250" s="198">
        <v>120</v>
      </c>
      <c r="U250" s="198">
        <v>147</v>
      </c>
      <c r="V250" s="198">
        <v>2338</v>
      </c>
      <c r="W250" s="198">
        <v>627</v>
      </c>
      <c r="X250" s="198">
        <v>415</v>
      </c>
      <c r="Y250" s="198">
        <v>177</v>
      </c>
      <c r="Z250" s="198">
        <v>4275</v>
      </c>
      <c r="AA250" s="198">
        <v>2</v>
      </c>
      <c r="AB250" s="198">
        <v>0</v>
      </c>
      <c r="AC250" s="198">
        <v>59</v>
      </c>
      <c r="AD250" s="198">
        <v>1465.85</v>
      </c>
      <c r="AE250" s="198">
        <v>2.958010710509261</v>
      </c>
      <c r="AF250" s="198">
        <v>1219</v>
      </c>
      <c r="AG250" s="198">
        <v>8240599.724384243</v>
      </c>
      <c r="AH250" s="198">
        <v>4431276.267265735</v>
      </c>
      <c r="AI250" s="198">
        <v>2923471.4819300333</v>
      </c>
      <c r="AJ250" s="198">
        <v>885851.9751884744</v>
      </c>
      <c r="AK250" s="198">
        <v>308</v>
      </c>
      <c r="AL250" s="198">
        <v>1879</v>
      </c>
      <c r="AM250" s="198">
        <v>1.3149287706910626</v>
      </c>
      <c r="AN250" s="198">
        <v>59</v>
      </c>
      <c r="AO250" s="198">
        <v>0.0136070110701107</v>
      </c>
      <c r="AP250" s="198">
        <v>0.011883467464457478</v>
      </c>
      <c r="AQ250" s="198">
        <v>0</v>
      </c>
      <c r="AR250" s="198">
        <v>2</v>
      </c>
      <c r="AS250" s="198">
        <v>0</v>
      </c>
      <c r="AT250" s="198">
        <v>0</v>
      </c>
      <c r="AU250" s="198">
        <v>1465.85</v>
      </c>
      <c r="AV250" s="198">
        <v>2.958010710509261</v>
      </c>
      <c r="AW250" s="198">
        <v>6.0859993599485245</v>
      </c>
      <c r="AX250" s="198">
        <v>196</v>
      </c>
      <c r="AY250" s="198">
        <v>1168</v>
      </c>
      <c r="AZ250" s="198">
        <v>0.1678082191780822</v>
      </c>
      <c r="BA250" s="198">
        <v>0.10411936048243002</v>
      </c>
      <c r="BB250" s="198">
        <v>0.1519</v>
      </c>
      <c r="BC250" s="198">
        <v>1208</v>
      </c>
      <c r="BD250" s="198">
        <v>1479</v>
      </c>
      <c r="BE250" s="198">
        <v>0.8167680865449628</v>
      </c>
      <c r="BF250" s="198">
        <v>0.38712923224857426</v>
      </c>
      <c r="BG250" s="198">
        <v>0</v>
      </c>
      <c r="BH250" s="198">
        <v>0</v>
      </c>
      <c r="BI250" s="198">
        <v>-433.6</v>
      </c>
      <c r="BJ250" s="198">
        <v>-1040.6399999999999</v>
      </c>
      <c r="BK250" s="198">
        <v>-17777.6</v>
      </c>
      <c r="BL250" s="198">
        <v>-1604.32</v>
      </c>
      <c r="BM250" s="198">
        <v>-23110.88</v>
      </c>
      <c r="BN250" s="198">
        <v>-520.3199999999999</v>
      </c>
      <c r="BO250" s="198">
        <v>204685</v>
      </c>
      <c r="BP250" s="198">
        <v>17535.917514123023</v>
      </c>
      <c r="BQ250" s="198">
        <v>462495</v>
      </c>
      <c r="BR250" s="198">
        <v>137719</v>
      </c>
      <c r="BS250" s="198">
        <v>362954.3737061537</v>
      </c>
      <c r="BT250" s="198">
        <v>19428.27120983442</v>
      </c>
      <c r="BU250" s="198">
        <v>53100.47284489389</v>
      </c>
      <c r="BV250" s="198">
        <v>169435.35904417702</v>
      </c>
      <c r="BW250" s="198">
        <v>244634.23811201015</v>
      </c>
      <c r="BX250" s="198">
        <v>390.24</v>
      </c>
      <c r="BY250" s="198">
        <v>2934.382422474824</v>
      </c>
      <c r="BZ250" s="198">
        <v>1675312.2548536668</v>
      </c>
      <c r="CA250" s="198">
        <v>1593231.7748536668</v>
      </c>
      <c r="CB250" s="198">
        <v>0</v>
      </c>
      <c r="CC250" s="232">
        <v>3455676.4704390243</v>
      </c>
      <c r="CD250" s="198">
        <v>-350483</v>
      </c>
      <c r="CE250" s="198">
        <v>80940.73000000003</v>
      </c>
      <c r="CH250" s="198">
        <v>4454</v>
      </c>
    </row>
    <row r="251" spans="1:86" ht="11.25">
      <c r="A251" s="198">
        <v>765</v>
      </c>
      <c r="B251" s="198" t="s">
        <v>326</v>
      </c>
      <c r="C251" s="198">
        <v>10598</v>
      </c>
      <c r="D251" s="198">
        <v>38453388.07</v>
      </c>
      <c r="E251" s="198">
        <v>14419590.604318304</v>
      </c>
      <c r="F251" s="198">
        <v>3571005.630895466</v>
      </c>
      <c r="G251" s="198">
        <v>56443984.30521377</v>
      </c>
      <c r="H251" s="198">
        <v>3642.26</v>
      </c>
      <c r="I251" s="198">
        <v>38600671.480000004</v>
      </c>
      <c r="J251" s="198">
        <v>17843312.825213768</v>
      </c>
      <c r="K251" s="198">
        <v>1241706.5059533836</v>
      </c>
      <c r="L251" s="198">
        <v>2958078.188243719</v>
      </c>
      <c r="M251" s="198">
        <v>-338360.16764389357</v>
      </c>
      <c r="N251" s="198">
        <v>21704737.351766977</v>
      </c>
      <c r="O251" s="198">
        <v>5148276.397929412</v>
      </c>
      <c r="P251" s="198">
        <v>26853013.74969639</v>
      </c>
      <c r="Q251" s="198">
        <v>669</v>
      </c>
      <c r="R251" s="198">
        <v>114</v>
      </c>
      <c r="S251" s="198">
        <v>698</v>
      </c>
      <c r="T251" s="198">
        <v>351</v>
      </c>
      <c r="U251" s="198">
        <v>358</v>
      </c>
      <c r="V251" s="198">
        <v>5990</v>
      </c>
      <c r="W251" s="198">
        <v>1288</v>
      </c>
      <c r="X251" s="198">
        <v>797</v>
      </c>
      <c r="Y251" s="198">
        <v>333</v>
      </c>
      <c r="Z251" s="198">
        <v>10361</v>
      </c>
      <c r="AA251" s="198">
        <v>8</v>
      </c>
      <c r="AB251" s="198">
        <v>0</v>
      </c>
      <c r="AC251" s="198">
        <v>229</v>
      </c>
      <c r="AD251" s="198">
        <v>2649.16</v>
      </c>
      <c r="AE251" s="198">
        <v>4.000513370275861</v>
      </c>
      <c r="AF251" s="198">
        <v>2418</v>
      </c>
      <c r="AG251" s="198">
        <v>14419590.604318304</v>
      </c>
      <c r="AH251" s="198">
        <v>8965002.63621745</v>
      </c>
      <c r="AI251" s="198">
        <v>3656829.5478654206</v>
      </c>
      <c r="AJ251" s="198">
        <v>1797758.4202354334</v>
      </c>
      <c r="AK251" s="198">
        <v>684</v>
      </c>
      <c r="AL251" s="198">
        <v>4849</v>
      </c>
      <c r="AM251" s="198">
        <v>1.1315720429221572</v>
      </c>
      <c r="AN251" s="198">
        <v>229</v>
      </c>
      <c r="AO251" s="198">
        <v>0.021607850537837328</v>
      </c>
      <c r="AP251" s="198">
        <v>0.019884306932184105</v>
      </c>
      <c r="AQ251" s="198">
        <v>0</v>
      </c>
      <c r="AR251" s="198">
        <v>8</v>
      </c>
      <c r="AS251" s="198">
        <v>0</v>
      </c>
      <c r="AT251" s="198">
        <v>0</v>
      </c>
      <c r="AU251" s="198">
        <v>2649.16</v>
      </c>
      <c r="AV251" s="198">
        <v>4.000513370275861</v>
      </c>
      <c r="AW251" s="198">
        <v>4.5000352766322225</v>
      </c>
      <c r="AX251" s="198">
        <v>349</v>
      </c>
      <c r="AY251" s="198">
        <v>3235</v>
      </c>
      <c r="AZ251" s="198">
        <v>0.10788253477588872</v>
      </c>
      <c r="BA251" s="198">
        <v>0.04419367608023654</v>
      </c>
      <c r="BB251" s="198">
        <v>0.39399999999999996</v>
      </c>
      <c r="BC251" s="198">
        <v>4103</v>
      </c>
      <c r="BD251" s="198">
        <v>4161</v>
      </c>
      <c r="BE251" s="198">
        <v>0.9860610430185052</v>
      </c>
      <c r="BF251" s="198">
        <v>0.5564221887221166</v>
      </c>
      <c r="BG251" s="198">
        <v>0</v>
      </c>
      <c r="BH251" s="198">
        <v>0</v>
      </c>
      <c r="BI251" s="198">
        <v>-1059.8</v>
      </c>
      <c r="BJ251" s="198">
        <v>-2543.52</v>
      </c>
      <c r="BK251" s="198">
        <v>-43451.799999999996</v>
      </c>
      <c r="BL251" s="198">
        <v>-3921.2599999999998</v>
      </c>
      <c r="BM251" s="198">
        <v>-56487.340000000004</v>
      </c>
      <c r="BN251" s="198">
        <v>-1271.76</v>
      </c>
      <c r="BO251" s="198">
        <v>96374</v>
      </c>
      <c r="BP251" s="198">
        <v>231609.68106403947</v>
      </c>
      <c r="BQ251" s="198">
        <v>912888</v>
      </c>
      <c r="BR251" s="198">
        <v>295616</v>
      </c>
      <c r="BS251" s="198">
        <v>660849.7534606402</v>
      </c>
      <c r="BT251" s="198">
        <v>27703.440061382953</v>
      </c>
      <c r="BU251" s="198">
        <v>87037.29789209824</v>
      </c>
      <c r="BV251" s="198">
        <v>309699.4777221213</v>
      </c>
      <c r="BW251" s="198">
        <v>576616.6736304482</v>
      </c>
      <c r="BX251" s="198">
        <v>953.8199999999999</v>
      </c>
      <c r="BY251" s="198">
        <v>-40649.81558701109</v>
      </c>
      <c r="BZ251" s="198">
        <v>3158698.328243719</v>
      </c>
      <c r="CA251" s="198">
        <v>2958078.188243719</v>
      </c>
      <c r="CB251" s="198">
        <v>-338360.16764389357</v>
      </c>
      <c r="CC251" s="232">
        <v>5148276.397929412</v>
      </c>
      <c r="CD251" s="198">
        <v>-342098</v>
      </c>
      <c r="CE251" s="198">
        <v>-121909.1918</v>
      </c>
      <c r="CH251" s="198">
        <v>10659</v>
      </c>
    </row>
    <row r="252" spans="1:86" ht="11.25">
      <c r="A252" s="198">
        <v>768</v>
      </c>
      <c r="B252" s="198" t="s">
        <v>327</v>
      </c>
      <c r="C252" s="198">
        <v>2789</v>
      </c>
      <c r="D252" s="198">
        <v>10625521.76</v>
      </c>
      <c r="E252" s="198">
        <v>4835027.343741807</v>
      </c>
      <c r="F252" s="198">
        <v>2016095.6618502387</v>
      </c>
      <c r="G252" s="198">
        <v>17476644.765592046</v>
      </c>
      <c r="H252" s="198">
        <v>3642.26</v>
      </c>
      <c r="I252" s="198">
        <v>10158263.14</v>
      </c>
      <c r="J252" s="198">
        <v>7318381.6255920455</v>
      </c>
      <c r="K252" s="198">
        <v>312175.5534066397</v>
      </c>
      <c r="L252" s="198">
        <v>1261831.0751779203</v>
      </c>
      <c r="M252" s="198">
        <v>0</v>
      </c>
      <c r="N252" s="198">
        <v>8892388.254176605</v>
      </c>
      <c r="O252" s="198">
        <v>2402495.190139535</v>
      </c>
      <c r="P252" s="198">
        <v>11294883.444316141</v>
      </c>
      <c r="Q252" s="198">
        <v>87</v>
      </c>
      <c r="R252" s="198">
        <v>17</v>
      </c>
      <c r="S252" s="198">
        <v>134</v>
      </c>
      <c r="T252" s="198">
        <v>87</v>
      </c>
      <c r="U252" s="198">
        <v>85</v>
      </c>
      <c r="V252" s="198">
        <v>1423</v>
      </c>
      <c r="W252" s="198">
        <v>492</v>
      </c>
      <c r="X252" s="198">
        <v>324</v>
      </c>
      <c r="Y252" s="198">
        <v>140</v>
      </c>
      <c r="Z252" s="198">
        <v>2730</v>
      </c>
      <c r="AA252" s="198">
        <v>2</v>
      </c>
      <c r="AB252" s="198">
        <v>0</v>
      </c>
      <c r="AC252" s="198">
        <v>57</v>
      </c>
      <c r="AD252" s="198">
        <v>584.69</v>
      </c>
      <c r="AE252" s="198">
        <v>4.770049085840359</v>
      </c>
      <c r="AF252" s="198">
        <v>956</v>
      </c>
      <c r="AG252" s="198">
        <v>4835027.343741807</v>
      </c>
      <c r="AH252" s="198">
        <v>2802381.524328081</v>
      </c>
      <c r="AI252" s="198">
        <v>1528926.0688163585</v>
      </c>
      <c r="AJ252" s="198">
        <v>503719.75059736776</v>
      </c>
      <c r="AK252" s="198">
        <v>156</v>
      </c>
      <c r="AL252" s="198">
        <v>1138</v>
      </c>
      <c r="AM252" s="198">
        <v>1.0996655700934854</v>
      </c>
      <c r="AN252" s="198">
        <v>57</v>
      </c>
      <c r="AO252" s="198">
        <v>0.020437432771602725</v>
      </c>
      <c r="AP252" s="198">
        <v>0.0187138891659495</v>
      </c>
      <c r="AQ252" s="198">
        <v>0</v>
      </c>
      <c r="AR252" s="198">
        <v>2</v>
      </c>
      <c r="AS252" s="198">
        <v>0</v>
      </c>
      <c r="AT252" s="198">
        <v>2</v>
      </c>
      <c r="AU252" s="198">
        <v>584.69</v>
      </c>
      <c r="AV252" s="198">
        <v>4.770049085840359</v>
      </c>
      <c r="AW252" s="198">
        <v>3.774059966032546</v>
      </c>
      <c r="AX252" s="198">
        <v>134</v>
      </c>
      <c r="AY252" s="198">
        <v>692</v>
      </c>
      <c r="AZ252" s="198">
        <v>0.1936416184971098</v>
      </c>
      <c r="BA252" s="198">
        <v>0.12995275980145765</v>
      </c>
      <c r="BB252" s="198">
        <v>0.39905</v>
      </c>
      <c r="BC252" s="198">
        <v>852</v>
      </c>
      <c r="BD252" s="198">
        <v>961</v>
      </c>
      <c r="BE252" s="198">
        <v>0.886576482830385</v>
      </c>
      <c r="BF252" s="198">
        <v>0.4569376285339965</v>
      </c>
      <c r="BG252" s="198">
        <v>0</v>
      </c>
      <c r="BH252" s="198">
        <v>0</v>
      </c>
      <c r="BI252" s="198">
        <v>-278.90000000000003</v>
      </c>
      <c r="BJ252" s="198">
        <v>-669.36</v>
      </c>
      <c r="BK252" s="198">
        <v>-11434.9</v>
      </c>
      <c r="BL252" s="198">
        <v>-1031.93</v>
      </c>
      <c r="BM252" s="198">
        <v>-14865.37</v>
      </c>
      <c r="BN252" s="198">
        <v>-334.68</v>
      </c>
      <c r="BO252" s="198">
        <v>41103</v>
      </c>
      <c r="BP252" s="198">
        <v>295311.2232803684</v>
      </c>
      <c r="BQ252" s="198">
        <v>318438</v>
      </c>
      <c r="BR252" s="198">
        <v>93179</v>
      </c>
      <c r="BS252" s="198">
        <v>245802.51333843436</v>
      </c>
      <c r="BT252" s="198">
        <v>13843.474499437989</v>
      </c>
      <c r="BU252" s="198">
        <v>41836.60849986856</v>
      </c>
      <c r="BV252" s="198">
        <v>124518.57130691377</v>
      </c>
      <c r="BW252" s="198">
        <v>154335.73888265676</v>
      </c>
      <c r="BX252" s="198">
        <v>251.01</v>
      </c>
      <c r="BY252" s="198">
        <v>-13992.294629759628</v>
      </c>
      <c r="BZ252" s="198">
        <v>1314626.8451779203</v>
      </c>
      <c r="CA252" s="198">
        <v>1261831.0751779203</v>
      </c>
      <c r="CB252" s="198">
        <v>0</v>
      </c>
      <c r="CC252" s="232">
        <v>2402495.190139535</v>
      </c>
      <c r="CD252" s="198">
        <v>150837</v>
      </c>
      <c r="CE252" s="198">
        <v>154596.7943</v>
      </c>
      <c r="CH252" s="198">
        <v>2794</v>
      </c>
    </row>
    <row r="253" spans="1:86" ht="11.25">
      <c r="A253" s="198">
        <v>777</v>
      </c>
      <c r="B253" s="198" t="s">
        <v>328</v>
      </c>
      <c r="C253" s="198">
        <v>8486</v>
      </c>
      <c r="D253" s="198">
        <v>30358238.17</v>
      </c>
      <c r="E253" s="198">
        <v>14823064.972687738</v>
      </c>
      <c r="F253" s="198">
        <v>5406498.510268421</v>
      </c>
      <c r="G253" s="198">
        <v>50587801.65295616</v>
      </c>
      <c r="H253" s="198">
        <v>3642.26</v>
      </c>
      <c r="I253" s="198">
        <v>30908218.360000003</v>
      </c>
      <c r="J253" s="198">
        <v>19679583.292956155</v>
      </c>
      <c r="K253" s="198">
        <v>3694685.0150182713</v>
      </c>
      <c r="L253" s="198">
        <v>3020725.762750031</v>
      </c>
      <c r="M253" s="198">
        <v>1018083.4283584728</v>
      </c>
      <c r="N253" s="198">
        <v>27413077.49908293</v>
      </c>
      <c r="O253" s="198">
        <v>6009813.4032195145</v>
      </c>
      <c r="P253" s="198">
        <v>33422890.902302444</v>
      </c>
      <c r="Q253" s="198">
        <v>320</v>
      </c>
      <c r="R253" s="198">
        <v>51</v>
      </c>
      <c r="S253" s="198">
        <v>421</v>
      </c>
      <c r="T253" s="198">
        <v>245</v>
      </c>
      <c r="U253" s="198">
        <v>263</v>
      </c>
      <c r="V253" s="198">
        <v>4648</v>
      </c>
      <c r="W253" s="198">
        <v>1316</v>
      </c>
      <c r="X253" s="198">
        <v>878</v>
      </c>
      <c r="Y253" s="198">
        <v>344</v>
      </c>
      <c r="Z253" s="198">
        <v>8325</v>
      </c>
      <c r="AA253" s="198">
        <v>4</v>
      </c>
      <c r="AB253" s="198">
        <v>0</v>
      </c>
      <c r="AC253" s="198">
        <v>157</v>
      </c>
      <c r="AD253" s="198">
        <v>5270.17</v>
      </c>
      <c r="AE253" s="198">
        <v>1.6101947375511605</v>
      </c>
      <c r="AF253" s="198">
        <v>2538</v>
      </c>
      <c r="AG253" s="198">
        <v>14823064.972687738</v>
      </c>
      <c r="AH253" s="198">
        <v>8524460.68592885</v>
      </c>
      <c r="AI253" s="198">
        <v>4344519.047372548</v>
      </c>
      <c r="AJ253" s="198">
        <v>1954085.2393863408</v>
      </c>
      <c r="AK253" s="198">
        <v>686</v>
      </c>
      <c r="AL253" s="198">
        <v>3653</v>
      </c>
      <c r="AM253" s="198">
        <v>1.5064431083579726</v>
      </c>
      <c r="AN253" s="198">
        <v>157</v>
      </c>
      <c r="AO253" s="198">
        <v>0.018501060570351165</v>
      </c>
      <c r="AP253" s="198">
        <v>0.016777516964697942</v>
      </c>
      <c r="AQ253" s="198">
        <v>0</v>
      </c>
      <c r="AR253" s="198">
        <v>4</v>
      </c>
      <c r="AS253" s="198">
        <v>0</v>
      </c>
      <c r="AT253" s="198">
        <v>0</v>
      </c>
      <c r="AU253" s="198">
        <v>5270.17</v>
      </c>
      <c r="AV253" s="198">
        <v>1.6101947375511605</v>
      </c>
      <c r="AW253" s="198">
        <v>11.180294451998389</v>
      </c>
      <c r="AX253" s="198">
        <v>305</v>
      </c>
      <c r="AY253" s="198">
        <v>2343</v>
      </c>
      <c r="AZ253" s="198">
        <v>0.13017498932991892</v>
      </c>
      <c r="BA253" s="198">
        <v>0.06648613063426674</v>
      </c>
      <c r="BB253" s="198">
        <v>1.2955833333333333</v>
      </c>
      <c r="BC253" s="198">
        <v>2487</v>
      </c>
      <c r="BD253" s="198">
        <v>2709</v>
      </c>
      <c r="BE253" s="198">
        <v>0.9180509413067552</v>
      </c>
      <c r="BF253" s="198">
        <v>0.4884120870103667</v>
      </c>
      <c r="BG253" s="198">
        <v>0</v>
      </c>
      <c r="BH253" s="198">
        <v>0</v>
      </c>
      <c r="BI253" s="198">
        <v>-848.6</v>
      </c>
      <c r="BJ253" s="198">
        <v>-2036.6399999999999</v>
      </c>
      <c r="BK253" s="198">
        <v>-34792.6</v>
      </c>
      <c r="BL253" s="198">
        <v>-3139.82</v>
      </c>
      <c r="BM253" s="198">
        <v>-45230.38</v>
      </c>
      <c r="BN253" s="198">
        <v>-1018.3199999999999</v>
      </c>
      <c r="BO253" s="198">
        <v>441756</v>
      </c>
      <c r="BP253" s="198">
        <v>227788.47878620028</v>
      </c>
      <c r="BQ253" s="198">
        <v>806106</v>
      </c>
      <c r="BR253" s="198">
        <v>248854</v>
      </c>
      <c r="BS253" s="198">
        <v>595489.9535003655</v>
      </c>
      <c r="BT253" s="198">
        <v>36314.84846337842</v>
      </c>
      <c r="BU253" s="198">
        <v>101867.12397049421</v>
      </c>
      <c r="BV253" s="198">
        <v>342837.98978718405</v>
      </c>
      <c r="BW253" s="198">
        <v>456378.84792856773</v>
      </c>
      <c r="BX253" s="198">
        <v>763.74</v>
      </c>
      <c r="BY253" s="198">
        <v>-76791.2396861595</v>
      </c>
      <c r="BZ253" s="198">
        <v>3181365.742750031</v>
      </c>
      <c r="CA253" s="198">
        <v>3020725.762750031</v>
      </c>
      <c r="CB253" s="198">
        <v>1018083.4283584728</v>
      </c>
      <c r="CC253" s="232">
        <v>6009813.4032195145</v>
      </c>
      <c r="CD253" s="198">
        <v>-701330</v>
      </c>
      <c r="CE253" s="198">
        <v>93579.93630000003</v>
      </c>
      <c r="CH253" s="198">
        <v>8661</v>
      </c>
    </row>
    <row r="254" spans="1:86" ht="11.25">
      <c r="A254" s="198">
        <v>778</v>
      </c>
      <c r="B254" s="198" t="s">
        <v>329</v>
      </c>
      <c r="C254" s="198">
        <v>7419</v>
      </c>
      <c r="D254" s="198">
        <v>27833284.310000002</v>
      </c>
      <c r="E254" s="198">
        <v>14657385.836386792</v>
      </c>
      <c r="F254" s="198">
        <v>1640858.8522795753</v>
      </c>
      <c r="G254" s="198">
        <v>44131528.99866637</v>
      </c>
      <c r="H254" s="198">
        <v>3642.26</v>
      </c>
      <c r="I254" s="198">
        <v>27021926.94</v>
      </c>
      <c r="J254" s="198">
        <v>17109602.058666367</v>
      </c>
      <c r="K254" s="198">
        <v>348113.96895692195</v>
      </c>
      <c r="L254" s="198">
        <v>2220672.2889133436</v>
      </c>
      <c r="M254" s="198">
        <v>0</v>
      </c>
      <c r="N254" s="198">
        <v>19678388.31653663</v>
      </c>
      <c r="O254" s="198">
        <v>5145173.895999999</v>
      </c>
      <c r="P254" s="198">
        <v>24823562.21253663</v>
      </c>
      <c r="Q254" s="198">
        <v>397</v>
      </c>
      <c r="R254" s="198">
        <v>75</v>
      </c>
      <c r="S254" s="198">
        <v>428</v>
      </c>
      <c r="T254" s="198">
        <v>234</v>
      </c>
      <c r="U254" s="198">
        <v>223</v>
      </c>
      <c r="V254" s="198">
        <v>4014</v>
      </c>
      <c r="W254" s="198">
        <v>1041</v>
      </c>
      <c r="X254" s="198">
        <v>708</v>
      </c>
      <c r="Y254" s="198">
        <v>299</v>
      </c>
      <c r="Z254" s="198">
        <v>7271</v>
      </c>
      <c r="AA254" s="198">
        <v>3</v>
      </c>
      <c r="AB254" s="198">
        <v>0</v>
      </c>
      <c r="AC254" s="198">
        <v>145</v>
      </c>
      <c r="AD254" s="198">
        <v>713.55</v>
      </c>
      <c r="AE254" s="198">
        <v>10.39730922850536</v>
      </c>
      <c r="AF254" s="198">
        <v>2048</v>
      </c>
      <c r="AG254" s="198">
        <v>14657385.836386792</v>
      </c>
      <c r="AH254" s="198">
        <v>7939280.424566419</v>
      </c>
      <c r="AI254" s="198">
        <v>4798759.465578677</v>
      </c>
      <c r="AJ254" s="198">
        <v>1919345.9462416945</v>
      </c>
      <c r="AK254" s="198">
        <v>371</v>
      </c>
      <c r="AL254" s="198">
        <v>3113</v>
      </c>
      <c r="AM254" s="198">
        <v>0.956033433744202</v>
      </c>
      <c r="AN254" s="198">
        <v>145</v>
      </c>
      <c r="AO254" s="198">
        <v>0.019544412993664915</v>
      </c>
      <c r="AP254" s="198">
        <v>0.017820869388011692</v>
      </c>
      <c r="AQ254" s="198">
        <v>0</v>
      </c>
      <c r="AR254" s="198">
        <v>3</v>
      </c>
      <c r="AS254" s="198">
        <v>0</v>
      </c>
      <c r="AT254" s="198">
        <v>0</v>
      </c>
      <c r="AU254" s="198">
        <v>713.55</v>
      </c>
      <c r="AV254" s="198">
        <v>10.39730922850536</v>
      </c>
      <c r="AW254" s="198">
        <v>1.7314529072122384</v>
      </c>
      <c r="AX254" s="198">
        <v>297</v>
      </c>
      <c r="AY254" s="198">
        <v>2140</v>
      </c>
      <c r="AZ254" s="198">
        <v>0.13878504672897196</v>
      </c>
      <c r="BA254" s="198">
        <v>0.07509618803331979</v>
      </c>
      <c r="BB254" s="198">
        <v>0.07033333333333333</v>
      </c>
      <c r="BC254" s="198">
        <v>2584</v>
      </c>
      <c r="BD254" s="198">
        <v>2747</v>
      </c>
      <c r="BE254" s="198">
        <v>0.9406625409537678</v>
      </c>
      <c r="BF254" s="198">
        <v>0.5110236866573792</v>
      </c>
      <c r="BG254" s="198">
        <v>0</v>
      </c>
      <c r="BH254" s="198">
        <v>0</v>
      </c>
      <c r="BI254" s="198">
        <v>-741.9000000000001</v>
      </c>
      <c r="BJ254" s="198">
        <v>-1780.56</v>
      </c>
      <c r="BK254" s="198">
        <v>-30417.899999999998</v>
      </c>
      <c r="BL254" s="198">
        <v>-2745.0299999999997</v>
      </c>
      <c r="BM254" s="198">
        <v>-39543.270000000004</v>
      </c>
      <c r="BN254" s="198">
        <v>-890.28</v>
      </c>
      <c r="BO254" s="198">
        <v>162668</v>
      </c>
      <c r="BP254" s="198">
        <v>90136.78364054114</v>
      </c>
      <c r="BQ254" s="198">
        <v>704270</v>
      </c>
      <c r="BR254" s="198">
        <v>209751</v>
      </c>
      <c r="BS254" s="198">
        <v>485287.2878394426</v>
      </c>
      <c r="BT254" s="198">
        <v>25695.22304491622</v>
      </c>
      <c r="BU254" s="198">
        <v>43720.77733674577</v>
      </c>
      <c r="BV254" s="198">
        <v>273033.9694706407</v>
      </c>
      <c r="BW254" s="198">
        <v>375095.894009139</v>
      </c>
      <c r="BX254" s="198">
        <v>667.7099999999999</v>
      </c>
      <c r="BY254" s="198">
        <v>-9212.686428081506</v>
      </c>
      <c r="BZ254" s="198">
        <v>2361113.9589133435</v>
      </c>
      <c r="CA254" s="198">
        <v>2220672.2889133436</v>
      </c>
      <c r="CB254" s="198">
        <v>0</v>
      </c>
      <c r="CC254" s="232">
        <v>5145173.895999999</v>
      </c>
      <c r="CD254" s="198">
        <v>-639700</v>
      </c>
      <c r="CE254" s="198">
        <v>91375.85795999996</v>
      </c>
      <c r="CH254" s="198">
        <v>7456</v>
      </c>
    </row>
    <row r="255" spans="1:86" ht="11.25">
      <c r="A255" s="198">
        <v>781</v>
      </c>
      <c r="B255" s="198" t="s">
        <v>330</v>
      </c>
      <c r="C255" s="198">
        <v>4097</v>
      </c>
      <c r="D255" s="198">
        <v>15935858.049999997</v>
      </c>
      <c r="E255" s="198">
        <v>6902698.062250934</v>
      </c>
      <c r="F255" s="198">
        <v>1174835.6933375343</v>
      </c>
      <c r="G255" s="198">
        <v>24013391.805588465</v>
      </c>
      <c r="H255" s="198">
        <v>3642.26</v>
      </c>
      <c r="I255" s="198">
        <v>14922339.22</v>
      </c>
      <c r="J255" s="198">
        <v>9091052.585588465</v>
      </c>
      <c r="K255" s="198">
        <v>496554.66416851705</v>
      </c>
      <c r="L255" s="198">
        <v>1408932.9441354068</v>
      </c>
      <c r="M255" s="198">
        <v>56771.341235160835</v>
      </c>
      <c r="N255" s="198">
        <v>11053311.535127549</v>
      </c>
      <c r="O255" s="198">
        <v>3571392.639578949</v>
      </c>
      <c r="P255" s="198">
        <v>14624704.174706498</v>
      </c>
      <c r="Q255" s="198">
        <v>131</v>
      </c>
      <c r="R255" s="198">
        <v>28</v>
      </c>
      <c r="S255" s="198">
        <v>200</v>
      </c>
      <c r="T255" s="198">
        <v>108</v>
      </c>
      <c r="U255" s="198">
        <v>129</v>
      </c>
      <c r="V255" s="198">
        <v>2026</v>
      </c>
      <c r="W255" s="198">
        <v>735</v>
      </c>
      <c r="X255" s="198">
        <v>521</v>
      </c>
      <c r="Y255" s="198">
        <v>219</v>
      </c>
      <c r="Z255" s="198">
        <v>4018</v>
      </c>
      <c r="AA255" s="198">
        <v>11</v>
      </c>
      <c r="AB255" s="198">
        <v>1</v>
      </c>
      <c r="AC255" s="198">
        <v>67</v>
      </c>
      <c r="AD255" s="198">
        <v>666.91</v>
      </c>
      <c r="AE255" s="198">
        <v>6.143257710935509</v>
      </c>
      <c r="AF255" s="198">
        <v>1475</v>
      </c>
      <c r="AG255" s="198">
        <v>6902698.062250934</v>
      </c>
      <c r="AH255" s="198">
        <v>4028119.160186132</v>
      </c>
      <c r="AI255" s="198">
        <v>2179793.03917188</v>
      </c>
      <c r="AJ255" s="198">
        <v>694785.8628929212</v>
      </c>
      <c r="AK255" s="198">
        <v>190</v>
      </c>
      <c r="AL255" s="198">
        <v>1584</v>
      </c>
      <c r="AM255" s="198">
        <v>0.9622251746860164</v>
      </c>
      <c r="AN255" s="198">
        <v>67</v>
      </c>
      <c r="AO255" s="198">
        <v>0.016353429338540396</v>
      </c>
      <c r="AP255" s="198">
        <v>0.014629885732887173</v>
      </c>
      <c r="AQ255" s="198">
        <v>0</v>
      </c>
      <c r="AR255" s="198">
        <v>11</v>
      </c>
      <c r="AS255" s="198">
        <v>1</v>
      </c>
      <c r="AT255" s="198">
        <v>0</v>
      </c>
      <c r="AU255" s="198">
        <v>666.91</v>
      </c>
      <c r="AV255" s="198">
        <v>6.143257710935509</v>
      </c>
      <c r="AW255" s="198">
        <v>2.9304405151088457</v>
      </c>
      <c r="AX255" s="198">
        <v>198</v>
      </c>
      <c r="AY255" s="198">
        <v>1012</v>
      </c>
      <c r="AZ255" s="198">
        <v>0.1956521739130435</v>
      </c>
      <c r="BA255" s="198">
        <v>0.1319633152173913</v>
      </c>
      <c r="BB255" s="198">
        <v>0.4562</v>
      </c>
      <c r="BC255" s="198">
        <v>1161</v>
      </c>
      <c r="BD255" s="198">
        <v>1374</v>
      </c>
      <c r="BE255" s="198">
        <v>0.8449781659388647</v>
      </c>
      <c r="BF255" s="198">
        <v>0.4153393116424761</v>
      </c>
      <c r="BG255" s="198">
        <v>0</v>
      </c>
      <c r="BH255" s="198">
        <v>1</v>
      </c>
      <c r="BI255" s="198">
        <v>-409.70000000000005</v>
      </c>
      <c r="BJ255" s="198">
        <v>-983.28</v>
      </c>
      <c r="BK255" s="198">
        <v>-16797.699999999997</v>
      </c>
      <c r="BL255" s="198">
        <v>-1515.8899999999999</v>
      </c>
      <c r="BM255" s="198">
        <v>-21837.010000000002</v>
      </c>
      <c r="BN255" s="198">
        <v>-491.64</v>
      </c>
      <c r="BO255" s="198">
        <v>-24046</v>
      </c>
      <c r="BP255" s="198">
        <v>145472.55402242765</v>
      </c>
      <c r="BQ255" s="198">
        <v>463075</v>
      </c>
      <c r="BR255" s="198">
        <v>135088</v>
      </c>
      <c r="BS255" s="198">
        <v>329559.86847875454</v>
      </c>
      <c r="BT255" s="198">
        <v>18974.214570919707</v>
      </c>
      <c r="BU255" s="198">
        <v>37232.07945562535</v>
      </c>
      <c r="BV255" s="198">
        <v>167524.88728627606</v>
      </c>
      <c r="BW255" s="198">
        <v>223571.93319631266</v>
      </c>
      <c r="BX255" s="198">
        <v>368.72999999999996</v>
      </c>
      <c r="BY255" s="198">
        <v>-10332.11287490934</v>
      </c>
      <c r="BZ255" s="198">
        <v>1486489.1541354067</v>
      </c>
      <c r="CA255" s="198">
        <v>1408932.9441354068</v>
      </c>
      <c r="CB255" s="198">
        <v>56771.341235160835</v>
      </c>
      <c r="CC255" s="232">
        <v>3571392.639578949</v>
      </c>
      <c r="CD255" s="198">
        <v>-516137</v>
      </c>
      <c r="CE255" s="198">
        <v>-43421.58854</v>
      </c>
      <c r="CH255" s="198">
        <v>4139</v>
      </c>
    </row>
    <row r="256" spans="1:86" ht="11.25">
      <c r="A256" s="198">
        <v>783</v>
      </c>
      <c r="B256" s="198" t="s">
        <v>331</v>
      </c>
      <c r="C256" s="198">
        <v>4539</v>
      </c>
      <c r="D256" s="198">
        <v>16540413.290000001</v>
      </c>
      <c r="E256" s="198">
        <v>5104633.486321951</v>
      </c>
      <c r="F256" s="198">
        <v>716045.7852125613</v>
      </c>
      <c r="G256" s="198">
        <v>22361092.561534513</v>
      </c>
      <c r="H256" s="198">
        <v>3642.26</v>
      </c>
      <c r="I256" s="198">
        <v>16532218.14</v>
      </c>
      <c r="J256" s="198">
        <v>5828874.421534512</v>
      </c>
      <c r="K256" s="198">
        <v>244766.36355292972</v>
      </c>
      <c r="L256" s="198">
        <v>925920.3461985698</v>
      </c>
      <c r="M256" s="198">
        <v>179492.5935034444</v>
      </c>
      <c r="N256" s="198">
        <v>7179053.724789456</v>
      </c>
      <c r="O256" s="198">
        <v>-27018.741890149355</v>
      </c>
      <c r="P256" s="198">
        <v>7152034.982899307</v>
      </c>
      <c r="Q256" s="198">
        <v>262</v>
      </c>
      <c r="R256" s="198">
        <v>45</v>
      </c>
      <c r="S256" s="198">
        <v>253</v>
      </c>
      <c r="T256" s="198">
        <v>154</v>
      </c>
      <c r="U256" s="198">
        <v>135</v>
      </c>
      <c r="V256" s="198">
        <v>2459</v>
      </c>
      <c r="W256" s="198">
        <v>676</v>
      </c>
      <c r="X256" s="198">
        <v>404</v>
      </c>
      <c r="Y256" s="198">
        <v>151</v>
      </c>
      <c r="Z256" s="198">
        <v>4439</v>
      </c>
      <c r="AA256" s="198">
        <v>10</v>
      </c>
      <c r="AB256" s="198">
        <v>0</v>
      </c>
      <c r="AC256" s="198">
        <v>90</v>
      </c>
      <c r="AD256" s="198">
        <v>160.59</v>
      </c>
      <c r="AE256" s="198">
        <v>28.264524565664114</v>
      </c>
      <c r="AF256" s="198">
        <v>1231</v>
      </c>
      <c r="AG256" s="198">
        <v>5104633.486321951</v>
      </c>
      <c r="AH256" s="198">
        <v>3057383.2793350937</v>
      </c>
      <c r="AI256" s="198">
        <v>1474051.8701001974</v>
      </c>
      <c r="AJ256" s="198">
        <v>573198.33688666</v>
      </c>
      <c r="AK256" s="198">
        <v>169</v>
      </c>
      <c r="AL256" s="198">
        <v>2172</v>
      </c>
      <c r="AM256" s="198">
        <v>0.6241732828408157</v>
      </c>
      <c r="AN256" s="198">
        <v>90</v>
      </c>
      <c r="AO256" s="198">
        <v>0.01982815598149372</v>
      </c>
      <c r="AP256" s="198">
        <v>0.018104612375840497</v>
      </c>
      <c r="AQ256" s="198">
        <v>0</v>
      </c>
      <c r="AR256" s="198">
        <v>10</v>
      </c>
      <c r="AS256" s="198">
        <v>0</v>
      </c>
      <c r="AT256" s="198">
        <v>0</v>
      </c>
      <c r="AU256" s="198">
        <v>160.59</v>
      </c>
      <c r="AV256" s="198">
        <v>28.264524565664114</v>
      </c>
      <c r="AW256" s="198">
        <v>0.6369274405821674</v>
      </c>
      <c r="AX256" s="198">
        <v>208</v>
      </c>
      <c r="AY256" s="198">
        <v>1298</v>
      </c>
      <c r="AZ256" s="198">
        <v>0.16024653312788906</v>
      </c>
      <c r="BA256" s="198">
        <v>0.09655767443223688</v>
      </c>
      <c r="BB256" s="198">
        <v>0</v>
      </c>
      <c r="BC256" s="198">
        <v>2496</v>
      </c>
      <c r="BD256" s="198">
        <v>1945</v>
      </c>
      <c r="BE256" s="198">
        <v>1.2832904884318765</v>
      </c>
      <c r="BF256" s="198">
        <v>0.8536516341354881</v>
      </c>
      <c r="BG256" s="198">
        <v>0</v>
      </c>
      <c r="BH256" s="198">
        <v>0</v>
      </c>
      <c r="BI256" s="198">
        <v>-453.90000000000003</v>
      </c>
      <c r="BJ256" s="198">
        <v>-1089.36</v>
      </c>
      <c r="BK256" s="198">
        <v>-18609.899999999998</v>
      </c>
      <c r="BL256" s="198">
        <v>-1679.43</v>
      </c>
      <c r="BM256" s="198">
        <v>-24192.87</v>
      </c>
      <c r="BN256" s="198">
        <v>-544.68</v>
      </c>
      <c r="BO256" s="198">
        <v>71816</v>
      </c>
      <c r="BP256" s="198">
        <v>-108254.23201110121</v>
      </c>
      <c r="BQ256" s="198">
        <v>330027</v>
      </c>
      <c r="BR256" s="198">
        <v>118975</v>
      </c>
      <c r="BS256" s="198">
        <v>273174.3632752922</v>
      </c>
      <c r="BT256" s="198">
        <v>12465.977263609748</v>
      </c>
      <c r="BU256" s="198">
        <v>23035.19779448954</v>
      </c>
      <c r="BV256" s="198">
        <v>115833.98843822427</v>
      </c>
      <c r="BW256" s="198">
        <v>227723.88249511237</v>
      </c>
      <c r="BX256" s="198">
        <v>408.51</v>
      </c>
      <c r="BY256" s="198">
        <v>-53362.07105705721</v>
      </c>
      <c r="BZ256" s="198">
        <v>1011843.6161985698</v>
      </c>
      <c r="CA256" s="198">
        <v>925920.3461985698</v>
      </c>
      <c r="CB256" s="198">
        <v>179492.5935034444</v>
      </c>
      <c r="CC256" s="232">
        <v>-27018.741890149355</v>
      </c>
      <c r="CD256" s="198">
        <v>-239437</v>
      </c>
      <c r="CE256" s="198">
        <v>23721.860100000005</v>
      </c>
      <c r="CH256" s="198">
        <v>4567</v>
      </c>
    </row>
    <row r="257" spans="1:86" ht="11.25">
      <c r="A257" s="198">
        <v>831</v>
      </c>
      <c r="B257" s="198" t="s">
        <v>332</v>
      </c>
      <c r="C257" s="198">
        <v>4798</v>
      </c>
      <c r="D257" s="198">
        <v>16904887.03</v>
      </c>
      <c r="E257" s="198">
        <v>4414659.140036079</v>
      </c>
      <c r="F257" s="198">
        <v>971953.1422469253</v>
      </c>
      <c r="G257" s="198">
        <v>22291499.312283006</v>
      </c>
      <c r="H257" s="198">
        <v>3642.26</v>
      </c>
      <c r="I257" s="198">
        <v>17475563.48</v>
      </c>
      <c r="J257" s="198">
        <v>4815935.832283005</v>
      </c>
      <c r="K257" s="198">
        <v>14088.428362382023</v>
      </c>
      <c r="L257" s="198">
        <v>921610.2957377605</v>
      </c>
      <c r="M257" s="198">
        <v>0</v>
      </c>
      <c r="N257" s="198">
        <v>5751634.556383147</v>
      </c>
      <c r="O257" s="198">
        <v>840668.3760000018</v>
      </c>
      <c r="P257" s="198">
        <v>6592302.932383149</v>
      </c>
      <c r="Q257" s="198">
        <v>277</v>
      </c>
      <c r="R257" s="198">
        <v>50</v>
      </c>
      <c r="S257" s="198">
        <v>407</v>
      </c>
      <c r="T257" s="198">
        <v>184</v>
      </c>
      <c r="U257" s="198">
        <v>177</v>
      </c>
      <c r="V257" s="198">
        <v>2701</v>
      </c>
      <c r="W257" s="198">
        <v>596</v>
      </c>
      <c r="X257" s="198">
        <v>308</v>
      </c>
      <c r="Y257" s="198">
        <v>98</v>
      </c>
      <c r="Z257" s="198">
        <v>4624</v>
      </c>
      <c r="AA257" s="198">
        <v>6</v>
      </c>
      <c r="AB257" s="198">
        <v>0</v>
      </c>
      <c r="AC257" s="198">
        <v>168</v>
      </c>
      <c r="AD257" s="198">
        <v>345.13</v>
      </c>
      <c r="AE257" s="198">
        <v>13.902007939037464</v>
      </c>
      <c r="AF257" s="198">
        <v>1002</v>
      </c>
      <c r="AG257" s="198">
        <v>4414659.140036079</v>
      </c>
      <c r="AH257" s="198">
        <v>2667675.5975562898</v>
      </c>
      <c r="AI257" s="198">
        <v>1243263.7918824211</v>
      </c>
      <c r="AJ257" s="198">
        <v>503719.7505973679</v>
      </c>
      <c r="AK257" s="198">
        <v>240</v>
      </c>
      <c r="AL257" s="198">
        <v>2361</v>
      </c>
      <c r="AM257" s="198">
        <v>0.8154428819381528</v>
      </c>
      <c r="AN257" s="198">
        <v>168</v>
      </c>
      <c r="AO257" s="198">
        <v>0.035014589412255104</v>
      </c>
      <c r="AP257" s="198">
        <v>0.03329104580660188</v>
      </c>
      <c r="AQ257" s="198">
        <v>0</v>
      </c>
      <c r="AR257" s="198">
        <v>6</v>
      </c>
      <c r="AS257" s="198">
        <v>0</v>
      </c>
      <c r="AT257" s="198">
        <v>1</v>
      </c>
      <c r="AU257" s="198">
        <v>345.13</v>
      </c>
      <c r="AV257" s="198">
        <v>13.902007939037464</v>
      </c>
      <c r="AW257" s="198">
        <v>1.2949533168031466</v>
      </c>
      <c r="AX257" s="198">
        <v>146</v>
      </c>
      <c r="AY257" s="198">
        <v>1554</v>
      </c>
      <c r="AZ257" s="198">
        <v>0.09395109395109395</v>
      </c>
      <c r="BA257" s="198">
        <v>0.030262235255441777</v>
      </c>
      <c r="BB257" s="198">
        <v>0</v>
      </c>
      <c r="BC257" s="198">
        <v>987</v>
      </c>
      <c r="BD257" s="198">
        <v>2073</v>
      </c>
      <c r="BE257" s="198">
        <v>0.4761215629522431</v>
      </c>
      <c r="BF257" s="198">
        <v>0.04648270865585458</v>
      </c>
      <c r="BG257" s="198">
        <v>0</v>
      </c>
      <c r="BH257" s="198">
        <v>0</v>
      </c>
      <c r="BI257" s="198">
        <v>-479.8</v>
      </c>
      <c r="BJ257" s="198">
        <v>-1151.52</v>
      </c>
      <c r="BK257" s="198">
        <v>-19671.8</v>
      </c>
      <c r="BL257" s="198">
        <v>-1775.26</v>
      </c>
      <c r="BM257" s="198">
        <v>-25573.34</v>
      </c>
      <c r="BN257" s="198">
        <v>-575.76</v>
      </c>
      <c r="BO257" s="198">
        <v>-95390</v>
      </c>
      <c r="BP257" s="198">
        <v>49043.06950616464</v>
      </c>
      <c r="BQ257" s="198">
        <v>361432</v>
      </c>
      <c r="BR257" s="198">
        <v>117092</v>
      </c>
      <c r="BS257" s="198">
        <v>229111.4160647514</v>
      </c>
      <c r="BT257" s="198">
        <v>6495.438585251213</v>
      </c>
      <c r="BU257" s="198">
        <v>6379.841051341545</v>
      </c>
      <c r="BV257" s="198">
        <v>104989.19278325992</v>
      </c>
      <c r="BW257" s="198">
        <v>219095.04965707142</v>
      </c>
      <c r="BX257" s="198">
        <v>431.82</v>
      </c>
      <c r="BY257" s="198">
        <v>13756.608089920519</v>
      </c>
      <c r="BZ257" s="198">
        <v>1012436.4357377605</v>
      </c>
      <c r="CA257" s="198">
        <v>921610.2957377605</v>
      </c>
      <c r="CB257" s="198">
        <v>0</v>
      </c>
      <c r="CC257" s="232">
        <v>840668.3760000018</v>
      </c>
      <c r="CD257" s="198">
        <v>-934386</v>
      </c>
      <c r="CE257" s="198">
        <v>-203920.82992</v>
      </c>
      <c r="CH257" s="198">
        <v>4826</v>
      </c>
    </row>
    <row r="258" spans="1:86" ht="11.25">
      <c r="A258" s="198">
        <v>832</v>
      </c>
      <c r="B258" s="198" t="s">
        <v>333</v>
      </c>
      <c r="C258" s="198">
        <v>4231</v>
      </c>
      <c r="D258" s="198">
        <v>15051355.1</v>
      </c>
      <c r="E258" s="198">
        <v>7332264.706284724</v>
      </c>
      <c r="F258" s="198">
        <v>2448148.38013887</v>
      </c>
      <c r="G258" s="198">
        <v>24831768.186423596</v>
      </c>
      <c r="H258" s="198">
        <v>3642.26</v>
      </c>
      <c r="I258" s="198">
        <v>15410402.06</v>
      </c>
      <c r="J258" s="198">
        <v>9421366.126423595</v>
      </c>
      <c r="K258" s="198">
        <v>4326304.69355655</v>
      </c>
      <c r="L258" s="198">
        <v>1146740.6929390612</v>
      </c>
      <c r="M258" s="198">
        <v>0</v>
      </c>
      <c r="N258" s="198">
        <v>14894411.512919206</v>
      </c>
      <c r="O258" s="198">
        <v>4044314.615512196</v>
      </c>
      <c r="P258" s="198">
        <v>18938726.128431402</v>
      </c>
      <c r="Q258" s="198">
        <v>239</v>
      </c>
      <c r="R258" s="198">
        <v>45</v>
      </c>
      <c r="S258" s="198">
        <v>275</v>
      </c>
      <c r="T258" s="198">
        <v>156</v>
      </c>
      <c r="U258" s="198">
        <v>182</v>
      </c>
      <c r="V258" s="198">
        <v>2306</v>
      </c>
      <c r="W258" s="198">
        <v>568</v>
      </c>
      <c r="X258" s="198">
        <v>361</v>
      </c>
      <c r="Y258" s="198">
        <v>99</v>
      </c>
      <c r="Z258" s="198">
        <v>4188</v>
      </c>
      <c r="AA258" s="198">
        <v>1</v>
      </c>
      <c r="AB258" s="198">
        <v>0</v>
      </c>
      <c r="AC258" s="198">
        <v>42</v>
      </c>
      <c r="AD258" s="198">
        <v>2438.03</v>
      </c>
      <c r="AE258" s="198">
        <v>1.7354175297268695</v>
      </c>
      <c r="AF258" s="198">
        <v>1028</v>
      </c>
      <c r="AG258" s="198">
        <v>7332264.706284724</v>
      </c>
      <c r="AH258" s="198">
        <v>4193078.1525861113</v>
      </c>
      <c r="AI258" s="198">
        <v>1931996.116922162</v>
      </c>
      <c r="AJ258" s="198">
        <v>1207190.4367764504</v>
      </c>
      <c r="AK258" s="198">
        <v>293</v>
      </c>
      <c r="AL258" s="198">
        <v>1729</v>
      </c>
      <c r="AM258" s="198">
        <v>1.3594114342755974</v>
      </c>
      <c r="AN258" s="198">
        <v>42</v>
      </c>
      <c r="AO258" s="198">
        <v>0.009926731269203497</v>
      </c>
      <c r="AP258" s="198">
        <v>0.008203187663550274</v>
      </c>
      <c r="AQ258" s="198">
        <v>0</v>
      </c>
      <c r="AR258" s="198">
        <v>1</v>
      </c>
      <c r="AS258" s="198">
        <v>0</v>
      </c>
      <c r="AT258" s="198">
        <v>0</v>
      </c>
      <c r="AU258" s="198">
        <v>2438.03</v>
      </c>
      <c r="AV258" s="198">
        <v>1.7354175297268695</v>
      </c>
      <c r="AW258" s="198">
        <v>10.373556209100629</v>
      </c>
      <c r="AX258" s="198">
        <v>151</v>
      </c>
      <c r="AY258" s="198">
        <v>1094</v>
      </c>
      <c r="AZ258" s="198">
        <v>0.1380255941499086</v>
      </c>
      <c r="BA258" s="198">
        <v>0.07433673545425641</v>
      </c>
      <c r="BB258" s="198">
        <v>1.58755</v>
      </c>
      <c r="BC258" s="198">
        <v>1285</v>
      </c>
      <c r="BD258" s="198">
        <v>1393</v>
      </c>
      <c r="BE258" s="198">
        <v>0.9224694903086863</v>
      </c>
      <c r="BF258" s="198">
        <v>0.49283063601229776</v>
      </c>
      <c r="BG258" s="198">
        <v>0</v>
      </c>
      <c r="BH258" s="198">
        <v>0</v>
      </c>
      <c r="BI258" s="198">
        <v>-423.1</v>
      </c>
      <c r="BJ258" s="198">
        <v>-1015.4399999999999</v>
      </c>
      <c r="BK258" s="198">
        <v>-17347.1</v>
      </c>
      <c r="BL258" s="198">
        <v>-1565.47</v>
      </c>
      <c r="BM258" s="198">
        <v>-22551.23</v>
      </c>
      <c r="BN258" s="198">
        <v>-507.71999999999997</v>
      </c>
      <c r="BO258" s="198">
        <v>37331</v>
      </c>
      <c r="BP258" s="198">
        <v>-89296.5146976132</v>
      </c>
      <c r="BQ258" s="198">
        <v>361995</v>
      </c>
      <c r="BR258" s="198">
        <v>112886</v>
      </c>
      <c r="BS258" s="198">
        <v>324994.3413430885</v>
      </c>
      <c r="BT258" s="198">
        <v>18626.552320533414</v>
      </c>
      <c r="BU258" s="198">
        <v>62107.23800001433</v>
      </c>
      <c r="BV258" s="198">
        <v>165073.91156183698</v>
      </c>
      <c r="BW258" s="198">
        <v>235151.9842997261</v>
      </c>
      <c r="BX258" s="198">
        <v>380.78999999999996</v>
      </c>
      <c r="BY258" s="198">
        <v>-2416.779888525016</v>
      </c>
      <c r="BZ258" s="198">
        <v>1226833.5229390613</v>
      </c>
      <c r="CA258" s="198">
        <v>1146740.6929390612</v>
      </c>
      <c r="CB258" s="198">
        <v>0</v>
      </c>
      <c r="CC258" s="232">
        <v>4044314.615512196</v>
      </c>
      <c r="CD258" s="198">
        <v>-185376</v>
      </c>
      <c r="CE258" s="198">
        <v>-65400.10984000002</v>
      </c>
      <c r="CH258" s="198">
        <v>4251</v>
      </c>
    </row>
    <row r="259" spans="1:86" ht="11.25">
      <c r="A259" s="198">
        <v>833</v>
      </c>
      <c r="B259" s="198" t="s">
        <v>334</v>
      </c>
      <c r="C259" s="198">
        <v>1645</v>
      </c>
      <c r="D259" s="198">
        <v>6311820.75</v>
      </c>
      <c r="E259" s="198">
        <v>2250984.7689515296</v>
      </c>
      <c r="F259" s="198">
        <v>455954.29323907965</v>
      </c>
      <c r="G259" s="198">
        <v>9018759.812190609</v>
      </c>
      <c r="H259" s="198">
        <v>3642.26</v>
      </c>
      <c r="I259" s="198">
        <v>5991517.7</v>
      </c>
      <c r="J259" s="198">
        <v>3027242.112190609</v>
      </c>
      <c r="K259" s="198">
        <v>35192.98832116856</v>
      </c>
      <c r="L259" s="198">
        <v>508637.6663337883</v>
      </c>
      <c r="M259" s="198">
        <v>355371.0623442494</v>
      </c>
      <c r="N259" s="198">
        <v>3926443.8291898146</v>
      </c>
      <c r="O259" s="198">
        <v>935681.7266000005</v>
      </c>
      <c r="P259" s="198">
        <v>4862125.555789815</v>
      </c>
      <c r="Q259" s="198">
        <v>97</v>
      </c>
      <c r="R259" s="198">
        <v>13</v>
      </c>
      <c r="S259" s="198">
        <v>89</v>
      </c>
      <c r="T259" s="198">
        <v>36</v>
      </c>
      <c r="U259" s="198">
        <v>31</v>
      </c>
      <c r="V259" s="198">
        <v>878</v>
      </c>
      <c r="W259" s="198">
        <v>258</v>
      </c>
      <c r="X259" s="198">
        <v>158</v>
      </c>
      <c r="Y259" s="198">
        <v>85</v>
      </c>
      <c r="Z259" s="198">
        <v>1569</v>
      </c>
      <c r="AA259" s="198">
        <v>10</v>
      </c>
      <c r="AB259" s="198">
        <v>0</v>
      </c>
      <c r="AC259" s="198">
        <v>66</v>
      </c>
      <c r="AD259" s="198">
        <v>140.32</v>
      </c>
      <c r="AE259" s="198">
        <v>11.723204104903079</v>
      </c>
      <c r="AF259" s="198">
        <v>501</v>
      </c>
      <c r="AG259" s="198">
        <v>2250984.7689515296</v>
      </c>
      <c r="AH259" s="198">
        <v>1211360.1025159163</v>
      </c>
      <c r="AI259" s="198">
        <v>787764.7911369294</v>
      </c>
      <c r="AJ259" s="198">
        <v>251859.87529868388</v>
      </c>
      <c r="AK259" s="198">
        <v>70</v>
      </c>
      <c r="AL259" s="198">
        <v>752</v>
      </c>
      <c r="AM259" s="198">
        <v>0.7467212161897081</v>
      </c>
      <c r="AN259" s="198">
        <v>66</v>
      </c>
      <c r="AO259" s="198">
        <v>0.04012158054711246</v>
      </c>
      <c r="AP259" s="198">
        <v>0.03839803694145924</v>
      </c>
      <c r="AQ259" s="198">
        <v>0</v>
      </c>
      <c r="AR259" s="198">
        <v>10</v>
      </c>
      <c r="AS259" s="198">
        <v>0</v>
      </c>
      <c r="AT259" s="198">
        <v>1</v>
      </c>
      <c r="AU259" s="198">
        <v>140.32</v>
      </c>
      <c r="AV259" s="198">
        <v>11.723204104903079</v>
      </c>
      <c r="AW259" s="198">
        <v>1.5356255107211643</v>
      </c>
      <c r="AX259" s="198">
        <v>107</v>
      </c>
      <c r="AY259" s="198">
        <v>448</v>
      </c>
      <c r="AZ259" s="198">
        <v>0.23883928571428573</v>
      </c>
      <c r="BA259" s="198">
        <v>0.17515042701863354</v>
      </c>
      <c r="BB259" s="198">
        <v>0</v>
      </c>
      <c r="BC259" s="198">
        <v>514</v>
      </c>
      <c r="BD259" s="198">
        <v>669</v>
      </c>
      <c r="BE259" s="198">
        <v>0.7683109118086696</v>
      </c>
      <c r="BF259" s="198">
        <v>0.3386720575122811</v>
      </c>
      <c r="BG259" s="198">
        <v>0</v>
      </c>
      <c r="BH259" s="198">
        <v>0</v>
      </c>
      <c r="BI259" s="198">
        <v>-164.5</v>
      </c>
      <c r="BJ259" s="198">
        <v>-394.8</v>
      </c>
      <c r="BK259" s="198">
        <v>-6744.499999999999</v>
      </c>
      <c r="BL259" s="198">
        <v>-608.65</v>
      </c>
      <c r="BM259" s="198">
        <v>-8767.85</v>
      </c>
      <c r="BN259" s="198">
        <v>-197.4</v>
      </c>
      <c r="BO259" s="198">
        <v>-6620</v>
      </c>
      <c r="BP259" s="198">
        <v>52289.58244882431</v>
      </c>
      <c r="BQ259" s="198">
        <v>179163</v>
      </c>
      <c r="BR259" s="198">
        <v>58959</v>
      </c>
      <c r="BS259" s="198">
        <v>133706.72651570296</v>
      </c>
      <c r="BT259" s="198">
        <v>7469.867713464751</v>
      </c>
      <c r="BU259" s="198">
        <v>-41419.51178332987</v>
      </c>
      <c r="BV259" s="198">
        <v>51137.76790523142</v>
      </c>
      <c r="BW259" s="198">
        <v>105151.27842583337</v>
      </c>
      <c r="BX259" s="198">
        <v>148.04999999999998</v>
      </c>
      <c r="BY259" s="198">
        <v>-208.244891938617</v>
      </c>
      <c r="BZ259" s="198">
        <v>539777.5163337883</v>
      </c>
      <c r="CA259" s="198">
        <v>508637.6663337883</v>
      </c>
      <c r="CB259" s="198">
        <v>355371.0623442494</v>
      </c>
      <c r="CC259" s="232">
        <v>935681.7266000005</v>
      </c>
      <c r="CD259" s="198">
        <v>-463622</v>
      </c>
      <c r="CE259" s="198">
        <v>243419.90616</v>
      </c>
      <c r="CH259" s="198">
        <v>1667</v>
      </c>
    </row>
    <row r="260" spans="1:86" ht="11.25">
      <c r="A260" s="198">
        <v>834</v>
      </c>
      <c r="B260" s="198" t="s">
        <v>335</v>
      </c>
      <c r="C260" s="198">
        <v>6395</v>
      </c>
      <c r="D260" s="198">
        <v>24148684.68</v>
      </c>
      <c r="E260" s="198">
        <v>7454306.340607392</v>
      </c>
      <c r="F260" s="198">
        <v>1147403.9072495468</v>
      </c>
      <c r="G260" s="198">
        <v>32750394.927856937</v>
      </c>
      <c r="H260" s="198">
        <v>3642.26</v>
      </c>
      <c r="I260" s="198">
        <v>23292252.700000003</v>
      </c>
      <c r="J260" s="198">
        <v>9458142.227856934</v>
      </c>
      <c r="K260" s="198">
        <v>85569.7402965694</v>
      </c>
      <c r="L260" s="198">
        <v>1554371.2383565095</v>
      </c>
      <c r="M260" s="198">
        <v>390142.48217607103</v>
      </c>
      <c r="N260" s="198">
        <v>11488225.688686084</v>
      </c>
      <c r="O260" s="198">
        <v>3276049.380410257</v>
      </c>
      <c r="P260" s="198">
        <v>14764275.069096342</v>
      </c>
      <c r="Q260" s="198">
        <v>378</v>
      </c>
      <c r="R260" s="198">
        <v>58</v>
      </c>
      <c r="S260" s="198">
        <v>475</v>
      </c>
      <c r="T260" s="198">
        <v>242</v>
      </c>
      <c r="U260" s="198">
        <v>245</v>
      </c>
      <c r="V260" s="198">
        <v>3528</v>
      </c>
      <c r="W260" s="198">
        <v>759</v>
      </c>
      <c r="X260" s="198">
        <v>486</v>
      </c>
      <c r="Y260" s="198">
        <v>224</v>
      </c>
      <c r="Z260" s="198">
        <v>6329</v>
      </c>
      <c r="AA260" s="198">
        <v>11</v>
      </c>
      <c r="AB260" s="198">
        <v>0</v>
      </c>
      <c r="AC260" s="198">
        <v>55</v>
      </c>
      <c r="AD260" s="198">
        <v>640.39</v>
      </c>
      <c r="AE260" s="198">
        <v>9.98610221896032</v>
      </c>
      <c r="AF260" s="198">
        <v>1469</v>
      </c>
      <c r="AG260" s="198">
        <v>7454306.340607392</v>
      </c>
      <c r="AH260" s="198">
        <v>4354829.473334445</v>
      </c>
      <c r="AI260" s="198">
        <v>2300473.124946087</v>
      </c>
      <c r="AJ260" s="198">
        <v>799003.7423268593</v>
      </c>
      <c r="AK260" s="198">
        <v>283</v>
      </c>
      <c r="AL260" s="198">
        <v>3006</v>
      </c>
      <c r="AM260" s="198">
        <v>0.755223944228823</v>
      </c>
      <c r="AN260" s="198">
        <v>55</v>
      </c>
      <c r="AO260" s="198">
        <v>0.008600469116497263</v>
      </c>
      <c r="AP260" s="198">
        <v>0.00687692551084404</v>
      </c>
      <c r="AQ260" s="198">
        <v>0</v>
      </c>
      <c r="AR260" s="198">
        <v>11</v>
      </c>
      <c r="AS260" s="198">
        <v>0</v>
      </c>
      <c r="AT260" s="198">
        <v>0</v>
      </c>
      <c r="AU260" s="198">
        <v>640.39</v>
      </c>
      <c r="AV260" s="198">
        <v>9.98610221896032</v>
      </c>
      <c r="AW260" s="198">
        <v>1.802750552332572</v>
      </c>
      <c r="AX260" s="198">
        <v>250</v>
      </c>
      <c r="AY260" s="198">
        <v>1969</v>
      </c>
      <c r="AZ260" s="198">
        <v>0.12696800406297612</v>
      </c>
      <c r="BA260" s="198">
        <v>0.06327914536732394</v>
      </c>
      <c r="BB260" s="198">
        <v>0</v>
      </c>
      <c r="BC260" s="198">
        <v>1705</v>
      </c>
      <c r="BD260" s="198">
        <v>2658</v>
      </c>
      <c r="BE260" s="198">
        <v>0.6414597441685478</v>
      </c>
      <c r="BF260" s="198">
        <v>0.21182088987215925</v>
      </c>
      <c r="BG260" s="198">
        <v>0</v>
      </c>
      <c r="BH260" s="198">
        <v>0</v>
      </c>
      <c r="BI260" s="198">
        <v>-639.5</v>
      </c>
      <c r="BJ260" s="198">
        <v>-1534.8</v>
      </c>
      <c r="BK260" s="198">
        <v>-26219.499999999996</v>
      </c>
      <c r="BL260" s="198">
        <v>-2366.15</v>
      </c>
      <c r="BM260" s="198">
        <v>-34085.35</v>
      </c>
      <c r="BN260" s="198">
        <v>-767.4</v>
      </c>
      <c r="BO260" s="198">
        <v>13353</v>
      </c>
      <c r="BP260" s="198">
        <v>-58251.34680543095</v>
      </c>
      <c r="BQ260" s="198">
        <v>558257</v>
      </c>
      <c r="BR260" s="198">
        <v>177901</v>
      </c>
      <c r="BS260" s="198">
        <v>413684.24193292833</v>
      </c>
      <c r="BT260" s="198">
        <v>17550.324334889014</v>
      </c>
      <c r="BU260" s="198">
        <v>43093.9583576853</v>
      </c>
      <c r="BV260" s="198">
        <v>174923.7953146916</v>
      </c>
      <c r="BW260" s="198">
        <v>333070.7708865067</v>
      </c>
      <c r="BX260" s="198">
        <v>575.55</v>
      </c>
      <c r="BY260" s="198">
        <v>1270.2943352398797</v>
      </c>
      <c r="BZ260" s="198">
        <v>1675428.5883565096</v>
      </c>
      <c r="CA260" s="198">
        <v>1554371.2383565095</v>
      </c>
      <c r="CB260" s="198">
        <v>390142.48217607103</v>
      </c>
      <c r="CC260" s="232">
        <v>3276049.380410257</v>
      </c>
      <c r="CD260" s="198">
        <v>-1788571</v>
      </c>
      <c r="CE260" s="198">
        <v>-84016.47774</v>
      </c>
      <c r="CH260" s="198">
        <v>6474</v>
      </c>
    </row>
    <row r="261" spans="1:86" ht="11.25">
      <c r="A261" s="198">
        <v>837</v>
      </c>
      <c r="B261" s="198" t="s">
        <v>336</v>
      </c>
      <c r="C261" s="198">
        <v>223004</v>
      </c>
      <c r="D261" s="198">
        <v>694468680.3800001</v>
      </c>
      <c r="E261" s="198">
        <v>243806211.2119305</v>
      </c>
      <c r="F261" s="198">
        <v>60104612.50064261</v>
      </c>
      <c r="G261" s="198">
        <v>998379504.0925733</v>
      </c>
      <c r="H261" s="198">
        <v>3642.26</v>
      </c>
      <c r="I261" s="198">
        <v>812238549.0400001</v>
      </c>
      <c r="J261" s="198">
        <v>186140955.0525732</v>
      </c>
      <c r="K261" s="198">
        <v>11320336.443980841</v>
      </c>
      <c r="L261" s="198">
        <v>51733356.89924891</v>
      </c>
      <c r="M261" s="198">
        <v>0</v>
      </c>
      <c r="N261" s="198">
        <v>249194648.39580297</v>
      </c>
      <c r="O261" s="198">
        <v>-4559867.553848918</v>
      </c>
      <c r="P261" s="198">
        <v>244634780.84195405</v>
      </c>
      <c r="Q261" s="198">
        <v>13827</v>
      </c>
      <c r="R261" s="198">
        <v>2114</v>
      </c>
      <c r="S261" s="198">
        <v>11039</v>
      </c>
      <c r="T261" s="198">
        <v>5357</v>
      </c>
      <c r="U261" s="198">
        <v>6236</v>
      </c>
      <c r="V261" s="198">
        <v>144181</v>
      </c>
      <c r="W261" s="198">
        <v>22408</v>
      </c>
      <c r="X261" s="198">
        <v>12652</v>
      </c>
      <c r="Y261" s="198">
        <v>5190</v>
      </c>
      <c r="Z261" s="198">
        <v>207190</v>
      </c>
      <c r="AA261" s="198">
        <v>1175</v>
      </c>
      <c r="AB261" s="198">
        <v>17</v>
      </c>
      <c r="AC261" s="198">
        <v>14622</v>
      </c>
      <c r="AD261" s="198">
        <v>525.01</v>
      </c>
      <c r="AE261" s="198">
        <v>424.7614331155597</v>
      </c>
      <c r="AF261" s="198">
        <v>40250</v>
      </c>
      <c r="AG261" s="198">
        <v>243806211.2119305</v>
      </c>
      <c r="AH261" s="198">
        <v>146848494.53739846</v>
      </c>
      <c r="AI261" s="198">
        <v>64285411.47199242</v>
      </c>
      <c r="AJ261" s="198">
        <v>32672305.202539615</v>
      </c>
      <c r="AK261" s="198">
        <v>18574</v>
      </c>
      <c r="AL261" s="198">
        <v>111936</v>
      </c>
      <c r="AM261" s="198">
        <v>1.3311100095296478</v>
      </c>
      <c r="AN261" s="198">
        <v>14622</v>
      </c>
      <c r="AO261" s="198">
        <v>0.0655683306129038</v>
      </c>
      <c r="AP261" s="198">
        <v>0.06384478700725058</v>
      </c>
      <c r="AQ261" s="198">
        <v>0</v>
      </c>
      <c r="AR261" s="198">
        <v>1175</v>
      </c>
      <c r="AS261" s="198">
        <v>17</v>
      </c>
      <c r="AT261" s="198">
        <v>0</v>
      </c>
      <c r="AU261" s="198">
        <v>525.01</v>
      </c>
      <c r="AV261" s="198">
        <v>424.7614331155597</v>
      </c>
      <c r="AW261" s="198">
        <v>0.042382499651239594</v>
      </c>
      <c r="AX261" s="198">
        <v>8385</v>
      </c>
      <c r="AY261" s="198">
        <v>71476</v>
      </c>
      <c r="AZ261" s="198">
        <v>0.11731210476243774</v>
      </c>
      <c r="BA261" s="198">
        <v>0.05362324606678556</v>
      </c>
      <c r="BB261" s="198">
        <v>0</v>
      </c>
      <c r="BC261" s="198">
        <v>116750</v>
      </c>
      <c r="BD261" s="198">
        <v>94670</v>
      </c>
      <c r="BE261" s="198">
        <v>1.233231224252667</v>
      </c>
      <c r="BF261" s="198">
        <v>0.8035923699562786</v>
      </c>
      <c r="BG261" s="198">
        <v>0</v>
      </c>
      <c r="BH261" s="198">
        <v>17</v>
      </c>
      <c r="BI261" s="198">
        <v>-22300.4</v>
      </c>
      <c r="BJ261" s="198">
        <v>-53520.96</v>
      </c>
      <c r="BK261" s="198">
        <v>-914316.3999999999</v>
      </c>
      <c r="BL261" s="198">
        <v>-82511.48</v>
      </c>
      <c r="BM261" s="198">
        <v>-1188611.32</v>
      </c>
      <c r="BN261" s="198">
        <v>-26760.48</v>
      </c>
      <c r="BO261" s="198">
        <v>4140309</v>
      </c>
      <c r="BP261" s="198">
        <v>-219126.7658828497</v>
      </c>
      <c r="BQ261" s="198">
        <v>13723734</v>
      </c>
      <c r="BR261" s="198">
        <v>5251644</v>
      </c>
      <c r="BS261" s="198">
        <v>13128326.768248945</v>
      </c>
      <c r="BT261" s="198">
        <v>597364.1453218474</v>
      </c>
      <c r="BU261" s="198">
        <v>244723.63482833534</v>
      </c>
      <c r="BV261" s="198">
        <v>5254837.725761974</v>
      </c>
      <c r="BW261" s="198">
        <v>11520898.616246259</v>
      </c>
      <c r="BX261" s="198">
        <v>20070.36</v>
      </c>
      <c r="BY261" s="198">
        <v>2292041.1347244014</v>
      </c>
      <c r="BZ261" s="198">
        <v>55954822.61924891</v>
      </c>
      <c r="CA261" s="198">
        <v>51733356.89924891</v>
      </c>
      <c r="CB261" s="198">
        <v>0</v>
      </c>
      <c r="CC261" s="232">
        <v>-4559867.553848918</v>
      </c>
      <c r="CD261" s="198">
        <v>69637863</v>
      </c>
      <c r="CE261" s="198">
        <v>-9542720.299732</v>
      </c>
      <c r="CH261" s="198">
        <v>220446</v>
      </c>
    </row>
    <row r="262" spans="1:86" ht="11.25">
      <c r="A262" s="198">
        <v>844</v>
      </c>
      <c r="B262" s="198" t="s">
        <v>337</v>
      </c>
      <c r="C262" s="198">
        <v>1627</v>
      </c>
      <c r="D262" s="198">
        <v>5820993.11</v>
      </c>
      <c r="E262" s="198">
        <v>3368640.167927297</v>
      </c>
      <c r="F262" s="198">
        <v>454894.89563033154</v>
      </c>
      <c r="G262" s="198">
        <v>9644528.17355763</v>
      </c>
      <c r="H262" s="198">
        <v>3642.26</v>
      </c>
      <c r="I262" s="198">
        <v>5925957.0200000005</v>
      </c>
      <c r="J262" s="198">
        <v>3718571.1535576293</v>
      </c>
      <c r="K262" s="198">
        <v>194204.29041832464</v>
      </c>
      <c r="L262" s="198">
        <v>608114.2058236982</v>
      </c>
      <c r="M262" s="198">
        <v>331388.87083248975</v>
      </c>
      <c r="N262" s="198">
        <v>4852278.520632142</v>
      </c>
      <c r="O262" s="198">
        <v>1751461.2480000001</v>
      </c>
      <c r="P262" s="198">
        <v>6603739.768632142</v>
      </c>
      <c r="Q262" s="198">
        <v>46</v>
      </c>
      <c r="R262" s="198">
        <v>7</v>
      </c>
      <c r="S262" s="198">
        <v>69</v>
      </c>
      <c r="T262" s="198">
        <v>49</v>
      </c>
      <c r="U262" s="198">
        <v>44</v>
      </c>
      <c r="V262" s="198">
        <v>907</v>
      </c>
      <c r="W262" s="198">
        <v>242</v>
      </c>
      <c r="X262" s="198">
        <v>191</v>
      </c>
      <c r="Y262" s="198">
        <v>72</v>
      </c>
      <c r="Z262" s="198">
        <v>1609</v>
      </c>
      <c r="AA262" s="198">
        <v>1</v>
      </c>
      <c r="AB262" s="198">
        <v>0</v>
      </c>
      <c r="AC262" s="198">
        <v>17</v>
      </c>
      <c r="AD262" s="198">
        <v>347.73</v>
      </c>
      <c r="AE262" s="198">
        <v>4.678917550973456</v>
      </c>
      <c r="AF262" s="198">
        <v>505</v>
      </c>
      <c r="AG262" s="198">
        <v>3368640.167927297</v>
      </c>
      <c r="AH262" s="198">
        <v>2069778.6277678004</v>
      </c>
      <c r="AI262" s="198">
        <v>977523.0785715203</v>
      </c>
      <c r="AJ262" s="198">
        <v>321338.46158797597</v>
      </c>
      <c r="AK262" s="198">
        <v>79</v>
      </c>
      <c r="AL262" s="198">
        <v>701</v>
      </c>
      <c r="AM262" s="198">
        <v>0.9040394133156345</v>
      </c>
      <c r="AN262" s="198">
        <v>17</v>
      </c>
      <c r="AO262" s="198">
        <v>0.010448678549477565</v>
      </c>
      <c r="AP262" s="198">
        <v>0.008725134943824342</v>
      </c>
      <c r="AQ262" s="198">
        <v>0</v>
      </c>
      <c r="AR262" s="198">
        <v>1</v>
      </c>
      <c r="AS262" s="198">
        <v>0</v>
      </c>
      <c r="AT262" s="198">
        <v>1</v>
      </c>
      <c r="AU262" s="198">
        <v>347.73</v>
      </c>
      <c r="AV262" s="198">
        <v>4.678917550973456</v>
      </c>
      <c r="AW262" s="198">
        <v>3.8475675398757136</v>
      </c>
      <c r="AX262" s="198">
        <v>55</v>
      </c>
      <c r="AY262" s="198">
        <v>413</v>
      </c>
      <c r="AZ262" s="198">
        <v>0.13317191283292978</v>
      </c>
      <c r="BA262" s="198">
        <v>0.06948305413727761</v>
      </c>
      <c r="BB262" s="198">
        <v>0.501</v>
      </c>
      <c r="BC262" s="198">
        <v>413</v>
      </c>
      <c r="BD262" s="198">
        <v>618</v>
      </c>
      <c r="BE262" s="198">
        <v>0.6682847896440129</v>
      </c>
      <c r="BF262" s="198">
        <v>0.2386459353476244</v>
      </c>
      <c r="BG262" s="198">
        <v>0</v>
      </c>
      <c r="BH262" s="198">
        <v>0</v>
      </c>
      <c r="BI262" s="198">
        <v>-162.70000000000002</v>
      </c>
      <c r="BJ262" s="198">
        <v>-390.47999999999996</v>
      </c>
      <c r="BK262" s="198">
        <v>-6670.7</v>
      </c>
      <c r="BL262" s="198">
        <v>-601.99</v>
      </c>
      <c r="BM262" s="198">
        <v>-8671.91</v>
      </c>
      <c r="BN262" s="198">
        <v>-195.23999999999998</v>
      </c>
      <c r="BO262" s="198">
        <v>-222</v>
      </c>
      <c r="BP262" s="198">
        <v>18330.843079575337</v>
      </c>
      <c r="BQ262" s="198">
        <v>196111</v>
      </c>
      <c r="BR262" s="198">
        <v>61656</v>
      </c>
      <c r="BS262" s="198">
        <v>159282.21211564902</v>
      </c>
      <c r="BT262" s="198">
        <v>9219.493380649346</v>
      </c>
      <c r="BU262" s="198">
        <v>30583.410181686584</v>
      </c>
      <c r="BV262" s="198">
        <v>62866.85584053083</v>
      </c>
      <c r="BW262" s="198">
        <v>103745.81213916861</v>
      </c>
      <c r="BX262" s="198">
        <v>146.43</v>
      </c>
      <c r="BY262" s="198">
        <v>-2806.740913561651</v>
      </c>
      <c r="BZ262" s="198">
        <v>638913.3158236982</v>
      </c>
      <c r="CA262" s="198">
        <v>608114.2058236982</v>
      </c>
      <c r="CB262" s="198">
        <v>331388.87083248975</v>
      </c>
      <c r="CC262" s="232">
        <v>1751461.2480000001</v>
      </c>
      <c r="CD262" s="198">
        <v>-410429</v>
      </c>
      <c r="CE262" s="198">
        <v>8716.694000000007</v>
      </c>
      <c r="CH262" s="198">
        <v>1669</v>
      </c>
    </row>
    <row r="263" spans="1:86" ht="11.25">
      <c r="A263" s="198">
        <v>845</v>
      </c>
      <c r="B263" s="198" t="s">
        <v>338</v>
      </c>
      <c r="C263" s="198">
        <v>3239</v>
      </c>
      <c r="D263" s="198">
        <v>13103734.95</v>
      </c>
      <c r="E263" s="198">
        <v>4388705.453451303</v>
      </c>
      <c r="F263" s="198">
        <v>1643571.7586174305</v>
      </c>
      <c r="G263" s="198">
        <v>19136012.162068732</v>
      </c>
      <c r="H263" s="198">
        <v>3642.26</v>
      </c>
      <c r="I263" s="198">
        <v>11797280.14</v>
      </c>
      <c r="J263" s="198">
        <v>7338732.0220687315</v>
      </c>
      <c r="K263" s="198">
        <v>567644.784014599</v>
      </c>
      <c r="L263" s="198">
        <v>1084424.8390591631</v>
      </c>
      <c r="M263" s="198">
        <v>442424.7356257401</v>
      </c>
      <c r="N263" s="198">
        <v>9433226.380768234</v>
      </c>
      <c r="O263" s="198">
        <v>2382860.6084102555</v>
      </c>
      <c r="P263" s="198">
        <v>11816086.98917849</v>
      </c>
      <c r="Q263" s="198">
        <v>196</v>
      </c>
      <c r="R263" s="198">
        <v>26</v>
      </c>
      <c r="S263" s="198">
        <v>195</v>
      </c>
      <c r="T263" s="198">
        <v>120</v>
      </c>
      <c r="U263" s="198">
        <v>126</v>
      </c>
      <c r="V263" s="198">
        <v>1663</v>
      </c>
      <c r="W263" s="198">
        <v>436</v>
      </c>
      <c r="X263" s="198">
        <v>323</v>
      </c>
      <c r="Y263" s="198">
        <v>154</v>
      </c>
      <c r="Z263" s="198">
        <v>3209</v>
      </c>
      <c r="AA263" s="198">
        <v>3</v>
      </c>
      <c r="AB263" s="198">
        <v>2</v>
      </c>
      <c r="AC263" s="198">
        <v>25</v>
      </c>
      <c r="AD263" s="198">
        <v>1559.72</v>
      </c>
      <c r="AE263" s="198">
        <v>2.0766547841920344</v>
      </c>
      <c r="AF263" s="198">
        <v>913</v>
      </c>
      <c r="AG263" s="198">
        <v>4388705.453451303</v>
      </c>
      <c r="AH263" s="198">
        <v>2651718.6522841565</v>
      </c>
      <c r="AI263" s="198">
        <v>1233267.0505697783</v>
      </c>
      <c r="AJ263" s="198">
        <v>503719.7505973678</v>
      </c>
      <c r="AK263" s="198">
        <v>228</v>
      </c>
      <c r="AL263" s="198">
        <v>1322</v>
      </c>
      <c r="AM263" s="198">
        <v>1.38350802726413</v>
      </c>
      <c r="AN263" s="198">
        <v>25</v>
      </c>
      <c r="AO263" s="198">
        <v>0.007718431614695894</v>
      </c>
      <c r="AP263" s="198">
        <v>0.0059948880090426706</v>
      </c>
      <c r="AQ263" s="198">
        <v>0</v>
      </c>
      <c r="AR263" s="198">
        <v>3</v>
      </c>
      <c r="AS263" s="198">
        <v>2</v>
      </c>
      <c r="AT263" s="198">
        <v>0</v>
      </c>
      <c r="AU263" s="198">
        <v>1559.72</v>
      </c>
      <c r="AV263" s="198">
        <v>2.0766547841920344</v>
      </c>
      <c r="AW263" s="198">
        <v>8.668966757459627</v>
      </c>
      <c r="AX263" s="198">
        <v>113</v>
      </c>
      <c r="AY263" s="198">
        <v>847</v>
      </c>
      <c r="AZ263" s="198">
        <v>0.1334120425029516</v>
      </c>
      <c r="BA263" s="198">
        <v>0.06972318380729943</v>
      </c>
      <c r="BB263" s="198">
        <v>0.6808666666666666</v>
      </c>
      <c r="BC263" s="198">
        <v>1041</v>
      </c>
      <c r="BD263" s="198">
        <v>1084</v>
      </c>
      <c r="BE263" s="198">
        <v>0.9603321033210332</v>
      </c>
      <c r="BF263" s="198">
        <v>0.5306932490246448</v>
      </c>
      <c r="BG263" s="198">
        <v>0</v>
      </c>
      <c r="BH263" s="198">
        <v>2</v>
      </c>
      <c r="BI263" s="198">
        <v>-323.90000000000003</v>
      </c>
      <c r="BJ263" s="198">
        <v>-777.36</v>
      </c>
      <c r="BK263" s="198">
        <v>-13279.9</v>
      </c>
      <c r="BL263" s="198">
        <v>-1198.43</v>
      </c>
      <c r="BM263" s="198">
        <v>-17263.87</v>
      </c>
      <c r="BN263" s="198">
        <v>-388.68</v>
      </c>
      <c r="BO263" s="198">
        <v>111673</v>
      </c>
      <c r="BP263" s="198">
        <v>88313.80101642758</v>
      </c>
      <c r="BQ263" s="198">
        <v>301511</v>
      </c>
      <c r="BR263" s="198">
        <v>94788</v>
      </c>
      <c r="BS263" s="198">
        <v>235943.08993165064</v>
      </c>
      <c r="BT263" s="198">
        <v>13005.778783737596</v>
      </c>
      <c r="BU263" s="198">
        <v>42326.72978797646</v>
      </c>
      <c r="BV263" s="198">
        <v>107710.18747200553</v>
      </c>
      <c r="BW263" s="198">
        <v>154345.7901450206</v>
      </c>
      <c r="BX263" s="198">
        <v>291.51</v>
      </c>
      <c r="BY263" s="198">
        <v>-4169.778077655308</v>
      </c>
      <c r="BZ263" s="198">
        <v>1145739.1090591631</v>
      </c>
      <c r="CA263" s="198">
        <v>1084424.8390591631</v>
      </c>
      <c r="CB263" s="198">
        <v>442424.7356257401</v>
      </c>
      <c r="CC263" s="232">
        <v>2382860.6084102555</v>
      </c>
      <c r="CD263" s="198">
        <v>-299171</v>
      </c>
      <c r="CE263" s="198">
        <v>34866.776000000005</v>
      </c>
      <c r="CH263" s="198">
        <v>3306</v>
      </c>
    </row>
    <row r="264" spans="1:86" ht="11.25">
      <c r="A264" s="198">
        <v>846</v>
      </c>
      <c r="B264" s="198" t="s">
        <v>339</v>
      </c>
      <c r="C264" s="198">
        <v>5543</v>
      </c>
      <c r="D264" s="198">
        <v>22123278.669999998</v>
      </c>
      <c r="E264" s="198">
        <v>8917575.389905468</v>
      </c>
      <c r="F264" s="198">
        <v>1121022.1424925723</v>
      </c>
      <c r="G264" s="198">
        <v>32161876.20239804</v>
      </c>
      <c r="H264" s="198">
        <v>3642.26</v>
      </c>
      <c r="I264" s="198">
        <v>20189047.18</v>
      </c>
      <c r="J264" s="198">
        <v>11972829.02239804</v>
      </c>
      <c r="K264" s="198">
        <v>171206.02384195608</v>
      </c>
      <c r="L264" s="198">
        <v>1690658.511383176</v>
      </c>
      <c r="M264" s="198">
        <v>0</v>
      </c>
      <c r="N264" s="198">
        <v>13834693.557623172</v>
      </c>
      <c r="O264" s="198">
        <v>4934832.779909093</v>
      </c>
      <c r="P264" s="198">
        <v>18769526.337532267</v>
      </c>
      <c r="Q264" s="198">
        <v>320</v>
      </c>
      <c r="R264" s="198">
        <v>60</v>
      </c>
      <c r="S264" s="198">
        <v>332</v>
      </c>
      <c r="T264" s="198">
        <v>181</v>
      </c>
      <c r="U264" s="198">
        <v>189</v>
      </c>
      <c r="V264" s="198">
        <v>2828</v>
      </c>
      <c r="W264" s="198">
        <v>802</v>
      </c>
      <c r="X264" s="198">
        <v>572</v>
      </c>
      <c r="Y264" s="198">
        <v>259</v>
      </c>
      <c r="Z264" s="198">
        <v>5448</v>
      </c>
      <c r="AA264" s="198">
        <v>33</v>
      </c>
      <c r="AB264" s="198">
        <v>0</v>
      </c>
      <c r="AC264" s="198">
        <v>62</v>
      </c>
      <c r="AD264" s="198">
        <v>554.7</v>
      </c>
      <c r="AE264" s="198">
        <v>9.992788894898142</v>
      </c>
      <c r="AF264" s="198">
        <v>1633</v>
      </c>
      <c r="AG264" s="198">
        <v>8917575.389905468</v>
      </c>
      <c r="AH264" s="198">
        <v>4995810.195357694</v>
      </c>
      <c r="AI264" s="198">
        <v>3088022.1590762683</v>
      </c>
      <c r="AJ264" s="198">
        <v>833743.0354715053</v>
      </c>
      <c r="AK264" s="198">
        <v>267</v>
      </c>
      <c r="AL264" s="198">
        <v>2432</v>
      </c>
      <c r="AM264" s="198">
        <v>0.8806959155981812</v>
      </c>
      <c r="AN264" s="198">
        <v>62</v>
      </c>
      <c r="AO264" s="198">
        <v>0.011185278729929641</v>
      </c>
      <c r="AP264" s="198">
        <v>0.009461735124276418</v>
      </c>
      <c r="AQ264" s="198">
        <v>0</v>
      </c>
      <c r="AR264" s="198">
        <v>33</v>
      </c>
      <c r="AS264" s="198">
        <v>0</v>
      </c>
      <c r="AT264" s="198">
        <v>0</v>
      </c>
      <c r="AU264" s="198">
        <v>554.7</v>
      </c>
      <c r="AV264" s="198">
        <v>9.992788894898142</v>
      </c>
      <c r="AW264" s="198">
        <v>1.8015442415751888</v>
      </c>
      <c r="AX264" s="198">
        <v>205</v>
      </c>
      <c r="AY264" s="198">
        <v>1441</v>
      </c>
      <c r="AZ264" s="198">
        <v>0.14226231783483692</v>
      </c>
      <c r="BA264" s="198">
        <v>0.07857345913918475</v>
      </c>
      <c r="BB264" s="198">
        <v>0</v>
      </c>
      <c r="BC264" s="198">
        <v>1873</v>
      </c>
      <c r="BD264" s="198">
        <v>2039</v>
      </c>
      <c r="BE264" s="198">
        <v>0.9185875429131928</v>
      </c>
      <c r="BF264" s="198">
        <v>0.48894868861680424</v>
      </c>
      <c r="BG264" s="198">
        <v>0</v>
      </c>
      <c r="BH264" s="198">
        <v>0</v>
      </c>
      <c r="BI264" s="198">
        <v>-554.3000000000001</v>
      </c>
      <c r="BJ264" s="198">
        <v>-1330.32</v>
      </c>
      <c r="BK264" s="198">
        <v>-22726.3</v>
      </c>
      <c r="BL264" s="198">
        <v>-2050.91</v>
      </c>
      <c r="BM264" s="198">
        <v>-29544.19</v>
      </c>
      <c r="BN264" s="198">
        <v>-665.16</v>
      </c>
      <c r="BO264" s="198">
        <v>-115215</v>
      </c>
      <c r="BP264" s="198">
        <v>62084.1270564124</v>
      </c>
      <c r="BQ264" s="198">
        <v>576996</v>
      </c>
      <c r="BR264" s="198">
        <v>180373</v>
      </c>
      <c r="BS264" s="198">
        <v>473410.9224047523</v>
      </c>
      <c r="BT264" s="198">
        <v>25183.388047769105</v>
      </c>
      <c r="BU264" s="198">
        <v>43857.31872270107</v>
      </c>
      <c r="BV264" s="198">
        <v>222955.8629928093</v>
      </c>
      <c r="BW264" s="198">
        <v>322550.1007563288</v>
      </c>
      <c r="BX264" s="198">
        <v>498.87</v>
      </c>
      <c r="BY264" s="198">
        <v>2892.911402402562</v>
      </c>
      <c r="BZ264" s="198">
        <v>1795587.501383176</v>
      </c>
      <c r="CA264" s="198">
        <v>1690658.511383176</v>
      </c>
      <c r="CB264" s="198">
        <v>0</v>
      </c>
      <c r="CC264" s="232">
        <v>4934832.779909093</v>
      </c>
      <c r="CD264" s="198">
        <v>-556778</v>
      </c>
      <c r="CE264" s="198">
        <v>203821.21056000004</v>
      </c>
      <c r="CH264" s="198">
        <v>5656</v>
      </c>
    </row>
    <row r="265" spans="1:86" ht="11.25">
      <c r="A265" s="198">
        <v>848</v>
      </c>
      <c r="B265" s="198" t="s">
        <v>340</v>
      </c>
      <c r="C265" s="198">
        <v>4794</v>
      </c>
      <c r="D265" s="198">
        <v>17410902.21</v>
      </c>
      <c r="E265" s="198">
        <v>8460659.452057298</v>
      </c>
      <c r="F265" s="198">
        <v>1882678.9549868964</v>
      </c>
      <c r="G265" s="198">
        <v>27754240.617044196</v>
      </c>
      <c r="H265" s="198">
        <v>3642.26</v>
      </c>
      <c r="I265" s="198">
        <v>17460994.44</v>
      </c>
      <c r="J265" s="198">
        <v>10293246.177044194</v>
      </c>
      <c r="K265" s="198">
        <v>261859.56396509544</v>
      </c>
      <c r="L265" s="198">
        <v>2018330.8196546123</v>
      </c>
      <c r="M265" s="198">
        <v>-532386.9670767616</v>
      </c>
      <c r="N265" s="198">
        <v>12041049.59358714</v>
      </c>
      <c r="O265" s="198">
        <v>4492301.056</v>
      </c>
      <c r="P265" s="198">
        <v>16533350.64958714</v>
      </c>
      <c r="Q265" s="198">
        <v>249</v>
      </c>
      <c r="R265" s="198">
        <v>43</v>
      </c>
      <c r="S265" s="198">
        <v>242</v>
      </c>
      <c r="T265" s="198">
        <v>182</v>
      </c>
      <c r="U265" s="198">
        <v>143</v>
      </c>
      <c r="V265" s="198">
        <v>2612</v>
      </c>
      <c r="W265" s="198">
        <v>743</v>
      </c>
      <c r="X265" s="198">
        <v>412</v>
      </c>
      <c r="Y265" s="198">
        <v>168</v>
      </c>
      <c r="Z265" s="198">
        <v>4564</v>
      </c>
      <c r="AA265" s="198">
        <v>4</v>
      </c>
      <c r="AB265" s="198">
        <v>1</v>
      </c>
      <c r="AC265" s="198">
        <v>225</v>
      </c>
      <c r="AD265" s="198">
        <v>837.73</v>
      </c>
      <c r="AE265" s="198">
        <v>5.722607522710181</v>
      </c>
      <c r="AF265" s="198">
        <v>1323</v>
      </c>
      <c r="AG265" s="198">
        <v>8460659.452057298</v>
      </c>
      <c r="AH265" s="198">
        <v>4813054.324200123</v>
      </c>
      <c r="AI265" s="198">
        <v>2883340.678674963</v>
      </c>
      <c r="AJ265" s="198">
        <v>764264.4491822132</v>
      </c>
      <c r="AK265" s="198">
        <v>393</v>
      </c>
      <c r="AL265" s="198">
        <v>2074</v>
      </c>
      <c r="AM265" s="198">
        <v>1.520064756494294</v>
      </c>
      <c r="AN265" s="198">
        <v>225</v>
      </c>
      <c r="AO265" s="198">
        <v>0.04693366708385482</v>
      </c>
      <c r="AP265" s="198">
        <v>0.045210123478201594</v>
      </c>
      <c r="AQ265" s="198">
        <v>0</v>
      </c>
      <c r="AR265" s="198">
        <v>4</v>
      </c>
      <c r="AS265" s="198">
        <v>1</v>
      </c>
      <c r="AT265" s="198">
        <v>0</v>
      </c>
      <c r="AU265" s="198">
        <v>837.73</v>
      </c>
      <c r="AV265" s="198">
        <v>5.722607522710181</v>
      </c>
      <c r="AW265" s="198">
        <v>3.1458476261804558</v>
      </c>
      <c r="AX265" s="198">
        <v>226</v>
      </c>
      <c r="AY265" s="198">
        <v>1365</v>
      </c>
      <c r="AZ265" s="198">
        <v>0.16556776556776556</v>
      </c>
      <c r="BA265" s="198">
        <v>0.10187890687211339</v>
      </c>
      <c r="BB265" s="198">
        <v>0.13425</v>
      </c>
      <c r="BC265" s="198">
        <v>1404</v>
      </c>
      <c r="BD265" s="198">
        <v>1648</v>
      </c>
      <c r="BE265" s="198">
        <v>0.8519417475728155</v>
      </c>
      <c r="BF265" s="198">
        <v>0.42230289327642695</v>
      </c>
      <c r="BG265" s="198">
        <v>0</v>
      </c>
      <c r="BH265" s="198">
        <v>1</v>
      </c>
      <c r="BI265" s="198">
        <v>-479.40000000000003</v>
      </c>
      <c r="BJ265" s="198">
        <v>-1150.56</v>
      </c>
      <c r="BK265" s="198">
        <v>-19655.399999999998</v>
      </c>
      <c r="BL265" s="198">
        <v>-1773.78</v>
      </c>
      <c r="BM265" s="198">
        <v>-25552.02</v>
      </c>
      <c r="BN265" s="198">
        <v>-575.28</v>
      </c>
      <c r="BO265" s="198">
        <v>296673</v>
      </c>
      <c r="BP265" s="198">
        <v>146059.5290362984</v>
      </c>
      <c r="BQ265" s="198">
        <v>488924</v>
      </c>
      <c r="BR265" s="198">
        <v>151458</v>
      </c>
      <c r="BS265" s="198">
        <v>407823.27488089685</v>
      </c>
      <c r="BT265" s="198">
        <v>23600.248029461156</v>
      </c>
      <c r="BU265" s="198">
        <v>70179.89737688669</v>
      </c>
      <c r="BV265" s="198">
        <v>178361.8782136875</v>
      </c>
      <c r="BW265" s="198">
        <v>267350.09734394046</v>
      </c>
      <c r="BX265" s="198">
        <v>431.46</v>
      </c>
      <c r="BY265" s="198">
        <v>78219.85477344132</v>
      </c>
      <c r="BZ265" s="198">
        <v>2109081.2396546123</v>
      </c>
      <c r="CA265" s="198">
        <v>2018330.8196546123</v>
      </c>
      <c r="CB265" s="198">
        <v>-532386.9670767616</v>
      </c>
      <c r="CC265" s="232">
        <v>4492301.056</v>
      </c>
      <c r="CD265" s="198">
        <v>380556</v>
      </c>
      <c r="CE265" s="198">
        <v>-14942.90400000001</v>
      </c>
      <c r="CH265" s="198">
        <v>4876</v>
      </c>
    </row>
    <row r="266" spans="1:86" ht="11.25">
      <c r="A266" s="198">
        <v>849</v>
      </c>
      <c r="B266" s="198" t="s">
        <v>341</v>
      </c>
      <c r="C266" s="198">
        <v>3354</v>
      </c>
      <c r="D266" s="198">
        <v>13365892.680000002</v>
      </c>
      <c r="E266" s="198">
        <v>4209527.285194024</v>
      </c>
      <c r="F266" s="198">
        <v>805647.2093417727</v>
      </c>
      <c r="G266" s="198">
        <v>18381067.174535796</v>
      </c>
      <c r="H266" s="198">
        <v>3642.26</v>
      </c>
      <c r="I266" s="198">
        <v>12216140.040000001</v>
      </c>
      <c r="J266" s="198">
        <v>6164927.134535795</v>
      </c>
      <c r="K266" s="198">
        <v>161076.71687563928</v>
      </c>
      <c r="L266" s="198">
        <v>949814.3687018771</v>
      </c>
      <c r="M266" s="198">
        <v>0</v>
      </c>
      <c r="N266" s="198">
        <v>7275818.220113311</v>
      </c>
      <c r="O266" s="198">
        <v>2783101.5937674437</v>
      </c>
      <c r="P266" s="198">
        <v>10058919.813880755</v>
      </c>
      <c r="Q266" s="198">
        <v>249</v>
      </c>
      <c r="R266" s="198">
        <v>48</v>
      </c>
      <c r="S266" s="198">
        <v>280</v>
      </c>
      <c r="T266" s="198">
        <v>129</v>
      </c>
      <c r="U266" s="198">
        <v>124</v>
      </c>
      <c r="V266" s="198">
        <v>1725</v>
      </c>
      <c r="W266" s="198">
        <v>432</v>
      </c>
      <c r="X266" s="198">
        <v>253</v>
      </c>
      <c r="Y266" s="198">
        <v>114</v>
      </c>
      <c r="Z266" s="198">
        <v>3306</v>
      </c>
      <c r="AA266" s="198">
        <v>2</v>
      </c>
      <c r="AB266" s="198">
        <v>0</v>
      </c>
      <c r="AC266" s="198">
        <v>46</v>
      </c>
      <c r="AD266" s="198">
        <v>608.43</v>
      </c>
      <c r="AE266" s="198">
        <v>5.512548690892954</v>
      </c>
      <c r="AF266" s="198">
        <v>799</v>
      </c>
      <c r="AG266" s="198">
        <v>4209527.285194024</v>
      </c>
      <c r="AH266" s="198">
        <v>2585936.959529649</v>
      </c>
      <c r="AI266" s="198">
        <v>1093816.1052085233</v>
      </c>
      <c r="AJ266" s="198">
        <v>529774.2204558523</v>
      </c>
      <c r="AK266" s="198">
        <v>108</v>
      </c>
      <c r="AL266" s="198">
        <v>1440</v>
      </c>
      <c r="AM266" s="198">
        <v>0.6016439513299934</v>
      </c>
      <c r="AN266" s="198">
        <v>46</v>
      </c>
      <c r="AO266" s="198">
        <v>0.013714967203339297</v>
      </c>
      <c r="AP266" s="198">
        <v>0.011991423597686074</v>
      </c>
      <c r="AQ266" s="198">
        <v>0</v>
      </c>
      <c r="AR266" s="198">
        <v>2</v>
      </c>
      <c r="AS266" s="198">
        <v>0</v>
      </c>
      <c r="AT266" s="198">
        <v>0</v>
      </c>
      <c r="AU266" s="198">
        <v>608.43</v>
      </c>
      <c r="AV266" s="198">
        <v>5.512548690892954</v>
      </c>
      <c r="AW266" s="198">
        <v>3.2657219555486776</v>
      </c>
      <c r="AX266" s="198">
        <v>128</v>
      </c>
      <c r="AY266" s="198">
        <v>891</v>
      </c>
      <c r="AZ266" s="198">
        <v>0.143658810325477</v>
      </c>
      <c r="BA266" s="198">
        <v>0.07996995162982483</v>
      </c>
      <c r="BB266" s="198">
        <v>0.07873333333333334</v>
      </c>
      <c r="BC266" s="198">
        <v>1204</v>
      </c>
      <c r="BD266" s="198">
        <v>1294</v>
      </c>
      <c r="BE266" s="198">
        <v>0.9304482225656878</v>
      </c>
      <c r="BF266" s="198">
        <v>0.5008093682692993</v>
      </c>
      <c r="BG266" s="198">
        <v>0</v>
      </c>
      <c r="BH266" s="198">
        <v>0</v>
      </c>
      <c r="BI266" s="198">
        <v>-335.40000000000003</v>
      </c>
      <c r="BJ266" s="198">
        <v>-804.9599999999999</v>
      </c>
      <c r="BK266" s="198">
        <v>-13751.4</v>
      </c>
      <c r="BL266" s="198">
        <v>-1240.98</v>
      </c>
      <c r="BM266" s="198">
        <v>-17876.82</v>
      </c>
      <c r="BN266" s="198">
        <v>-402.47999999999996</v>
      </c>
      <c r="BO266" s="198">
        <v>-35286</v>
      </c>
      <c r="BP266" s="198">
        <v>23437.54527264461</v>
      </c>
      <c r="BQ266" s="198">
        <v>314226</v>
      </c>
      <c r="BR266" s="198">
        <v>100168</v>
      </c>
      <c r="BS266" s="198">
        <v>257451.3146865465</v>
      </c>
      <c r="BT266" s="198">
        <v>12554.810613471816</v>
      </c>
      <c r="BU266" s="198">
        <v>41698.33530034056</v>
      </c>
      <c r="BV266" s="198">
        <v>129523.2545463595</v>
      </c>
      <c r="BW266" s="198">
        <v>177498.5347553248</v>
      </c>
      <c r="BX266" s="198">
        <v>301.86</v>
      </c>
      <c r="BY266" s="198">
        <v>-8268.06647281082</v>
      </c>
      <c r="BZ266" s="198">
        <v>1013305.588701877</v>
      </c>
      <c r="CA266" s="198">
        <v>949814.3687018771</v>
      </c>
      <c r="CB266" s="198">
        <v>0</v>
      </c>
      <c r="CC266" s="232">
        <v>2783101.5937674437</v>
      </c>
      <c r="CD266" s="198">
        <v>-125365</v>
      </c>
      <c r="CE266" s="198">
        <v>275198.482</v>
      </c>
      <c r="CH266" s="198">
        <v>3381</v>
      </c>
    </row>
    <row r="267" spans="1:86" ht="11.25">
      <c r="A267" s="198">
        <v>850</v>
      </c>
      <c r="B267" s="198" t="s">
        <v>342</v>
      </c>
      <c r="C267" s="198">
        <v>2472</v>
      </c>
      <c r="D267" s="198">
        <v>9556132.66</v>
      </c>
      <c r="E267" s="198">
        <v>2840861.762788494</v>
      </c>
      <c r="F267" s="198">
        <v>630667.5025090155</v>
      </c>
      <c r="G267" s="198">
        <v>13027661.925297508</v>
      </c>
      <c r="H267" s="198">
        <v>3642.26</v>
      </c>
      <c r="I267" s="198">
        <v>9003666.72</v>
      </c>
      <c r="J267" s="198">
        <v>4023995.2052975073</v>
      </c>
      <c r="K267" s="198">
        <v>23630.178519719542</v>
      </c>
      <c r="L267" s="198">
        <v>796979.3813296636</v>
      </c>
      <c r="M267" s="198">
        <v>354225.6850511832</v>
      </c>
      <c r="N267" s="198">
        <v>5198830.450198074</v>
      </c>
      <c r="O267" s="198">
        <v>1800394.6479024386</v>
      </c>
      <c r="P267" s="198">
        <v>6999225.098100512</v>
      </c>
      <c r="Q267" s="198">
        <v>214</v>
      </c>
      <c r="R267" s="198">
        <v>27</v>
      </c>
      <c r="S267" s="198">
        <v>197</v>
      </c>
      <c r="T267" s="198">
        <v>73</v>
      </c>
      <c r="U267" s="198">
        <v>63</v>
      </c>
      <c r="V267" s="198">
        <v>1298</v>
      </c>
      <c r="W267" s="198">
        <v>335</v>
      </c>
      <c r="X267" s="198">
        <v>184</v>
      </c>
      <c r="Y267" s="198">
        <v>81</v>
      </c>
      <c r="Z267" s="198">
        <v>2452</v>
      </c>
      <c r="AA267" s="198">
        <v>0</v>
      </c>
      <c r="AB267" s="198">
        <v>0</v>
      </c>
      <c r="AC267" s="198">
        <v>20</v>
      </c>
      <c r="AD267" s="198">
        <v>361.43</v>
      </c>
      <c r="AE267" s="198">
        <v>6.839498658108071</v>
      </c>
      <c r="AF267" s="198">
        <v>600</v>
      </c>
      <c r="AG267" s="198">
        <v>2840861.762788494</v>
      </c>
      <c r="AH267" s="198">
        <v>1709102.8168259473</v>
      </c>
      <c r="AI267" s="198">
        <v>793050.8378022477</v>
      </c>
      <c r="AJ267" s="198">
        <v>338708.108160299</v>
      </c>
      <c r="AK267" s="198">
        <v>157</v>
      </c>
      <c r="AL267" s="198">
        <v>1051</v>
      </c>
      <c r="AM267" s="198">
        <v>1.1983266775618011</v>
      </c>
      <c r="AN267" s="198">
        <v>20</v>
      </c>
      <c r="AO267" s="198">
        <v>0.008090614886731391</v>
      </c>
      <c r="AP267" s="198">
        <v>0.006367071281078168</v>
      </c>
      <c r="AQ267" s="198">
        <v>0</v>
      </c>
      <c r="AR267" s="198">
        <v>0</v>
      </c>
      <c r="AS267" s="198">
        <v>0</v>
      </c>
      <c r="AT267" s="198">
        <v>0</v>
      </c>
      <c r="AU267" s="198">
        <v>361.43</v>
      </c>
      <c r="AV267" s="198">
        <v>6.839498658108071</v>
      </c>
      <c r="AW267" s="198">
        <v>2.6321302467891767</v>
      </c>
      <c r="AX267" s="198">
        <v>101</v>
      </c>
      <c r="AY267" s="198">
        <v>740</v>
      </c>
      <c r="AZ267" s="198">
        <v>0.13648648648648648</v>
      </c>
      <c r="BA267" s="198">
        <v>0.0727976277908343</v>
      </c>
      <c r="BB267" s="198">
        <v>0</v>
      </c>
      <c r="BC267" s="198">
        <v>531</v>
      </c>
      <c r="BD267" s="198">
        <v>914</v>
      </c>
      <c r="BE267" s="198">
        <v>0.5809628008752735</v>
      </c>
      <c r="BF267" s="198">
        <v>0.15132394657888498</v>
      </c>
      <c r="BG267" s="198">
        <v>0</v>
      </c>
      <c r="BH267" s="198">
        <v>0</v>
      </c>
      <c r="BI267" s="198">
        <v>-247.20000000000002</v>
      </c>
      <c r="BJ267" s="198">
        <v>-593.28</v>
      </c>
      <c r="BK267" s="198">
        <v>-10135.199999999999</v>
      </c>
      <c r="BL267" s="198">
        <v>-914.64</v>
      </c>
      <c r="BM267" s="198">
        <v>-13175.76</v>
      </c>
      <c r="BN267" s="198">
        <v>-296.64</v>
      </c>
      <c r="BO267" s="198">
        <v>37010</v>
      </c>
      <c r="BP267" s="198">
        <v>129204.97141114902</v>
      </c>
      <c r="BQ267" s="198">
        <v>217595</v>
      </c>
      <c r="BR267" s="198">
        <v>70121</v>
      </c>
      <c r="BS267" s="198">
        <v>157566.65010776315</v>
      </c>
      <c r="BT267" s="198">
        <v>6018.4220331636425</v>
      </c>
      <c r="BU267" s="198">
        <v>16014.904402014883</v>
      </c>
      <c r="BV267" s="198">
        <v>71238.97880583534</v>
      </c>
      <c r="BW267" s="198">
        <v>122239.48551201812</v>
      </c>
      <c r="BX267" s="198">
        <v>222.48</v>
      </c>
      <c r="BY267" s="198">
        <v>16542.449057719383</v>
      </c>
      <c r="BZ267" s="198">
        <v>843774.3413296635</v>
      </c>
      <c r="CA267" s="198">
        <v>796979.3813296636</v>
      </c>
      <c r="CB267" s="198">
        <v>354225.6850511832</v>
      </c>
      <c r="CC267" s="232">
        <v>1800394.6479024386</v>
      </c>
      <c r="CD267" s="198">
        <v>-649573</v>
      </c>
      <c r="CE267" s="198">
        <v>-23771.669779999967</v>
      </c>
      <c r="CH267" s="198">
        <v>2466</v>
      </c>
    </row>
    <row r="268" spans="1:86" ht="11.25">
      <c r="A268" s="198">
        <v>851</v>
      </c>
      <c r="B268" s="198" t="s">
        <v>343</v>
      </c>
      <c r="C268" s="198">
        <v>22322</v>
      </c>
      <c r="D268" s="198">
        <v>79660398.94</v>
      </c>
      <c r="E268" s="198">
        <v>24242308.774021365</v>
      </c>
      <c r="F268" s="198">
        <v>4827412.980862816</v>
      </c>
      <c r="G268" s="198">
        <v>108730120.69488417</v>
      </c>
      <c r="H268" s="198">
        <v>3642.26</v>
      </c>
      <c r="I268" s="198">
        <v>81302527.72</v>
      </c>
      <c r="J268" s="198">
        <v>27427592.974884167</v>
      </c>
      <c r="K268" s="198">
        <v>864252.6324485167</v>
      </c>
      <c r="L268" s="198">
        <v>4275355.414079505</v>
      </c>
      <c r="M268" s="198">
        <v>0</v>
      </c>
      <c r="N268" s="198">
        <v>32567201.02141219</v>
      </c>
      <c r="O268" s="198">
        <v>8497214.889268285</v>
      </c>
      <c r="P268" s="198">
        <v>41064415.91068047</v>
      </c>
      <c r="Q268" s="198">
        <v>1580</v>
      </c>
      <c r="R268" s="198">
        <v>273</v>
      </c>
      <c r="S268" s="198">
        <v>1656</v>
      </c>
      <c r="T268" s="198">
        <v>840</v>
      </c>
      <c r="U268" s="198">
        <v>854</v>
      </c>
      <c r="V268" s="198">
        <v>12847</v>
      </c>
      <c r="W268" s="198">
        <v>2491</v>
      </c>
      <c r="X268" s="198">
        <v>1257</v>
      </c>
      <c r="Y268" s="198">
        <v>524</v>
      </c>
      <c r="Z268" s="198">
        <v>21673</v>
      </c>
      <c r="AA268" s="198">
        <v>105</v>
      </c>
      <c r="AB268" s="198">
        <v>16</v>
      </c>
      <c r="AC268" s="198">
        <v>528</v>
      </c>
      <c r="AD268" s="198">
        <v>1187.77</v>
      </c>
      <c r="AE268" s="198">
        <v>18.793200703839968</v>
      </c>
      <c r="AF268" s="198">
        <v>4272</v>
      </c>
      <c r="AG268" s="198">
        <v>24242308.774021365</v>
      </c>
      <c r="AH268" s="198">
        <v>15123927.598538686</v>
      </c>
      <c r="AI268" s="198">
        <v>5948420.676033727</v>
      </c>
      <c r="AJ268" s="198">
        <v>3169960.4994489523</v>
      </c>
      <c r="AK268" s="198">
        <v>1591</v>
      </c>
      <c r="AL268" s="198">
        <v>10237</v>
      </c>
      <c r="AM268" s="198">
        <v>1.2467396393032066</v>
      </c>
      <c r="AN268" s="198">
        <v>528</v>
      </c>
      <c r="AO268" s="198">
        <v>0.02365379446286175</v>
      </c>
      <c r="AP268" s="198">
        <v>0.021930250857208528</v>
      </c>
      <c r="AQ268" s="198">
        <v>0</v>
      </c>
      <c r="AR268" s="198">
        <v>105</v>
      </c>
      <c r="AS268" s="198">
        <v>16</v>
      </c>
      <c r="AT268" s="198">
        <v>0</v>
      </c>
      <c r="AU268" s="198">
        <v>1187.77</v>
      </c>
      <c r="AV268" s="198">
        <v>18.793200703839968</v>
      </c>
      <c r="AW268" s="198">
        <v>0.9579236434803703</v>
      </c>
      <c r="AX268" s="198">
        <v>778</v>
      </c>
      <c r="AY268" s="198">
        <v>6588</v>
      </c>
      <c r="AZ268" s="198">
        <v>0.11809350333940498</v>
      </c>
      <c r="BA268" s="198">
        <v>0.0544046446437528</v>
      </c>
      <c r="BB268" s="198">
        <v>0.00655</v>
      </c>
      <c r="BC268" s="198">
        <v>8717</v>
      </c>
      <c r="BD268" s="198">
        <v>8538</v>
      </c>
      <c r="BE268" s="198">
        <v>1.020965097212462</v>
      </c>
      <c r="BF268" s="198">
        <v>0.5913262429160735</v>
      </c>
      <c r="BG268" s="198">
        <v>0</v>
      </c>
      <c r="BH268" s="198">
        <v>16</v>
      </c>
      <c r="BI268" s="198">
        <v>-2232.2000000000003</v>
      </c>
      <c r="BJ268" s="198">
        <v>-5357.28</v>
      </c>
      <c r="BK268" s="198">
        <v>-91520.2</v>
      </c>
      <c r="BL268" s="198">
        <v>-8259.14</v>
      </c>
      <c r="BM268" s="198">
        <v>-118976.26</v>
      </c>
      <c r="BN268" s="198">
        <v>-2678.64</v>
      </c>
      <c r="BO268" s="198">
        <v>-14349</v>
      </c>
      <c r="BP268" s="198">
        <v>-580763.6914084479</v>
      </c>
      <c r="BQ268" s="198">
        <v>1689783</v>
      </c>
      <c r="BR268" s="198">
        <v>512361</v>
      </c>
      <c r="BS268" s="198">
        <v>1252194.124183459</v>
      </c>
      <c r="BT268" s="198">
        <v>40707.48580701725</v>
      </c>
      <c r="BU268" s="198">
        <v>63350.42689183841</v>
      </c>
      <c r="BV268" s="198">
        <v>564846.7675050591</v>
      </c>
      <c r="BW268" s="198">
        <v>979233.123092117</v>
      </c>
      <c r="BX268" s="198">
        <v>2008.98</v>
      </c>
      <c r="BY268" s="198">
        <v>188538.65800846156</v>
      </c>
      <c r="BZ268" s="198">
        <v>4697910.874079505</v>
      </c>
      <c r="CA268" s="198">
        <v>4275355.414079505</v>
      </c>
      <c r="CB268" s="198">
        <v>0</v>
      </c>
      <c r="CC268" s="232">
        <v>8497214.889268285</v>
      </c>
      <c r="CD268" s="198">
        <v>-2251373</v>
      </c>
      <c r="CE268" s="198">
        <v>18192.985619999992</v>
      </c>
      <c r="CH268" s="198">
        <v>22371</v>
      </c>
    </row>
    <row r="269" spans="1:86" ht="11.25">
      <c r="A269" s="198">
        <v>853</v>
      </c>
      <c r="B269" s="198" t="s">
        <v>344</v>
      </c>
      <c r="C269" s="198">
        <v>183824</v>
      </c>
      <c r="D269" s="198">
        <v>583432692.0999999</v>
      </c>
      <c r="E269" s="198">
        <v>200040339.29218495</v>
      </c>
      <c r="F269" s="198">
        <v>68616227.10346232</v>
      </c>
      <c r="G269" s="198">
        <v>852089258.4956472</v>
      </c>
      <c r="H269" s="198">
        <v>3642.26</v>
      </c>
      <c r="I269" s="198">
        <v>669534802.24</v>
      </c>
      <c r="J269" s="198">
        <v>182554456.25564718</v>
      </c>
      <c r="K269" s="198">
        <v>9327993.608948544</v>
      </c>
      <c r="L269" s="198">
        <v>41613778.474913396</v>
      </c>
      <c r="M269" s="198">
        <v>8140259.436678678</v>
      </c>
      <c r="N269" s="198">
        <v>241636487.77618778</v>
      </c>
      <c r="O269" s="198">
        <v>-5476619.5505933035</v>
      </c>
      <c r="P269" s="198">
        <v>236159868.22559446</v>
      </c>
      <c r="Q269" s="198">
        <v>10363</v>
      </c>
      <c r="R269" s="198">
        <v>1584</v>
      </c>
      <c r="S269" s="198">
        <v>8794</v>
      </c>
      <c r="T269" s="198">
        <v>4423</v>
      </c>
      <c r="U269" s="198">
        <v>4986</v>
      </c>
      <c r="V269" s="198">
        <v>117202</v>
      </c>
      <c r="W269" s="198">
        <v>20002</v>
      </c>
      <c r="X269" s="198">
        <v>11306</v>
      </c>
      <c r="Y269" s="198">
        <v>5164</v>
      </c>
      <c r="Z269" s="198">
        <v>156161</v>
      </c>
      <c r="AA269" s="198">
        <v>9924</v>
      </c>
      <c r="AB269" s="198">
        <v>12</v>
      </c>
      <c r="AC269" s="198">
        <v>17727</v>
      </c>
      <c r="AD269" s="198">
        <v>245.66</v>
      </c>
      <c r="AE269" s="198">
        <v>748.2862492876333</v>
      </c>
      <c r="AF269" s="198">
        <v>36472</v>
      </c>
      <c r="AG269" s="198">
        <v>200040339.29218495</v>
      </c>
      <c r="AH269" s="198">
        <v>116202139.0560454</v>
      </c>
      <c r="AI269" s="198">
        <v>54500867.17548595</v>
      </c>
      <c r="AJ269" s="198">
        <v>29337333.060653593</v>
      </c>
      <c r="AK269" s="198">
        <v>14211</v>
      </c>
      <c r="AL269" s="198">
        <v>90003</v>
      </c>
      <c r="AM269" s="198">
        <v>1.2666188449052493</v>
      </c>
      <c r="AN269" s="198">
        <v>17727</v>
      </c>
      <c r="AO269" s="198">
        <v>0.0964346331273392</v>
      </c>
      <c r="AP269" s="198">
        <v>0.09471108952168597</v>
      </c>
      <c r="AQ269" s="198">
        <v>1</v>
      </c>
      <c r="AR269" s="198">
        <v>9924</v>
      </c>
      <c r="AS269" s="198">
        <v>12</v>
      </c>
      <c r="AT269" s="198">
        <v>0</v>
      </c>
      <c r="AU269" s="198">
        <v>245.66</v>
      </c>
      <c r="AV269" s="198">
        <v>748.2862492876333</v>
      </c>
      <c r="AW269" s="198">
        <v>0.024058241492501742</v>
      </c>
      <c r="AX269" s="198">
        <v>8873</v>
      </c>
      <c r="AY269" s="198">
        <v>56841</v>
      </c>
      <c r="AZ269" s="198">
        <v>0.1561021093928678</v>
      </c>
      <c r="BA269" s="198">
        <v>0.09241325069721563</v>
      </c>
      <c r="BB269" s="198">
        <v>0</v>
      </c>
      <c r="BC269" s="198">
        <v>95201</v>
      </c>
      <c r="BD269" s="198">
        <v>77215</v>
      </c>
      <c r="BE269" s="198">
        <v>1.2329340154115134</v>
      </c>
      <c r="BF269" s="198">
        <v>0.8032951611151249</v>
      </c>
      <c r="BG269" s="198">
        <v>0</v>
      </c>
      <c r="BH269" s="198">
        <v>12</v>
      </c>
      <c r="BI269" s="198">
        <v>-18382.4</v>
      </c>
      <c r="BJ269" s="198">
        <v>-44117.759999999995</v>
      </c>
      <c r="BK269" s="198">
        <v>-753678.3999999999</v>
      </c>
      <c r="BL269" s="198">
        <v>-68014.88</v>
      </c>
      <c r="BM269" s="198">
        <v>-979781.92</v>
      </c>
      <c r="BN269" s="198">
        <v>-22058.879999999997</v>
      </c>
      <c r="BO269" s="198">
        <v>491739</v>
      </c>
      <c r="BP269" s="198">
        <v>497689.7856930196</v>
      </c>
      <c r="BQ269" s="198">
        <v>12023956</v>
      </c>
      <c r="BR269" s="198">
        <v>4740530</v>
      </c>
      <c r="BS269" s="198">
        <v>11427222.350982357</v>
      </c>
      <c r="BT269" s="198">
        <v>564913.7235415687</v>
      </c>
      <c r="BU269" s="198">
        <v>366930.12714489934</v>
      </c>
      <c r="BV269" s="198">
        <v>4587595.647429567</v>
      </c>
      <c r="BW269" s="198">
        <v>10177420.490419408</v>
      </c>
      <c r="BX269" s="198">
        <v>16544.16</v>
      </c>
      <c r="BY269" s="198">
        <v>199025.50970257632</v>
      </c>
      <c r="BZ269" s="198">
        <v>45093566.794913396</v>
      </c>
      <c r="CA269" s="198">
        <v>41613778.474913396</v>
      </c>
      <c r="CB269" s="198">
        <v>8140259.436678678</v>
      </c>
      <c r="CC269" s="232">
        <v>-5476619.5505933035</v>
      </c>
      <c r="CD269" s="198">
        <v>36831116</v>
      </c>
      <c r="CE269" s="198">
        <v>-1736120.1321259988</v>
      </c>
      <c r="CH269" s="198">
        <v>182072</v>
      </c>
    </row>
    <row r="270" spans="1:86" ht="11.25">
      <c r="A270" s="198">
        <v>857</v>
      </c>
      <c r="B270" s="198" t="s">
        <v>345</v>
      </c>
      <c r="C270" s="198">
        <v>2750</v>
      </c>
      <c r="D270" s="198">
        <v>9666979.739999998</v>
      </c>
      <c r="E270" s="198">
        <v>5851690.037842138</v>
      </c>
      <c r="F270" s="198">
        <v>820315.3892692416</v>
      </c>
      <c r="G270" s="198">
        <v>16338985.167111378</v>
      </c>
      <c r="H270" s="198">
        <v>3642.26</v>
      </c>
      <c r="I270" s="198">
        <v>10016215</v>
      </c>
      <c r="J270" s="198">
        <v>6322770.167111378</v>
      </c>
      <c r="K270" s="198">
        <v>240560.89275611757</v>
      </c>
      <c r="L270" s="198">
        <v>977643.3281103186</v>
      </c>
      <c r="M270" s="198">
        <v>0</v>
      </c>
      <c r="N270" s="198">
        <v>7540974.387977814</v>
      </c>
      <c r="O270" s="198">
        <v>2626491.138666666</v>
      </c>
      <c r="P270" s="198">
        <v>10167465.52664448</v>
      </c>
      <c r="Q270" s="198">
        <v>127</v>
      </c>
      <c r="R270" s="198">
        <v>21</v>
      </c>
      <c r="S270" s="198">
        <v>130</v>
      </c>
      <c r="T270" s="198">
        <v>70</v>
      </c>
      <c r="U270" s="198">
        <v>81</v>
      </c>
      <c r="V270" s="198">
        <v>1488</v>
      </c>
      <c r="W270" s="198">
        <v>445</v>
      </c>
      <c r="X270" s="198">
        <v>291</v>
      </c>
      <c r="Y270" s="198">
        <v>97</v>
      </c>
      <c r="Z270" s="198">
        <v>2710</v>
      </c>
      <c r="AA270" s="198">
        <v>2</v>
      </c>
      <c r="AB270" s="198">
        <v>1</v>
      </c>
      <c r="AC270" s="198">
        <v>37</v>
      </c>
      <c r="AD270" s="198">
        <v>543.21</v>
      </c>
      <c r="AE270" s="198">
        <v>5.062498849432079</v>
      </c>
      <c r="AF270" s="198">
        <v>833</v>
      </c>
      <c r="AG270" s="198">
        <v>5851690.037842138</v>
      </c>
      <c r="AH270" s="198">
        <v>3528683.0557655897</v>
      </c>
      <c r="AI270" s="198">
        <v>1471894.30003272</v>
      </c>
      <c r="AJ270" s="198">
        <v>851112.6820438283</v>
      </c>
      <c r="AK270" s="198">
        <v>142</v>
      </c>
      <c r="AL270" s="198">
        <v>1081</v>
      </c>
      <c r="AM270" s="198">
        <v>1.0537581386229917</v>
      </c>
      <c r="AN270" s="198">
        <v>37</v>
      </c>
      <c r="AO270" s="198">
        <v>0.013454545454545455</v>
      </c>
      <c r="AP270" s="198">
        <v>0.011731001848892232</v>
      </c>
      <c r="AQ270" s="198">
        <v>0</v>
      </c>
      <c r="AR270" s="198">
        <v>2</v>
      </c>
      <c r="AS270" s="198">
        <v>1</v>
      </c>
      <c r="AT270" s="198">
        <v>0</v>
      </c>
      <c r="AU270" s="198">
        <v>543.21</v>
      </c>
      <c r="AV270" s="198">
        <v>5.062498849432079</v>
      </c>
      <c r="AW270" s="198">
        <v>3.556040569352384</v>
      </c>
      <c r="AX270" s="198">
        <v>115</v>
      </c>
      <c r="AY270" s="198">
        <v>725</v>
      </c>
      <c r="AZ270" s="198">
        <v>0.15862068965517243</v>
      </c>
      <c r="BA270" s="198">
        <v>0.09493183095952025</v>
      </c>
      <c r="BB270" s="198">
        <v>0.32366666666666666</v>
      </c>
      <c r="BC270" s="198">
        <v>700</v>
      </c>
      <c r="BD270" s="198">
        <v>936</v>
      </c>
      <c r="BE270" s="198">
        <v>0.7478632478632479</v>
      </c>
      <c r="BF270" s="198">
        <v>0.31822439356685933</v>
      </c>
      <c r="BG270" s="198">
        <v>0</v>
      </c>
      <c r="BH270" s="198">
        <v>1</v>
      </c>
      <c r="BI270" s="198">
        <v>-275</v>
      </c>
      <c r="BJ270" s="198">
        <v>-660</v>
      </c>
      <c r="BK270" s="198">
        <v>-11274.999999999998</v>
      </c>
      <c r="BL270" s="198">
        <v>-1017.5</v>
      </c>
      <c r="BM270" s="198">
        <v>-14657.5</v>
      </c>
      <c r="BN270" s="198">
        <v>-330</v>
      </c>
      <c r="BO270" s="198">
        <v>106862</v>
      </c>
      <c r="BP270" s="198">
        <v>24017.81958437711</v>
      </c>
      <c r="BQ270" s="198">
        <v>300356</v>
      </c>
      <c r="BR270" s="198">
        <v>87021</v>
      </c>
      <c r="BS270" s="198">
        <v>228750.0569633556</v>
      </c>
      <c r="BT270" s="198">
        <v>10969.57630153163</v>
      </c>
      <c r="BU270" s="198">
        <v>17385.613345586495</v>
      </c>
      <c r="BV270" s="198">
        <v>111786.84419278541</v>
      </c>
      <c r="BW270" s="198">
        <v>151731.74467148873</v>
      </c>
      <c r="BX270" s="198">
        <v>247.5</v>
      </c>
      <c r="BY270" s="198">
        <v>-9427.326948806465</v>
      </c>
      <c r="BZ270" s="198">
        <v>1029700.8281103186</v>
      </c>
      <c r="CA270" s="198">
        <v>977643.3281103186</v>
      </c>
      <c r="CB270" s="198">
        <v>0</v>
      </c>
      <c r="CC270" s="232">
        <v>2626491.138666666</v>
      </c>
      <c r="CD270" s="198">
        <v>38727</v>
      </c>
      <c r="CE270" s="198">
        <v>291760.2006000001</v>
      </c>
      <c r="CH270" s="198">
        <v>2802</v>
      </c>
    </row>
    <row r="271" spans="1:86" ht="11.25">
      <c r="A271" s="198">
        <v>858</v>
      </c>
      <c r="B271" s="198" t="s">
        <v>346</v>
      </c>
      <c r="C271" s="198">
        <v>38198</v>
      </c>
      <c r="D271" s="198">
        <v>132433731.10000001</v>
      </c>
      <c r="E271" s="198">
        <v>33336164.494489886</v>
      </c>
      <c r="F271" s="198">
        <v>5591894.805764037</v>
      </c>
      <c r="G271" s="198">
        <v>171361790.40025395</v>
      </c>
      <c r="H271" s="198">
        <v>3642.26</v>
      </c>
      <c r="I271" s="198">
        <v>139127047.48000002</v>
      </c>
      <c r="J271" s="198">
        <v>32234742.920253932</v>
      </c>
      <c r="K271" s="198">
        <v>820767.2650538118</v>
      </c>
      <c r="L271" s="198">
        <v>4129750.452629616</v>
      </c>
      <c r="M271" s="198">
        <v>0</v>
      </c>
      <c r="N271" s="198">
        <v>37185260.63793736</v>
      </c>
      <c r="O271" s="198">
        <v>-9170947.122264117</v>
      </c>
      <c r="P271" s="198">
        <v>28014313.515673243</v>
      </c>
      <c r="Q271" s="198">
        <v>2803</v>
      </c>
      <c r="R271" s="198">
        <v>528</v>
      </c>
      <c r="S271" s="198">
        <v>3409</v>
      </c>
      <c r="T271" s="198">
        <v>1616</v>
      </c>
      <c r="U271" s="198">
        <v>1626</v>
      </c>
      <c r="V271" s="198">
        <v>22484</v>
      </c>
      <c r="W271" s="198">
        <v>3730</v>
      </c>
      <c r="X271" s="198">
        <v>1526</v>
      </c>
      <c r="Y271" s="198">
        <v>476</v>
      </c>
      <c r="Z271" s="198">
        <v>36372</v>
      </c>
      <c r="AA271" s="198">
        <v>611</v>
      </c>
      <c r="AB271" s="198">
        <v>2</v>
      </c>
      <c r="AC271" s="198">
        <v>1213</v>
      </c>
      <c r="AD271" s="198">
        <v>219.5</v>
      </c>
      <c r="AE271" s="198">
        <v>174.0227790432802</v>
      </c>
      <c r="AF271" s="198">
        <v>5732</v>
      </c>
      <c r="AG271" s="198">
        <v>33336164.494489886</v>
      </c>
      <c r="AH271" s="198">
        <v>20838012.004906178</v>
      </c>
      <c r="AI271" s="198">
        <v>7895196.147918107</v>
      </c>
      <c r="AJ271" s="198">
        <v>4602956.341665602</v>
      </c>
      <c r="AK271" s="198">
        <v>1408</v>
      </c>
      <c r="AL271" s="198">
        <v>19519</v>
      </c>
      <c r="AM271" s="198">
        <v>0.5786598927353729</v>
      </c>
      <c r="AN271" s="198">
        <v>1213</v>
      </c>
      <c r="AO271" s="198">
        <v>0.031755589297869</v>
      </c>
      <c r="AP271" s="198">
        <v>0.030032045692215778</v>
      </c>
      <c r="AQ271" s="198">
        <v>0</v>
      </c>
      <c r="AR271" s="198">
        <v>611</v>
      </c>
      <c r="AS271" s="198">
        <v>2</v>
      </c>
      <c r="AT271" s="198">
        <v>0</v>
      </c>
      <c r="AU271" s="198">
        <v>219.5</v>
      </c>
      <c r="AV271" s="198">
        <v>174.0227790432802</v>
      </c>
      <c r="AW271" s="198">
        <v>0.10344882083743161</v>
      </c>
      <c r="AX271" s="198">
        <v>1944</v>
      </c>
      <c r="AY271" s="198">
        <v>14128</v>
      </c>
      <c r="AZ271" s="198">
        <v>0.13759909399773498</v>
      </c>
      <c r="BA271" s="198">
        <v>0.07391023530208281</v>
      </c>
      <c r="BB271" s="198">
        <v>0</v>
      </c>
      <c r="BC271" s="198">
        <v>14044</v>
      </c>
      <c r="BD271" s="198">
        <v>18244</v>
      </c>
      <c r="BE271" s="198">
        <v>0.7697873273404955</v>
      </c>
      <c r="BF271" s="198">
        <v>0.34014847304410695</v>
      </c>
      <c r="BG271" s="198">
        <v>0</v>
      </c>
      <c r="BH271" s="198">
        <v>2</v>
      </c>
      <c r="BI271" s="198">
        <v>-3819.8</v>
      </c>
      <c r="BJ271" s="198">
        <v>-9167.52</v>
      </c>
      <c r="BK271" s="198">
        <v>-156611.8</v>
      </c>
      <c r="BL271" s="198">
        <v>-14133.26</v>
      </c>
      <c r="BM271" s="198">
        <v>-203595.34</v>
      </c>
      <c r="BN271" s="198">
        <v>-4583.76</v>
      </c>
      <c r="BO271" s="198">
        <v>-232623</v>
      </c>
      <c r="BP271" s="198">
        <v>-666280.6096984223</v>
      </c>
      <c r="BQ271" s="198">
        <v>2156396</v>
      </c>
      <c r="BR271" s="198">
        <v>706861</v>
      </c>
      <c r="BS271" s="198">
        <v>1272093.3355424232</v>
      </c>
      <c r="BT271" s="198">
        <v>-2336.5735773642828</v>
      </c>
      <c r="BU271" s="198">
        <v>-229590.6980856142</v>
      </c>
      <c r="BV271" s="198">
        <v>469797.265750496</v>
      </c>
      <c r="BW271" s="198">
        <v>1491557.7803809287</v>
      </c>
      <c r="BX271" s="198">
        <v>3437.8199999999997</v>
      </c>
      <c r="BY271" s="198">
        <v>-116473.72768283144</v>
      </c>
      <c r="BZ271" s="198">
        <v>4852838.592629616</v>
      </c>
      <c r="CA271" s="198">
        <v>4129750.452629616</v>
      </c>
      <c r="CB271" s="198">
        <v>0</v>
      </c>
      <c r="CC271" s="232">
        <v>-9170947.122264117</v>
      </c>
      <c r="CD271" s="198">
        <v>-5777005</v>
      </c>
      <c r="CE271" s="198">
        <v>-642183.7518199991</v>
      </c>
      <c r="CH271" s="198">
        <v>38125</v>
      </c>
    </row>
    <row r="272" spans="1:86" ht="11.25">
      <c r="A272" s="198">
        <v>859</v>
      </c>
      <c r="B272" s="198" t="s">
        <v>347</v>
      </c>
      <c r="C272" s="198">
        <v>6735</v>
      </c>
      <c r="D272" s="198">
        <v>29840302.239999995</v>
      </c>
      <c r="E272" s="198">
        <v>6189403.190778968</v>
      </c>
      <c r="F272" s="198">
        <v>1062739.8445660032</v>
      </c>
      <c r="G272" s="198">
        <v>37092445.27534497</v>
      </c>
      <c r="H272" s="198">
        <v>3642.26</v>
      </c>
      <c r="I272" s="198">
        <v>24530621.1</v>
      </c>
      <c r="J272" s="198">
        <v>12561824.175344966</v>
      </c>
      <c r="K272" s="198">
        <v>68341.38625542716</v>
      </c>
      <c r="L272" s="198">
        <v>1322124.8104931028</v>
      </c>
      <c r="M272" s="198">
        <v>125720.53000438955</v>
      </c>
      <c r="N272" s="198">
        <v>14078010.902097885</v>
      </c>
      <c r="O272" s="198">
        <v>6278525.301268293</v>
      </c>
      <c r="P272" s="198">
        <v>20356536.203366175</v>
      </c>
      <c r="Q272" s="198">
        <v>909</v>
      </c>
      <c r="R272" s="198">
        <v>190</v>
      </c>
      <c r="S272" s="198">
        <v>863</v>
      </c>
      <c r="T272" s="198">
        <v>357</v>
      </c>
      <c r="U272" s="198">
        <v>286</v>
      </c>
      <c r="V272" s="198">
        <v>3357</v>
      </c>
      <c r="W272" s="198">
        <v>421</v>
      </c>
      <c r="X272" s="198">
        <v>247</v>
      </c>
      <c r="Y272" s="198">
        <v>105</v>
      </c>
      <c r="Z272" s="198">
        <v>6682</v>
      </c>
      <c r="AA272" s="198">
        <v>12</v>
      </c>
      <c r="AB272" s="198">
        <v>1</v>
      </c>
      <c r="AC272" s="198">
        <v>40</v>
      </c>
      <c r="AD272" s="198">
        <v>491.81</v>
      </c>
      <c r="AE272" s="198">
        <v>13.694312844391126</v>
      </c>
      <c r="AF272" s="198">
        <v>773</v>
      </c>
      <c r="AG272" s="198">
        <v>6189403.190778968</v>
      </c>
      <c r="AH272" s="198">
        <v>3901440.553842058</v>
      </c>
      <c r="AI272" s="198">
        <v>1462904.4247515663</v>
      </c>
      <c r="AJ272" s="198">
        <v>825058.2121853437</v>
      </c>
      <c r="AK272" s="198">
        <v>333</v>
      </c>
      <c r="AL272" s="198">
        <v>2758</v>
      </c>
      <c r="AM272" s="198">
        <v>0.968563866535595</v>
      </c>
      <c r="AN272" s="198">
        <v>40</v>
      </c>
      <c r="AO272" s="198">
        <v>0.005939123979213066</v>
      </c>
      <c r="AP272" s="198">
        <v>0.004215580373559843</v>
      </c>
      <c r="AQ272" s="198">
        <v>0</v>
      </c>
      <c r="AR272" s="198">
        <v>12</v>
      </c>
      <c r="AS272" s="198">
        <v>1</v>
      </c>
      <c r="AT272" s="198">
        <v>0</v>
      </c>
      <c r="AU272" s="198">
        <v>491.81</v>
      </c>
      <c r="AV272" s="198">
        <v>13.694312844391126</v>
      </c>
      <c r="AW272" s="198">
        <v>1.3145932545460746</v>
      </c>
      <c r="AX272" s="198">
        <v>179</v>
      </c>
      <c r="AY272" s="198">
        <v>2033</v>
      </c>
      <c r="AZ272" s="198">
        <v>0.08804722085587802</v>
      </c>
      <c r="BA272" s="198">
        <v>0.02435836216022584</v>
      </c>
      <c r="BB272" s="198">
        <v>0</v>
      </c>
      <c r="BC272" s="198">
        <v>1432</v>
      </c>
      <c r="BD272" s="198">
        <v>2426</v>
      </c>
      <c r="BE272" s="198">
        <v>0.5902720527617478</v>
      </c>
      <c r="BF272" s="198">
        <v>0.16063319846535923</v>
      </c>
      <c r="BG272" s="198">
        <v>0</v>
      </c>
      <c r="BH272" s="198">
        <v>1</v>
      </c>
      <c r="BI272" s="198">
        <v>-673.5</v>
      </c>
      <c r="BJ272" s="198">
        <v>-1616.3999999999999</v>
      </c>
      <c r="BK272" s="198">
        <v>-27613.499999999996</v>
      </c>
      <c r="BL272" s="198">
        <v>-2491.95</v>
      </c>
      <c r="BM272" s="198">
        <v>-35897.55</v>
      </c>
      <c r="BN272" s="198">
        <v>-808.1999999999999</v>
      </c>
      <c r="BO272" s="198">
        <v>-10589</v>
      </c>
      <c r="BP272" s="198">
        <v>-6601.024326741695</v>
      </c>
      <c r="BQ272" s="198">
        <v>489868</v>
      </c>
      <c r="BR272" s="198">
        <v>141649</v>
      </c>
      <c r="BS272" s="198">
        <v>325883.5747392184</v>
      </c>
      <c r="BT272" s="198">
        <v>7037.667965960214</v>
      </c>
      <c r="BU272" s="198">
        <v>-6387.871083132727</v>
      </c>
      <c r="BV272" s="198">
        <v>174419.49186866794</v>
      </c>
      <c r="BW272" s="198">
        <v>308222.73642452544</v>
      </c>
      <c r="BX272" s="198">
        <v>606.15</v>
      </c>
      <c r="BY272" s="198">
        <v>25509.634904605024</v>
      </c>
      <c r="BZ272" s="198">
        <v>1449618.3604931028</v>
      </c>
      <c r="CA272" s="198">
        <v>1322124.8104931028</v>
      </c>
      <c r="CB272" s="198">
        <v>125720.53000438955</v>
      </c>
      <c r="CC272" s="232">
        <v>6278525.301268293</v>
      </c>
      <c r="CD272" s="198">
        <v>-1604903</v>
      </c>
      <c r="CE272" s="198">
        <v>-45152.47492000001</v>
      </c>
      <c r="CH272" s="198">
        <v>6642</v>
      </c>
    </row>
    <row r="273" spans="1:86" ht="11.25">
      <c r="A273" s="198">
        <v>886</v>
      </c>
      <c r="B273" s="198" t="s">
        <v>348</v>
      </c>
      <c r="C273" s="198">
        <v>13322</v>
      </c>
      <c r="D273" s="198">
        <v>48000970.36</v>
      </c>
      <c r="E273" s="198">
        <v>13625220.26643013</v>
      </c>
      <c r="F273" s="198">
        <v>1897504.9570532267</v>
      </c>
      <c r="G273" s="198">
        <v>63523695.58348336</v>
      </c>
      <c r="H273" s="198">
        <v>3642.26</v>
      </c>
      <c r="I273" s="198">
        <v>48522187.720000006</v>
      </c>
      <c r="J273" s="198">
        <v>15001507.863483354</v>
      </c>
      <c r="K273" s="198">
        <v>226055.86713172554</v>
      </c>
      <c r="L273" s="198">
        <v>2730888.996573412</v>
      </c>
      <c r="M273" s="198">
        <v>0</v>
      </c>
      <c r="N273" s="198">
        <v>17958452.72718849</v>
      </c>
      <c r="O273" s="198">
        <v>3352677.9141463335</v>
      </c>
      <c r="P273" s="198">
        <v>21311130.641334824</v>
      </c>
      <c r="Q273" s="198">
        <v>922</v>
      </c>
      <c r="R273" s="198">
        <v>158</v>
      </c>
      <c r="S273" s="198">
        <v>942</v>
      </c>
      <c r="T273" s="198">
        <v>501</v>
      </c>
      <c r="U273" s="198">
        <v>474</v>
      </c>
      <c r="V273" s="198">
        <v>7269</v>
      </c>
      <c r="W273" s="198">
        <v>1787</v>
      </c>
      <c r="X273" s="198">
        <v>975</v>
      </c>
      <c r="Y273" s="198">
        <v>294</v>
      </c>
      <c r="Z273" s="198">
        <v>13116</v>
      </c>
      <c r="AA273" s="198">
        <v>35</v>
      </c>
      <c r="AB273" s="198">
        <v>1</v>
      </c>
      <c r="AC273" s="198">
        <v>170</v>
      </c>
      <c r="AD273" s="198">
        <v>400.7</v>
      </c>
      <c r="AE273" s="198">
        <v>33.246818068380335</v>
      </c>
      <c r="AF273" s="198">
        <v>3056</v>
      </c>
      <c r="AG273" s="198">
        <v>13625220.26643013</v>
      </c>
      <c r="AH273" s="198">
        <v>8433164.163336148</v>
      </c>
      <c r="AI273" s="198">
        <v>3272710.1568522886</v>
      </c>
      <c r="AJ273" s="198">
        <v>1919345.9462416943</v>
      </c>
      <c r="AK273" s="198">
        <v>724</v>
      </c>
      <c r="AL273" s="198">
        <v>6327</v>
      </c>
      <c r="AM273" s="198">
        <v>0.9179499937051057</v>
      </c>
      <c r="AN273" s="198">
        <v>170</v>
      </c>
      <c r="AO273" s="198">
        <v>0.012760846719711755</v>
      </c>
      <c r="AP273" s="198">
        <v>0.011037303114058532</v>
      </c>
      <c r="AQ273" s="198">
        <v>0</v>
      </c>
      <c r="AR273" s="198">
        <v>35</v>
      </c>
      <c r="AS273" s="198">
        <v>1</v>
      </c>
      <c r="AT273" s="198">
        <v>0</v>
      </c>
      <c r="AU273" s="198">
        <v>400.7</v>
      </c>
      <c r="AV273" s="198">
        <v>33.246818068380335</v>
      </c>
      <c r="AW273" s="198">
        <v>0.5414789245050077</v>
      </c>
      <c r="AX273" s="198">
        <v>427</v>
      </c>
      <c r="AY273" s="198">
        <v>4149</v>
      </c>
      <c r="AZ273" s="198">
        <v>0.10291636538925042</v>
      </c>
      <c r="BA273" s="198">
        <v>0.039227506693598244</v>
      </c>
      <c r="BB273" s="198">
        <v>0</v>
      </c>
      <c r="BC273" s="198">
        <v>3846</v>
      </c>
      <c r="BD273" s="198">
        <v>5508</v>
      </c>
      <c r="BE273" s="198">
        <v>0.6982570806100218</v>
      </c>
      <c r="BF273" s="198">
        <v>0.26861822631363325</v>
      </c>
      <c r="BG273" s="198">
        <v>0</v>
      </c>
      <c r="BH273" s="198">
        <v>1</v>
      </c>
      <c r="BI273" s="198">
        <v>-1332.2</v>
      </c>
      <c r="BJ273" s="198">
        <v>-3197.2799999999997</v>
      </c>
      <c r="BK273" s="198">
        <v>-54620.2</v>
      </c>
      <c r="BL273" s="198">
        <v>-4929.14</v>
      </c>
      <c r="BM273" s="198">
        <v>-71006.26</v>
      </c>
      <c r="BN273" s="198">
        <v>-1598.6399999999999</v>
      </c>
      <c r="BO273" s="198">
        <v>74126</v>
      </c>
      <c r="BP273" s="198">
        <v>-4173.156892091036</v>
      </c>
      <c r="BQ273" s="198">
        <v>922593</v>
      </c>
      <c r="BR273" s="198">
        <v>300996</v>
      </c>
      <c r="BS273" s="198">
        <v>649118.2912190023</v>
      </c>
      <c r="BT273" s="198">
        <v>22538.759750654543</v>
      </c>
      <c r="BU273" s="198">
        <v>21797.099511807362</v>
      </c>
      <c r="BV273" s="198">
        <v>348972.57152508094</v>
      </c>
      <c r="BW273" s="198">
        <v>587112.3166649289</v>
      </c>
      <c r="BX273" s="198">
        <v>1198.98</v>
      </c>
      <c r="BY273" s="198">
        <v>58794.594794029035</v>
      </c>
      <c r="BZ273" s="198">
        <v>2983074.456573412</v>
      </c>
      <c r="CA273" s="198">
        <v>2730888.996573412</v>
      </c>
      <c r="CB273" s="198">
        <v>0</v>
      </c>
      <c r="CC273" s="232">
        <v>3352677.9141463335</v>
      </c>
      <c r="CD273" s="198">
        <v>-1387872</v>
      </c>
      <c r="CE273" s="198">
        <v>-34937.754794000066</v>
      </c>
      <c r="CH273" s="198">
        <v>13361</v>
      </c>
    </row>
    <row r="274" spans="1:86" ht="11.25">
      <c r="A274" s="198">
        <v>887</v>
      </c>
      <c r="B274" s="198" t="s">
        <v>349</v>
      </c>
      <c r="C274" s="198">
        <v>4984</v>
      </c>
      <c r="D274" s="198">
        <v>18947212.98</v>
      </c>
      <c r="E274" s="198">
        <v>6676621.050533559</v>
      </c>
      <c r="F274" s="198">
        <v>1334156.9581311685</v>
      </c>
      <c r="G274" s="198">
        <v>26957990.988664728</v>
      </c>
      <c r="H274" s="198">
        <v>3642.26</v>
      </c>
      <c r="I274" s="198">
        <v>18153023.84</v>
      </c>
      <c r="J274" s="198">
        <v>8804967.148664728</v>
      </c>
      <c r="K274" s="198">
        <v>136335.94530589823</v>
      </c>
      <c r="L274" s="198">
        <v>1673927.8736232012</v>
      </c>
      <c r="M274" s="198">
        <v>0</v>
      </c>
      <c r="N274" s="198">
        <v>10615230.967593828</v>
      </c>
      <c r="O274" s="198">
        <v>3764180.204000001</v>
      </c>
      <c r="P274" s="198">
        <v>14379411.17159383</v>
      </c>
      <c r="Q274" s="198">
        <v>241</v>
      </c>
      <c r="R274" s="198">
        <v>46</v>
      </c>
      <c r="S274" s="198">
        <v>285</v>
      </c>
      <c r="T274" s="198">
        <v>165</v>
      </c>
      <c r="U274" s="198">
        <v>138</v>
      </c>
      <c r="V274" s="198">
        <v>2681</v>
      </c>
      <c r="W274" s="198">
        <v>735</v>
      </c>
      <c r="X274" s="198">
        <v>469</v>
      </c>
      <c r="Y274" s="198">
        <v>224</v>
      </c>
      <c r="Z274" s="198">
        <v>4866</v>
      </c>
      <c r="AA274" s="198">
        <v>12</v>
      </c>
      <c r="AB274" s="198">
        <v>0</v>
      </c>
      <c r="AC274" s="198">
        <v>106</v>
      </c>
      <c r="AD274" s="198">
        <v>475.19</v>
      </c>
      <c r="AE274" s="198">
        <v>10.488436204465582</v>
      </c>
      <c r="AF274" s="198">
        <v>1428</v>
      </c>
      <c r="AG274" s="198">
        <v>6676621.050533559</v>
      </c>
      <c r="AH274" s="198">
        <v>3913196.5890323436</v>
      </c>
      <c r="AI274" s="198">
        <v>2120747.538325264</v>
      </c>
      <c r="AJ274" s="198">
        <v>642676.9231759519</v>
      </c>
      <c r="AK274" s="198">
        <v>345</v>
      </c>
      <c r="AL274" s="198">
        <v>2307</v>
      </c>
      <c r="AM274" s="198">
        <v>1.1996368340346641</v>
      </c>
      <c r="AN274" s="198">
        <v>106</v>
      </c>
      <c r="AO274" s="198">
        <v>0.02126805778491172</v>
      </c>
      <c r="AP274" s="198">
        <v>0.019544514179258496</v>
      </c>
      <c r="AQ274" s="198">
        <v>0</v>
      </c>
      <c r="AR274" s="198">
        <v>12</v>
      </c>
      <c r="AS274" s="198">
        <v>0</v>
      </c>
      <c r="AT274" s="198">
        <v>0</v>
      </c>
      <c r="AU274" s="198">
        <v>475.19</v>
      </c>
      <c r="AV274" s="198">
        <v>10.488436204465582</v>
      </c>
      <c r="AW274" s="198">
        <v>1.7164094761062163</v>
      </c>
      <c r="AX274" s="198">
        <v>277</v>
      </c>
      <c r="AY274" s="198">
        <v>1457</v>
      </c>
      <c r="AZ274" s="198">
        <v>0.19011667810569663</v>
      </c>
      <c r="BA274" s="198">
        <v>0.12642781941004444</v>
      </c>
      <c r="BB274" s="198">
        <v>0</v>
      </c>
      <c r="BC274" s="198">
        <v>1627</v>
      </c>
      <c r="BD274" s="198">
        <v>1886</v>
      </c>
      <c r="BE274" s="198">
        <v>0.8626723223753977</v>
      </c>
      <c r="BF274" s="198">
        <v>0.43303346807900917</v>
      </c>
      <c r="BG274" s="198">
        <v>0</v>
      </c>
      <c r="BH274" s="198">
        <v>0</v>
      </c>
      <c r="BI274" s="198">
        <v>-498.40000000000003</v>
      </c>
      <c r="BJ274" s="198">
        <v>-1196.1599999999999</v>
      </c>
      <c r="BK274" s="198">
        <v>-20434.399999999998</v>
      </c>
      <c r="BL274" s="198">
        <v>-1844.08</v>
      </c>
      <c r="BM274" s="198">
        <v>-26564.72</v>
      </c>
      <c r="BN274" s="198">
        <v>-598.0799999999999</v>
      </c>
      <c r="BO274" s="198">
        <v>52063</v>
      </c>
      <c r="BP274" s="198">
        <v>15813.88045085594</v>
      </c>
      <c r="BQ274" s="198">
        <v>549175</v>
      </c>
      <c r="BR274" s="198">
        <v>163385</v>
      </c>
      <c r="BS274" s="198">
        <v>401924.0422769373</v>
      </c>
      <c r="BT274" s="198">
        <v>19645.457703307464</v>
      </c>
      <c r="BU274" s="198">
        <v>75344.32793068762</v>
      </c>
      <c r="BV274" s="198">
        <v>180286.47575446786</v>
      </c>
      <c r="BW274" s="198">
        <v>285727.21777265106</v>
      </c>
      <c r="BX274" s="198">
        <v>448.56</v>
      </c>
      <c r="BY274" s="198">
        <v>24462.031734294018</v>
      </c>
      <c r="BZ274" s="198">
        <v>1768274.9936232013</v>
      </c>
      <c r="CA274" s="198">
        <v>1673927.8736232012</v>
      </c>
      <c r="CB274" s="198">
        <v>0</v>
      </c>
      <c r="CC274" s="232">
        <v>3764180.204000001</v>
      </c>
      <c r="CD274" s="198">
        <v>-765489</v>
      </c>
      <c r="CE274" s="198">
        <v>-116641.81813999993</v>
      </c>
      <c r="CH274" s="198">
        <v>5105</v>
      </c>
    </row>
    <row r="275" spans="1:86" ht="11.25">
      <c r="A275" s="198">
        <v>889</v>
      </c>
      <c r="B275" s="198" t="s">
        <v>350</v>
      </c>
      <c r="C275" s="198">
        <v>2907</v>
      </c>
      <c r="D275" s="198">
        <v>10998268.76</v>
      </c>
      <c r="E275" s="198">
        <v>5796839.831946007</v>
      </c>
      <c r="F275" s="198">
        <v>1620553.6732646632</v>
      </c>
      <c r="G275" s="198">
        <v>18415662.26521067</v>
      </c>
      <c r="H275" s="198">
        <v>3642.26</v>
      </c>
      <c r="I275" s="198">
        <v>10588049.82</v>
      </c>
      <c r="J275" s="198">
        <v>7827612.445210669</v>
      </c>
      <c r="K275" s="198">
        <v>426290.85510390037</v>
      </c>
      <c r="L275" s="198">
        <v>817438.8595097087</v>
      </c>
      <c r="M275" s="198">
        <v>560428.1321514919</v>
      </c>
      <c r="N275" s="198">
        <v>9631770.29197577</v>
      </c>
      <c r="O275" s="198">
        <v>2646525.35076923</v>
      </c>
      <c r="P275" s="198">
        <v>12278295.642745</v>
      </c>
      <c r="Q275" s="198">
        <v>188</v>
      </c>
      <c r="R275" s="198">
        <v>19</v>
      </c>
      <c r="S275" s="198">
        <v>232</v>
      </c>
      <c r="T275" s="198">
        <v>91</v>
      </c>
      <c r="U275" s="198">
        <v>103</v>
      </c>
      <c r="V275" s="198">
        <v>1539</v>
      </c>
      <c r="W275" s="198">
        <v>375</v>
      </c>
      <c r="X275" s="198">
        <v>266</v>
      </c>
      <c r="Y275" s="198">
        <v>94</v>
      </c>
      <c r="Z275" s="198">
        <v>2876</v>
      </c>
      <c r="AA275" s="198">
        <v>0</v>
      </c>
      <c r="AB275" s="198">
        <v>0</v>
      </c>
      <c r="AC275" s="198">
        <v>31</v>
      </c>
      <c r="AD275" s="198">
        <v>1671.12</v>
      </c>
      <c r="AE275" s="198">
        <v>1.739551917277036</v>
      </c>
      <c r="AF275" s="198">
        <v>735</v>
      </c>
      <c r="AG275" s="198">
        <v>5796839.831946007</v>
      </c>
      <c r="AH275" s="198">
        <v>3327462.719364551</v>
      </c>
      <c r="AI275" s="198">
        <v>1661688.5469684352</v>
      </c>
      <c r="AJ275" s="198">
        <v>807688.5656130208</v>
      </c>
      <c r="AK275" s="198">
        <v>156</v>
      </c>
      <c r="AL275" s="198">
        <v>1178</v>
      </c>
      <c r="AM275" s="198">
        <v>1.0623254828237576</v>
      </c>
      <c r="AN275" s="198">
        <v>31</v>
      </c>
      <c r="AO275" s="198">
        <v>0.010663914688682491</v>
      </c>
      <c r="AP275" s="198">
        <v>0.008940371083029268</v>
      </c>
      <c r="AQ275" s="198">
        <v>0</v>
      </c>
      <c r="AR275" s="198">
        <v>0</v>
      </c>
      <c r="AS275" s="198">
        <v>0</v>
      </c>
      <c r="AT275" s="198">
        <v>0</v>
      </c>
      <c r="AU275" s="198">
        <v>1671.12</v>
      </c>
      <c r="AV275" s="198">
        <v>1.739551917277036</v>
      </c>
      <c r="AW275" s="198">
        <v>10.348901410806944</v>
      </c>
      <c r="AX275" s="198">
        <v>115</v>
      </c>
      <c r="AY275" s="198">
        <v>765</v>
      </c>
      <c r="AZ275" s="198">
        <v>0.1503267973856209</v>
      </c>
      <c r="BA275" s="198">
        <v>0.08663793868996873</v>
      </c>
      <c r="BB275" s="198">
        <v>0.5420333333333334</v>
      </c>
      <c r="BC275" s="198">
        <v>990</v>
      </c>
      <c r="BD275" s="198">
        <v>1026</v>
      </c>
      <c r="BE275" s="198">
        <v>0.9649122807017544</v>
      </c>
      <c r="BF275" s="198">
        <v>0.5352734264053658</v>
      </c>
      <c r="BG275" s="198">
        <v>0</v>
      </c>
      <c r="BH275" s="198">
        <v>0</v>
      </c>
      <c r="BI275" s="198">
        <v>-290.7</v>
      </c>
      <c r="BJ275" s="198">
        <v>-697.68</v>
      </c>
      <c r="BK275" s="198">
        <v>-11918.699999999999</v>
      </c>
      <c r="BL275" s="198">
        <v>-1075.59</v>
      </c>
      <c r="BM275" s="198">
        <v>-15494.31</v>
      </c>
      <c r="BN275" s="198">
        <v>-348.84</v>
      </c>
      <c r="BO275" s="198">
        <v>-7310</v>
      </c>
      <c r="BP275" s="198">
        <v>-2570.9969102814794</v>
      </c>
      <c r="BQ275" s="198">
        <v>304094</v>
      </c>
      <c r="BR275" s="198">
        <v>86201</v>
      </c>
      <c r="BS275" s="198">
        <v>209049.50168991182</v>
      </c>
      <c r="BT275" s="198">
        <v>11733.723567627167</v>
      </c>
      <c r="BU275" s="198">
        <v>30010.95659348567</v>
      </c>
      <c r="BV275" s="198">
        <v>107001.43628257842</v>
      </c>
      <c r="BW275" s="198">
        <v>167437.62332341896</v>
      </c>
      <c r="BX275" s="198">
        <v>261.63</v>
      </c>
      <c r="BY275" s="198">
        <v>-33440.505037031864</v>
      </c>
      <c r="BZ275" s="198">
        <v>872468.3695097087</v>
      </c>
      <c r="CA275" s="198">
        <v>817438.8595097087</v>
      </c>
      <c r="CB275" s="198">
        <v>560428.1321514919</v>
      </c>
      <c r="CC275" s="232">
        <v>2646525.35076923</v>
      </c>
      <c r="CD275" s="198">
        <v>-74716</v>
      </c>
      <c r="CE275" s="198">
        <v>83555.7382</v>
      </c>
      <c r="CH275" s="198">
        <v>2945</v>
      </c>
    </row>
    <row r="276" spans="1:86" ht="11.25">
      <c r="A276" s="198">
        <v>890</v>
      </c>
      <c r="B276" s="198" t="s">
        <v>351</v>
      </c>
      <c r="C276" s="198">
        <v>1260</v>
      </c>
      <c r="D276" s="198">
        <v>4399697.91</v>
      </c>
      <c r="E276" s="198">
        <v>1582857.2174062259</v>
      </c>
      <c r="F276" s="198">
        <v>1286155.3582700195</v>
      </c>
      <c r="G276" s="198">
        <v>7268710.485676246</v>
      </c>
      <c r="H276" s="198">
        <v>3642.26</v>
      </c>
      <c r="I276" s="198">
        <v>4589247.600000001</v>
      </c>
      <c r="J276" s="198">
        <v>2679462.885676245</v>
      </c>
      <c r="K276" s="198">
        <v>3088264.8711508876</v>
      </c>
      <c r="L276" s="198">
        <v>698805.615369894</v>
      </c>
      <c r="M276" s="198">
        <v>-271474.3964676168</v>
      </c>
      <c r="N276" s="198">
        <v>6195058.97572941</v>
      </c>
      <c r="O276" s="198">
        <v>827091.2088674698</v>
      </c>
      <c r="P276" s="198">
        <v>7022150.184596879</v>
      </c>
      <c r="Q276" s="198">
        <v>62</v>
      </c>
      <c r="R276" s="198">
        <v>18</v>
      </c>
      <c r="S276" s="198">
        <v>85</v>
      </c>
      <c r="T276" s="198">
        <v>37</v>
      </c>
      <c r="U276" s="198">
        <v>15</v>
      </c>
      <c r="V276" s="198">
        <v>708</v>
      </c>
      <c r="W276" s="198">
        <v>195</v>
      </c>
      <c r="X276" s="198">
        <v>102</v>
      </c>
      <c r="Y276" s="198">
        <v>38</v>
      </c>
      <c r="Z276" s="198">
        <v>635</v>
      </c>
      <c r="AA276" s="198">
        <v>8</v>
      </c>
      <c r="AB276" s="198">
        <v>576</v>
      </c>
      <c r="AC276" s="198">
        <v>41</v>
      </c>
      <c r="AD276" s="198">
        <v>5144.49</v>
      </c>
      <c r="AE276" s="198">
        <v>0.24492223718969228</v>
      </c>
      <c r="AF276" s="198">
        <v>335</v>
      </c>
      <c r="AG276" s="198">
        <v>1582857.2174062259</v>
      </c>
      <c r="AH276" s="198">
        <v>952059.7418437573</v>
      </c>
      <c r="AI276" s="198">
        <v>431046.5399807538</v>
      </c>
      <c r="AJ276" s="198">
        <v>199750.93558171482</v>
      </c>
      <c r="AK276" s="198">
        <v>70</v>
      </c>
      <c r="AL276" s="198">
        <v>556</v>
      </c>
      <c r="AM276" s="198">
        <v>1.0099538751342816</v>
      </c>
      <c r="AN276" s="198">
        <v>41</v>
      </c>
      <c r="AO276" s="198">
        <v>0.03253968253968254</v>
      </c>
      <c r="AP276" s="198">
        <v>0.03081613893402932</v>
      </c>
      <c r="AQ276" s="198">
        <v>0</v>
      </c>
      <c r="AR276" s="198">
        <v>8</v>
      </c>
      <c r="AS276" s="198">
        <v>576</v>
      </c>
      <c r="AT276" s="198">
        <v>0</v>
      </c>
      <c r="AU276" s="198">
        <v>5144.49</v>
      </c>
      <c r="AV276" s="198">
        <v>0.24492223718969228</v>
      </c>
      <c r="AW276" s="198">
        <v>73.5027227312861</v>
      </c>
      <c r="AX276" s="198">
        <v>95</v>
      </c>
      <c r="AY276" s="198">
        <v>369</v>
      </c>
      <c r="AZ276" s="198">
        <v>0.25745257452574527</v>
      </c>
      <c r="BA276" s="198">
        <v>0.1937637158300931</v>
      </c>
      <c r="BB276" s="198">
        <v>1.941</v>
      </c>
      <c r="BC276" s="198">
        <v>459</v>
      </c>
      <c r="BD276" s="198">
        <v>505</v>
      </c>
      <c r="BE276" s="198">
        <v>0.9089108910891089</v>
      </c>
      <c r="BF276" s="198">
        <v>0.4792720367927204</v>
      </c>
      <c r="BG276" s="198">
        <v>1</v>
      </c>
      <c r="BH276" s="198">
        <v>576</v>
      </c>
      <c r="BI276" s="198">
        <v>-126</v>
      </c>
      <c r="BJ276" s="198">
        <v>-302.4</v>
      </c>
      <c r="BK276" s="198">
        <v>-5166</v>
      </c>
      <c r="BL276" s="198">
        <v>-466.2</v>
      </c>
      <c r="BM276" s="198">
        <v>-6715.8</v>
      </c>
      <c r="BN276" s="198">
        <v>-151.2</v>
      </c>
      <c r="BO276" s="198">
        <v>32233</v>
      </c>
      <c r="BP276" s="198">
        <v>295977.30180672323</v>
      </c>
      <c r="BQ276" s="198">
        <v>114134</v>
      </c>
      <c r="BR276" s="198">
        <v>37115</v>
      </c>
      <c r="BS276" s="198">
        <v>107131.66346656052</v>
      </c>
      <c r="BT276" s="198">
        <v>5615.056836758378</v>
      </c>
      <c r="BU276" s="198">
        <v>13408.48778940565</v>
      </c>
      <c r="BV276" s="198">
        <v>38983.78110031201</v>
      </c>
      <c r="BW276" s="198">
        <v>67010.71616364743</v>
      </c>
      <c r="BX276" s="198">
        <v>113.39999999999999</v>
      </c>
      <c r="BY276" s="198">
        <v>10935.00820648672</v>
      </c>
      <c r="BZ276" s="198">
        <v>722657.415369894</v>
      </c>
      <c r="CA276" s="198">
        <v>698805.615369894</v>
      </c>
      <c r="CB276" s="198">
        <v>-271474.3964676168</v>
      </c>
      <c r="CC276" s="232">
        <v>827091.2088674698</v>
      </c>
      <c r="CD276" s="198">
        <v>125304</v>
      </c>
      <c r="CE276" s="198">
        <v>1369.7662</v>
      </c>
      <c r="CH276" s="198">
        <v>1279</v>
      </c>
    </row>
    <row r="277" spans="1:86" ht="11.25">
      <c r="A277" s="198">
        <v>892</v>
      </c>
      <c r="B277" s="198" t="s">
        <v>352</v>
      </c>
      <c r="C277" s="198">
        <v>3611</v>
      </c>
      <c r="D277" s="198">
        <v>14426672.540000003</v>
      </c>
      <c r="E277" s="198">
        <v>3785760.127262541</v>
      </c>
      <c r="F277" s="198">
        <v>750697.2215042855</v>
      </c>
      <c r="G277" s="198">
        <v>18963129.88876683</v>
      </c>
      <c r="H277" s="198">
        <v>3642.26</v>
      </c>
      <c r="I277" s="198">
        <v>13152200.860000001</v>
      </c>
      <c r="J277" s="198">
        <v>5810929.028766828</v>
      </c>
      <c r="K277" s="198">
        <v>39933.203092993484</v>
      </c>
      <c r="L277" s="198">
        <v>1002733.3997304677</v>
      </c>
      <c r="M277" s="198">
        <v>235607.71549490836</v>
      </c>
      <c r="N277" s="198">
        <v>7089203.3470851965</v>
      </c>
      <c r="O277" s="198">
        <v>3124376.791414634</v>
      </c>
      <c r="P277" s="198">
        <v>10213580.13849983</v>
      </c>
      <c r="Q277" s="198">
        <v>396</v>
      </c>
      <c r="R277" s="198">
        <v>71</v>
      </c>
      <c r="S277" s="198">
        <v>341</v>
      </c>
      <c r="T277" s="198">
        <v>150</v>
      </c>
      <c r="U277" s="198">
        <v>120</v>
      </c>
      <c r="V277" s="198">
        <v>1908</v>
      </c>
      <c r="W277" s="198">
        <v>368</v>
      </c>
      <c r="X277" s="198">
        <v>182</v>
      </c>
      <c r="Y277" s="198">
        <v>75</v>
      </c>
      <c r="Z277" s="198">
        <v>3574</v>
      </c>
      <c r="AA277" s="198">
        <v>5</v>
      </c>
      <c r="AB277" s="198">
        <v>0</v>
      </c>
      <c r="AC277" s="198">
        <v>32</v>
      </c>
      <c r="AD277" s="198">
        <v>348.05</v>
      </c>
      <c r="AE277" s="198">
        <v>10.374946128429823</v>
      </c>
      <c r="AF277" s="198">
        <v>625</v>
      </c>
      <c r="AG277" s="198">
        <v>3785760.127262541</v>
      </c>
      <c r="AH277" s="198">
        <v>2221809.237977906</v>
      </c>
      <c r="AI277" s="198">
        <v>1042861.4921149446</v>
      </c>
      <c r="AJ277" s="198">
        <v>521089.3971696908</v>
      </c>
      <c r="AK277" s="198">
        <v>225</v>
      </c>
      <c r="AL277" s="198">
        <v>1578</v>
      </c>
      <c r="AM277" s="198">
        <v>1.1438097934030294</v>
      </c>
      <c r="AN277" s="198">
        <v>32</v>
      </c>
      <c r="AO277" s="198">
        <v>0.008861811132650235</v>
      </c>
      <c r="AP277" s="198">
        <v>0.007138267526997012</v>
      </c>
      <c r="AQ277" s="198">
        <v>0</v>
      </c>
      <c r="AR277" s="198">
        <v>5</v>
      </c>
      <c r="AS277" s="198">
        <v>0</v>
      </c>
      <c r="AT277" s="198">
        <v>0</v>
      </c>
      <c r="AU277" s="198">
        <v>348.05</v>
      </c>
      <c r="AV277" s="198">
        <v>10.374946128429823</v>
      </c>
      <c r="AW277" s="198">
        <v>1.7351850378817137</v>
      </c>
      <c r="AX277" s="198">
        <v>135</v>
      </c>
      <c r="AY277" s="198">
        <v>1160</v>
      </c>
      <c r="AZ277" s="198">
        <v>0.11637931034482758</v>
      </c>
      <c r="BA277" s="198">
        <v>0.05269045164917541</v>
      </c>
      <c r="BB277" s="198">
        <v>0</v>
      </c>
      <c r="BC277" s="198">
        <v>823</v>
      </c>
      <c r="BD277" s="198">
        <v>1361</v>
      </c>
      <c r="BE277" s="198">
        <v>0.6047024246877296</v>
      </c>
      <c r="BF277" s="198">
        <v>0.17506357039134107</v>
      </c>
      <c r="BG277" s="198">
        <v>0</v>
      </c>
      <c r="BH277" s="198">
        <v>0</v>
      </c>
      <c r="BI277" s="198">
        <v>-361.1</v>
      </c>
      <c r="BJ277" s="198">
        <v>-866.64</v>
      </c>
      <c r="BK277" s="198">
        <v>-14805.099999999999</v>
      </c>
      <c r="BL277" s="198">
        <v>-1336.07</v>
      </c>
      <c r="BM277" s="198">
        <v>-19246.63</v>
      </c>
      <c r="BN277" s="198">
        <v>-433.32</v>
      </c>
      <c r="BO277" s="198">
        <v>67444</v>
      </c>
      <c r="BP277" s="198">
        <v>63468.46938453615</v>
      </c>
      <c r="BQ277" s="198">
        <v>285316</v>
      </c>
      <c r="BR277" s="198">
        <v>92849</v>
      </c>
      <c r="BS277" s="198">
        <v>221767.09672598483</v>
      </c>
      <c r="BT277" s="198">
        <v>8071.591759540226</v>
      </c>
      <c r="BU277" s="198">
        <v>27328.93024877923</v>
      </c>
      <c r="BV277" s="198">
        <v>100574.92665356949</v>
      </c>
      <c r="BW277" s="198">
        <v>191369.88034520726</v>
      </c>
      <c r="BX277" s="198">
        <v>324.99</v>
      </c>
      <c r="BY277" s="198">
        <v>12574.74461285055</v>
      </c>
      <c r="BZ277" s="198">
        <v>1071089.6297304677</v>
      </c>
      <c r="CA277" s="198">
        <v>1002733.3997304677</v>
      </c>
      <c r="CB277" s="198">
        <v>235607.71549490836</v>
      </c>
      <c r="CC277" s="232">
        <v>3124376.791414634</v>
      </c>
      <c r="CD277" s="198">
        <v>-823884</v>
      </c>
      <c r="CE277" s="198">
        <v>49597.98885999998</v>
      </c>
      <c r="CH277" s="198">
        <v>3594</v>
      </c>
    </row>
    <row r="278" spans="1:86" ht="11.25">
      <c r="A278" s="198">
        <v>893</v>
      </c>
      <c r="B278" s="198" t="s">
        <v>353</v>
      </c>
      <c r="C278" s="198">
        <v>7533</v>
      </c>
      <c r="D278" s="198">
        <v>28683068.740000002</v>
      </c>
      <c r="E278" s="198">
        <v>7744718.473775214</v>
      </c>
      <c r="F278" s="198">
        <v>3762975.202342257</v>
      </c>
      <c r="G278" s="198">
        <v>40190762.416117474</v>
      </c>
      <c r="H278" s="198">
        <v>3642.26</v>
      </c>
      <c r="I278" s="198">
        <v>27437144.580000002</v>
      </c>
      <c r="J278" s="198">
        <v>12753617.836117472</v>
      </c>
      <c r="K278" s="198">
        <v>258644.52873162652</v>
      </c>
      <c r="L278" s="198">
        <v>2033122.9050725303</v>
      </c>
      <c r="M278" s="198">
        <v>0</v>
      </c>
      <c r="N278" s="198">
        <v>15045385.26992163</v>
      </c>
      <c r="O278" s="198">
        <v>2102317.3887000014</v>
      </c>
      <c r="P278" s="198">
        <v>17147702.65862163</v>
      </c>
      <c r="Q278" s="198">
        <v>537</v>
      </c>
      <c r="R278" s="198">
        <v>117</v>
      </c>
      <c r="S278" s="198">
        <v>524</v>
      </c>
      <c r="T278" s="198">
        <v>240</v>
      </c>
      <c r="U278" s="198">
        <v>243</v>
      </c>
      <c r="V278" s="198">
        <v>4139</v>
      </c>
      <c r="W278" s="198">
        <v>907</v>
      </c>
      <c r="X278" s="198">
        <v>556</v>
      </c>
      <c r="Y278" s="198">
        <v>270</v>
      </c>
      <c r="Z278" s="198">
        <v>549</v>
      </c>
      <c r="AA278" s="198">
        <v>6550</v>
      </c>
      <c r="AB278" s="198">
        <v>0</v>
      </c>
      <c r="AC278" s="198">
        <v>434</v>
      </c>
      <c r="AD278" s="198">
        <v>732.66</v>
      </c>
      <c r="AE278" s="198">
        <v>10.28171320940136</v>
      </c>
      <c r="AF278" s="198">
        <v>1733</v>
      </c>
      <c r="AG278" s="198">
        <v>7744718.473775214</v>
      </c>
      <c r="AH278" s="198">
        <v>4554714.636763735</v>
      </c>
      <c r="AI278" s="198">
        <v>2147825.042672098</v>
      </c>
      <c r="AJ278" s="198">
        <v>1042178.7943393815</v>
      </c>
      <c r="AK278" s="198">
        <v>153</v>
      </c>
      <c r="AL278" s="198">
        <v>3592</v>
      </c>
      <c r="AM278" s="198">
        <v>0.3416908854992168</v>
      </c>
      <c r="AN278" s="198">
        <v>434</v>
      </c>
      <c r="AO278" s="198">
        <v>0.05761316872427984</v>
      </c>
      <c r="AP278" s="198">
        <v>0.055889625118626614</v>
      </c>
      <c r="AQ278" s="198">
        <v>3</v>
      </c>
      <c r="AR278" s="198">
        <v>6550</v>
      </c>
      <c r="AS278" s="198">
        <v>0</v>
      </c>
      <c r="AT278" s="198">
        <v>0</v>
      </c>
      <c r="AU278" s="198">
        <v>732.66</v>
      </c>
      <c r="AV278" s="198">
        <v>10.28171320940136</v>
      </c>
      <c r="AW278" s="198">
        <v>1.7509194162719124</v>
      </c>
      <c r="AX278" s="198">
        <v>369</v>
      </c>
      <c r="AY278" s="198">
        <v>2151</v>
      </c>
      <c r="AZ278" s="198">
        <v>0.17154811715481172</v>
      </c>
      <c r="BA278" s="198">
        <v>0.10785925845915954</v>
      </c>
      <c r="BB278" s="198">
        <v>0</v>
      </c>
      <c r="BC278" s="198">
        <v>3337</v>
      </c>
      <c r="BD278" s="198">
        <v>3429</v>
      </c>
      <c r="BE278" s="198">
        <v>0.9731700204141149</v>
      </c>
      <c r="BF278" s="198">
        <v>0.5435311661177264</v>
      </c>
      <c r="BG278" s="198">
        <v>0</v>
      </c>
      <c r="BH278" s="198">
        <v>0</v>
      </c>
      <c r="BI278" s="198">
        <v>-753.3000000000001</v>
      </c>
      <c r="BJ278" s="198">
        <v>-1807.9199999999998</v>
      </c>
      <c r="BK278" s="198">
        <v>-30885.299999999996</v>
      </c>
      <c r="BL278" s="198">
        <v>-2787.21</v>
      </c>
      <c r="BM278" s="198">
        <v>-40150.89</v>
      </c>
      <c r="BN278" s="198">
        <v>-903.9599999999999</v>
      </c>
      <c r="BO278" s="198">
        <v>-69710</v>
      </c>
      <c r="BP278" s="198">
        <v>113972.07233760692</v>
      </c>
      <c r="BQ278" s="198">
        <v>659086</v>
      </c>
      <c r="BR278" s="198">
        <v>245210</v>
      </c>
      <c r="BS278" s="198">
        <v>624224.0978398636</v>
      </c>
      <c r="BT278" s="198">
        <v>31886.17452603681</v>
      </c>
      <c r="BU278" s="198">
        <v>51936.5584288604</v>
      </c>
      <c r="BV278" s="198">
        <v>220299.48727579231</v>
      </c>
      <c r="BW278" s="198">
        <v>460164.1608378148</v>
      </c>
      <c r="BX278" s="198">
        <v>677.97</v>
      </c>
      <c r="BY278" s="198">
        <v>-162023.92617344484</v>
      </c>
      <c r="BZ278" s="198">
        <v>2175722.59507253</v>
      </c>
      <c r="CA278" s="198">
        <v>2033122.9050725303</v>
      </c>
      <c r="CB278" s="198">
        <v>0</v>
      </c>
      <c r="CC278" s="232">
        <v>2102317.3887000014</v>
      </c>
      <c r="CD278" s="198">
        <v>-727475</v>
      </c>
      <c r="CE278" s="198">
        <v>-112818.92520000003</v>
      </c>
      <c r="CH278" s="198">
        <v>7524</v>
      </c>
    </row>
    <row r="279" spans="1:86" ht="11.25">
      <c r="A279" s="198">
        <v>895</v>
      </c>
      <c r="B279" s="198" t="s">
        <v>354</v>
      </c>
      <c r="C279" s="198">
        <v>15567</v>
      </c>
      <c r="D279" s="198">
        <v>53491471.36</v>
      </c>
      <c r="E279" s="198">
        <v>21266265.412217762</v>
      </c>
      <c r="F279" s="198">
        <v>2407747.52376659</v>
      </c>
      <c r="G279" s="198">
        <v>77165484.29598436</v>
      </c>
      <c r="H279" s="198">
        <v>3642.26</v>
      </c>
      <c r="I279" s="198">
        <v>56699061.42</v>
      </c>
      <c r="J279" s="198">
        <v>20466422.875984356</v>
      </c>
      <c r="K279" s="198">
        <v>600713.4579716987</v>
      </c>
      <c r="L279" s="198">
        <v>3419589.5907518105</v>
      </c>
      <c r="M279" s="198">
        <v>0</v>
      </c>
      <c r="N279" s="198">
        <v>24486725.924707867</v>
      </c>
      <c r="O279" s="198">
        <v>1785018.6037073229</v>
      </c>
      <c r="P279" s="198">
        <v>26271744.52841519</v>
      </c>
      <c r="Q279" s="198">
        <v>855</v>
      </c>
      <c r="R279" s="198">
        <v>149</v>
      </c>
      <c r="S279" s="198">
        <v>873</v>
      </c>
      <c r="T279" s="198">
        <v>451</v>
      </c>
      <c r="U279" s="198">
        <v>481</v>
      </c>
      <c r="V279" s="198">
        <v>8760</v>
      </c>
      <c r="W279" s="198">
        <v>2354</v>
      </c>
      <c r="X279" s="198">
        <v>1186</v>
      </c>
      <c r="Y279" s="198">
        <v>458</v>
      </c>
      <c r="Z279" s="198">
        <v>15241</v>
      </c>
      <c r="AA279" s="198">
        <v>62</v>
      </c>
      <c r="AB279" s="198">
        <v>1</v>
      </c>
      <c r="AC279" s="198">
        <v>263</v>
      </c>
      <c r="AD279" s="198">
        <v>502.44</v>
      </c>
      <c r="AE279" s="198">
        <v>30.982803916885597</v>
      </c>
      <c r="AF279" s="198">
        <v>3998</v>
      </c>
      <c r="AG279" s="198">
        <v>21266265.412217762</v>
      </c>
      <c r="AH279" s="198">
        <v>12409146.447235169</v>
      </c>
      <c r="AI279" s="198">
        <v>6182193.3928448465</v>
      </c>
      <c r="AJ279" s="198">
        <v>2674925.5721377465</v>
      </c>
      <c r="AK279" s="198">
        <v>731</v>
      </c>
      <c r="AL279" s="198">
        <v>7162</v>
      </c>
      <c r="AM279" s="198">
        <v>0.8187689256673651</v>
      </c>
      <c r="AN279" s="198">
        <v>263</v>
      </c>
      <c r="AO279" s="198">
        <v>0.01689471317530674</v>
      </c>
      <c r="AP279" s="198">
        <v>0.015171169569653517</v>
      </c>
      <c r="AQ279" s="198">
        <v>0</v>
      </c>
      <c r="AR279" s="198">
        <v>62</v>
      </c>
      <c r="AS279" s="198">
        <v>1</v>
      </c>
      <c r="AT279" s="198">
        <v>1</v>
      </c>
      <c r="AU279" s="198">
        <v>502.44</v>
      </c>
      <c r="AV279" s="198">
        <v>30.982803916885597</v>
      </c>
      <c r="AW279" s="198">
        <v>0.5810465488912359</v>
      </c>
      <c r="AX279" s="198">
        <v>592</v>
      </c>
      <c r="AY279" s="198">
        <v>4547</v>
      </c>
      <c r="AZ279" s="198">
        <v>0.1301957334506268</v>
      </c>
      <c r="BA279" s="198">
        <v>0.06650687475497462</v>
      </c>
      <c r="BB279" s="198">
        <v>0</v>
      </c>
      <c r="BC279" s="198">
        <v>6575</v>
      </c>
      <c r="BD279" s="198">
        <v>6319</v>
      </c>
      <c r="BE279" s="198">
        <v>1.0405127393574933</v>
      </c>
      <c r="BF279" s="198">
        <v>0.6108738850611048</v>
      </c>
      <c r="BG279" s="198">
        <v>0</v>
      </c>
      <c r="BH279" s="198">
        <v>1</v>
      </c>
      <c r="BI279" s="198">
        <v>-1556.7</v>
      </c>
      <c r="BJ279" s="198">
        <v>-3736.08</v>
      </c>
      <c r="BK279" s="198">
        <v>-63824.7</v>
      </c>
      <c r="BL279" s="198">
        <v>-5759.79</v>
      </c>
      <c r="BM279" s="198">
        <v>-82972.11</v>
      </c>
      <c r="BN279" s="198">
        <v>-1868.04</v>
      </c>
      <c r="BO279" s="198">
        <v>166575</v>
      </c>
      <c r="BP279" s="198">
        <v>-127042.48566932231</v>
      </c>
      <c r="BQ279" s="198">
        <v>1109415</v>
      </c>
      <c r="BR279" s="198">
        <v>399076</v>
      </c>
      <c r="BS279" s="198">
        <v>905475.307138261</v>
      </c>
      <c r="BT279" s="198">
        <v>41384.80129070485</v>
      </c>
      <c r="BU279" s="198">
        <v>80168.54506648163</v>
      </c>
      <c r="BV279" s="198">
        <v>432683.95358545834</v>
      </c>
      <c r="BW279" s="198">
        <v>796608.4363449226</v>
      </c>
      <c r="BX279" s="198">
        <v>1401.03</v>
      </c>
      <c r="BY279" s="198">
        <v>-91472.68700469522</v>
      </c>
      <c r="BZ279" s="198">
        <v>3714272.9007518105</v>
      </c>
      <c r="CA279" s="198">
        <v>3419589.5907518105</v>
      </c>
      <c r="CB279" s="198">
        <v>0</v>
      </c>
      <c r="CC279" s="232">
        <v>1785018.6037073229</v>
      </c>
      <c r="CD279" s="198">
        <v>-2063414</v>
      </c>
      <c r="CE279" s="198">
        <v>183660.74258000002</v>
      </c>
      <c r="CH279" s="198">
        <v>15463</v>
      </c>
    </row>
    <row r="280" spans="1:86" ht="11.25">
      <c r="A280" s="198">
        <v>785</v>
      </c>
      <c r="B280" s="198" t="s">
        <v>355</v>
      </c>
      <c r="C280" s="198">
        <v>3139</v>
      </c>
      <c r="D280" s="198">
        <v>11717453.89</v>
      </c>
      <c r="E280" s="198">
        <v>6367720.15789197</v>
      </c>
      <c r="F280" s="198">
        <v>1445022.803157477</v>
      </c>
      <c r="G280" s="198">
        <v>19530196.85104945</v>
      </c>
      <c r="H280" s="198">
        <v>3642.26</v>
      </c>
      <c r="I280" s="198">
        <v>11433054.14</v>
      </c>
      <c r="J280" s="198">
        <v>8097142.711049449</v>
      </c>
      <c r="K280" s="198">
        <v>1495514.5070082606</v>
      </c>
      <c r="L280" s="198">
        <v>966926.0633681851</v>
      </c>
      <c r="M280" s="198">
        <v>0</v>
      </c>
      <c r="N280" s="198">
        <v>10559583.281425893</v>
      </c>
      <c r="O280" s="198">
        <v>2702949.2286511627</v>
      </c>
      <c r="P280" s="198">
        <v>13262532.510077056</v>
      </c>
      <c r="Q280" s="198">
        <v>131</v>
      </c>
      <c r="R280" s="198">
        <v>25</v>
      </c>
      <c r="S280" s="198">
        <v>181</v>
      </c>
      <c r="T280" s="198">
        <v>108</v>
      </c>
      <c r="U280" s="198">
        <v>108</v>
      </c>
      <c r="V280" s="198">
        <v>1615</v>
      </c>
      <c r="W280" s="198">
        <v>510</v>
      </c>
      <c r="X280" s="198">
        <v>343</v>
      </c>
      <c r="Y280" s="198">
        <v>118</v>
      </c>
      <c r="Z280" s="198">
        <v>3115</v>
      </c>
      <c r="AA280" s="198">
        <v>4</v>
      </c>
      <c r="AB280" s="198">
        <v>0</v>
      </c>
      <c r="AC280" s="198">
        <v>20</v>
      </c>
      <c r="AD280" s="198">
        <v>1302.11</v>
      </c>
      <c r="AE280" s="198">
        <v>2.4107026288101623</v>
      </c>
      <c r="AF280" s="198">
        <v>971</v>
      </c>
      <c r="AG280" s="198">
        <v>6367720.15789197</v>
      </c>
      <c r="AH280" s="198">
        <v>3854562.956455863</v>
      </c>
      <c r="AI280" s="198">
        <v>1714153.4591092477</v>
      </c>
      <c r="AJ280" s="198">
        <v>799003.7423268593</v>
      </c>
      <c r="AK280" s="198">
        <v>228</v>
      </c>
      <c r="AL280" s="198">
        <v>1264</v>
      </c>
      <c r="AM280" s="198">
        <v>1.446991781679731</v>
      </c>
      <c r="AN280" s="198">
        <v>20</v>
      </c>
      <c r="AO280" s="198">
        <v>0.0063714558776680474</v>
      </c>
      <c r="AP280" s="198">
        <v>0.004647912272014824</v>
      </c>
      <c r="AQ280" s="198">
        <v>0</v>
      </c>
      <c r="AR280" s="198">
        <v>4</v>
      </c>
      <c r="AS280" s="198">
        <v>0</v>
      </c>
      <c r="AT280" s="198">
        <v>1</v>
      </c>
      <c r="AU280" s="198">
        <v>1302.11</v>
      </c>
      <c r="AV280" s="198">
        <v>2.4107026288101623</v>
      </c>
      <c r="AW280" s="198">
        <v>7.46771960827272</v>
      </c>
      <c r="AX280" s="198">
        <v>102</v>
      </c>
      <c r="AY280" s="198">
        <v>806</v>
      </c>
      <c r="AZ280" s="198">
        <v>0.12655086848635236</v>
      </c>
      <c r="BA280" s="198">
        <v>0.06286200979070018</v>
      </c>
      <c r="BB280" s="198">
        <v>1.4197166666666665</v>
      </c>
      <c r="BC280" s="198">
        <v>938</v>
      </c>
      <c r="BD280" s="198">
        <v>983</v>
      </c>
      <c r="BE280" s="198">
        <v>0.9542217700915565</v>
      </c>
      <c r="BF280" s="198">
        <v>0.524582915795168</v>
      </c>
      <c r="BG280" s="198">
        <v>0</v>
      </c>
      <c r="BH280" s="198">
        <v>0</v>
      </c>
      <c r="BI280" s="198">
        <v>-313.90000000000003</v>
      </c>
      <c r="BJ280" s="198">
        <v>-753.36</v>
      </c>
      <c r="BK280" s="198">
        <v>-12869.9</v>
      </c>
      <c r="BL280" s="198">
        <v>-1161.43</v>
      </c>
      <c r="BM280" s="198">
        <v>-16730.87</v>
      </c>
      <c r="BN280" s="198">
        <v>-376.68</v>
      </c>
      <c r="BO280" s="198">
        <v>87467</v>
      </c>
      <c r="BP280" s="198">
        <v>-70951.2395362258</v>
      </c>
      <c r="BQ280" s="198">
        <v>310888</v>
      </c>
      <c r="BR280" s="198">
        <v>92189</v>
      </c>
      <c r="BS280" s="198">
        <v>250966.4378107918</v>
      </c>
      <c r="BT280" s="198">
        <v>15001.394378429974</v>
      </c>
      <c r="BU280" s="198">
        <v>44539.947269726195</v>
      </c>
      <c r="BV280" s="198">
        <v>126757.85397782503</v>
      </c>
      <c r="BW280" s="198">
        <v>168502.54835648762</v>
      </c>
      <c r="BX280" s="198">
        <v>282.51</v>
      </c>
      <c r="BY280" s="198">
        <v>703.881111150291</v>
      </c>
      <c r="BZ280" s="198">
        <v>1026347.3333681851</v>
      </c>
      <c r="CA280" s="198">
        <v>966926.0633681851</v>
      </c>
      <c r="CB280" s="198">
        <v>0</v>
      </c>
      <c r="CC280" s="232">
        <v>2702949.2286511627</v>
      </c>
      <c r="CD280" s="198">
        <v>-198008</v>
      </c>
      <c r="CE280" s="198">
        <v>39847.744000000006</v>
      </c>
      <c r="CH280" s="198">
        <v>3193</v>
      </c>
    </row>
    <row r="281" spans="1:86" ht="11.25">
      <c r="A281" s="198">
        <v>905</v>
      </c>
      <c r="B281" s="198" t="s">
        <v>356</v>
      </c>
      <c r="C281" s="198">
        <v>66965</v>
      </c>
      <c r="D281" s="198">
        <v>225927127.87</v>
      </c>
      <c r="E281" s="198">
        <v>70647538.80032775</v>
      </c>
      <c r="F281" s="198">
        <v>21895311.43197815</v>
      </c>
      <c r="G281" s="198">
        <v>318469978.10230595</v>
      </c>
      <c r="H281" s="198">
        <v>3642.26</v>
      </c>
      <c r="I281" s="198">
        <v>243903940.9</v>
      </c>
      <c r="J281" s="198">
        <v>74566037.20230594</v>
      </c>
      <c r="K281" s="198">
        <v>3546400.743445514</v>
      </c>
      <c r="L281" s="198">
        <v>12162346.73001735</v>
      </c>
      <c r="M281" s="198">
        <v>0</v>
      </c>
      <c r="N281" s="198">
        <v>90274784.67576881</v>
      </c>
      <c r="O281" s="198">
        <v>-6352530.160286845</v>
      </c>
      <c r="P281" s="198">
        <v>83922254.51548196</v>
      </c>
      <c r="Q281" s="198">
        <v>4466</v>
      </c>
      <c r="R281" s="198">
        <v>736</v>
      </c>
      <c r="S281" s="198">
        <v>4306</v>
      </c>
      <c r="T281" s="198">
        <v>1959</v>
      </c>
      <c r="U281" s="198">
        <v>2101</v>
      </c>
      <c r="V281" s="198">
        <v>41103</v>
      </c>
      <c r="W281" s="198">
        <v>6584</v>
      </c>
      <c r="X281" s="198">
        <v>4049</v>
      </c>
      <c r="Y281" s="198">
        <v>1661</v>
      </c>
      <c r="Z281" s="198">
        <v>46690</v>
      </c>
      <c r="AA281" s="198">
        <v>15172</v>
      </c>
      <c r="AB281" s="198">
        <v>7</v>
      </c>
      <c r="AC281" s="198">
        <v>5096</v>
      </c>
      <c r="AD281" s="198">
        <v>364.26</v>
      </c>
      <c r="AE281" s="198">
        <v>183.8384670290452</v>
      </c>
      <c r="AF281" s="198">
        <v>12294</v>
      </c>
      <c r="AG281" s="198">
        <v>70647538.80032775</v>
      </c>
      <c r="AH281" s="198">
        <v>43511186.694288135</v>
      </c>
      <c r="AI281" s="198">
        <v>18859715.514327683</v>
      </c>
      <c r="AJ281" s="198">
        <v>8276636.591711924</v>
      </c>
      <c r="AK281" s="198">
        <v>3234</v>
      </c>
      <c r="AL281" s="198">
        <v>32527</v>
      </c>
      <c r="AM281" s="198">
        <v>0.7975800775155815</v>
      </c>
      <c r="AN281" s="198">
        <v>5096</v>
      </c>
      <c r="AO281" s="198">
        <v>0.07609945493914731</v>
      </c>
      <c r="AP281" s="198">
        <v>0.07437591133349408</v>
      </c>
      <c r="AQ281" s="198">
        <v>1</v>
      </c>
      <c r="AR281" s="198">
        <v>15172</v>
      </c>
      <c r="AS281" s="198">
        <v>7</v>
      </c>
      <c r="AT281" s="198">
        <v>0</v>
      </c>
      <c r="AU281" s="198">
        <v>364.26</v>
      </c>
      <c r="AV281" s="198">
        <v>183.8384670290452</v>
      </c>
      <c r="AW281" s="198">
        <v>0.09792537754373234</v>
      </c>
      <c r="AX281" s="198">
        <v>2640</v>
      </c>
      <c r="AY281" s="198">
        <v>20574</v>
      </c>
      <c r="AZ281" s="198">
        <v>0.1283172936716244</v>
      </c>
      <c r="BA281" s="198">
        <v>0.06462843497597222</v>
      </c>
      <c r="BB281" s="198">
        <v>0</v>
      </c>
      <c r="BC281" s="198">
        <v>37837</v>
      </c>
      <c r="BD281" s="198">
        <v>29840</v>
      </c>
      <c r="BE281" s="198">
        <v>1.2679959785522787</v>
      </c>
      <c r="BF281" s="198">
        <v>0.8383571242558903</v>
      </c>
      <c r="BG281" s="198">
        <v>0</v>
      </c>
      <c r="BH281" s="198">
        <v>7</v>
      </c>
      <c r="BI281" s="198">
        <v>-6696.5</v>
      </c>
      <c r="BJ281" s="198">
        <v>-16071.599999999999</v>
      </c>
      <c r="BK281" s="198">
        <v>-274556.5</v>
      </c>
      <c r="BL281" s="198">
        <v>-24777.05</v>
      </c>
      <c r="BM281" s="198">
        <v>-356923.45</v>
      </c>
      <c r="BN281" s="198">
        <v>-8035.799999999999</v>
      </c>
      <c r="BO281" s="198">
        <v>-766334</v>
      </c>
      <c r="BP281" s="198">
        <v>274345.0710465126</v>
      </c>
      <c r="BQ281" s="198">
        <v>4274447</v>
      </c>
      <c r="BR281" s="198">
        <v>1565331</v>
      </c>
      <c r="BS281" s="198">
        <v>3626619.6572058755</v>
      </c>
      <c r="BT281" s="198">
        <v>138381.79957621533</v>
      </c>
      <c r="BU281" s="198">
        <v>123045.09646081526</v>
      </c>
      <c r="BV281" s="198">
        <v>1613817.4548447337</v>
      </c>
      <c r="BW281" s="198">
        <v>3415199.5318905762</v>
      </c>
      <c r="BX281" s="198">
        <v>6026.849999999999</v>
      </c>
      <c r="BY281" s="198">
        <v>-840885.2810073787</v>
      </c>
      <c r="BZ281" s="198">
        <v>13429994.18001735</v>
      </c>
      <c r="CA281" s="198">
        <v>12162346.73001735</v>
      </c>
      <c r="CB281" s="198">
        <v>0</v>
      </c>
      <c r="CC281" s="232">
        <v>-6352530.160286845</v>
      </c>
      <c r="CD281" s="198">
        <v>23879408</v>
      </c>
      <c r="CE281" s="198">
        <v>-3437491.7862420003</v>
      </c>
      <c r="CH281" s="198">
        <v>66321</v>
      </c>
    </row>
    <row r="282" spans="1:86" ht="11.25">
      <c r="A282" s="198">
        <v>908</v>
      </c>
      <c r="B282" s="198" t="s">
        <v>357</v>
      </c>
      <c r="C282" s="198">
        <v>21162</v>
      </c>
      <c r="D282" s="198">
        <v>76656828.39</v>
      </c>
      <c r="E282" s="198">
        <v>25103654.23890134</v>
      </c>
      <c r="F282" s="198">
        <v>3704484.7169440454</v>
      </c>
      <c r="G282" s="198">
        <v>105464967.34584537</v>
      </c>
      <c r="H282" s="198">
        <v>3642.26</v>
      </c>
      <c r="I282" s="198">
        <v>77077506.12</v>
      </c>
      <c r="J282" s="198">
        <v>28387461.225845367</v>
      </c>
      <c r="K282" s="198">
        <v>621779.3170580012</v>
      </c>
      <c r="L282" s="198">
        <v>4468954.827503956</v>
      </c>
      <c r="M282" s="198">
        <v>0</v>
      </c>
      <c r="N282" s="198">
        <v>33478195.370407324</v>
      </c>
      <c r="O282" s="198">
        <v>3406377.9919999978</v>
      </c>
      <c r="P282" s="198">
        <v>36884573.36240732</v>
      </c>
      <c r="Q282" s="198">
        <v>1390</v>
      </c>
      <c r="R282" s="198">
        <v>244</v>
      </c>
      <c r="S282" s="198">
        <v>1408</v>
      </c>
      <c r="T282" s="198">
        <v>708</v>
      </c>
      <c r="U282" s="198">
        <v>710</v>
      </c>
      <c r="V282" s="198">
        <v>11677</v>
      </c>
      <c r="W282" s="198">
        <v>2888</v>
      </c>
      <c r="X282" s="198">
        <v>1516</v>
      </c>
      <c r="Y282" s="198">
        <v>621</v>
      </c>
      <c r="Z282" s="198">
        <v>20491</v>
      </c>
      <c r="AA282" s="198">
        <v>44</v>
      </c>
      <c r="AB282" s="198">
        <v>0</v>
      </c>
      <c r="AC282" s="198">
        <v>627</v>
      </c>
      <c r="AD282" s="198">
        <v>271.95</v>
      </c>
      <c r="AE282" s="198">
        <v>77.8157749586321</v>
      </c>
      <c r="AF282" s="198">
        <v>5025</v>
      </c>
      <c r="AG282" s="198">
        <v>25103654.23890134</v>
      </c>
      <c r="AH282" s="198">
        <v>14510383.052825175</v>
      </c>
      <c r="AI282" s="198">
        <v>8039933.139944679</v>
      </c>
      <c r="AJ282" s="198">
        <v>2553338.0461314847</v>
      </c>
      <c r="AK282" s="198">
        <v>1304</v>
      </c>
      <c r="AL282" s="198">
        <v>9617</v>
      </c>
      <c r="AM282" s="198">
        <v>1.0877178781107226</v>
      </c>
      <c r="AN282" s="198">
        <v>627</v>
      </c>
      <c r="AO282" s="198">
        <v>0.029628579529345053</v>
      </c>
      <c r="AP282" s="198">
        <v>0.02790503592369183</v>
      </c>
      <c r="AQ282" s="198">
        <v>0</v>
      </c>
      <c r="AR282" s="198">
        <v>44</v>
      </c>
      <c r="AS282" s="198">
        <v>0</v>
      </c>
      <c r="AT282" s="198">
        <v>0</v>
      </c>
      <c r="AU282" s="198">
        <v>271.95</v>
      </c>
      <c r="AV282" s="198">
        <v>77.8157749586321</v>
      </c>
      <c r="AW282" s="198">
        <v>0.23134706684410175</v>
      </c>
      <c r="AX282" s="198">
        <v>618</v>
      </c>
      <c r="AY282" s="198">
        <v>6531</v>
      </c>
      <c r="AZ282" s="198">
        <v>0.09462563160312357</v>
      </c>
      <c r="BA282" s="198">
        <v>0.03093677290747139</v>
      </c>
      <c r="BB282" s="198">
        <v>0</v>
      </c>
      <c r="BC282" s="198">
        <v>7261</v>
      </c>
      <c r="BD282" s="198">
        <v>8115</v>
      </c>
      <c r="BE282" s="198">
        <v>0.8947627849661122</v>
      </c>
      <c r="BF282" s="198">
        <v>0.46512393066972363</v>
      </c>
      <c r="BG282" s="198">
        <v>0</v>
      </c>
      <c r="BH282" s="198">
        <v>0</v>
      </c>
      <c r="BI282" s="198">
        <v>-2116.2000000000003</v>
      </c>
      <c r="BJ282" s="198">
        <v>-5078.88</v>
      </c>
      <c r="BK282" s="198">
        <v>-86764.2</v>
      </c>
      <c r="BL282" s="198">
        <v>-7829.94</v>
      </c>
      <c r="BM282" s="198">
        <v>-112793.46</v>
      </c>
      <c r="BN282" s="198">
        <v>-2539.44</v>
      </c>
      <c r="BO282" s="198">
        <v>606941</v>
      </c>
      <c r="BP282" s="198">
        <v>29654.960622604936</v>
      </c>
      <c r="BQ282" s="198">
        <v>1300662</v>
      </c>
      <c r="BR282" s="198">
        <v>441444</v>
      </c>
      <c r="BS282" s="198">
        <v>804355.6399916415</v>
      </c>
      <c r="BT282" s="198">
        <v>27221.020783908443</v>
      </c>
      <c r="BU282" s="198">
        <v>143785.4359805037</v>
      </c>
      <c r="BV282" s="198">
        <v>492082.1333048082</v>
      </c>
      <c r="BW282" s="198">
        <v>908145.4053721318</v>
      </c>
      <c r="BX282" s="198">
        <v>1904.58</v>
      </c>
      <c r="BY282" s="198">
        <v>113355.31144835742</v>
      </c>
      <c r="BZ282" s="198">
        <v>4869551.487503956</v>
      </c>
      <c r="CA282" s="198">
        <v>4468954.827503956</v>
      </c>
      <c r="CB282" s="198">
        <v>0</v>
      </c>
      <c r="CC282" s="232">
        <v>3406377.9919999978</v>
      </c>
      <c r="CD282" s="198">
        <v>-577791</v>
      </c>
      <c r="CE282" s="198">
        <v>-93268.62579999992</v>
      </c>
      <c r="CH282" s="198">
        <v>21129</v>
      </c>
    </row>
    <row r="283" spans="1:86" ht="11.25">
      <c r="A283" s="198">
        <v>911</v>
      </c>
      <c r="B283" s="198" t="s">
        <v>358</v>
      </c>
      <c r="C283" s="198">
        <v>2362</v>
      </c>
      <c r="D283" s="198">
        <v>9138609.170000002</v>
      </c>
      <c r="E283" s="198">
        <v>5134347.006870802</v>
      </c>
      <c r="F283" s="198">
        <v>923991.2037207994</v>
      </c>
      <c r="G283" s="198">
        <v>15196947.380591603</v>
      </c>
      <c r="H283" s="198">
        <v>3642.26</v>
      </c>
      <c r="I283" s="198">
        <v>8603018.120000001</v>
      </c>
      <c r="J283" s="198">
        <v>6593929.260591602</v>
      </c>
      <c r="K283" s="198">
        <v>837273.8280373557</v>
      </c>
      <c r="L283" s="198">
        <v>1004847.4811201488</v>
      </c>
      <c r="M283" s="198">
        <v>0</v>
      </c>
      <c r="N283" s="198">
        <v>8436050.569749108</v>
      </c>
      <c r="O283" s="198">
        <v>1867788.9185000006</v>
      </c>
      <c r="P283" s="198">
        <v>10303839.488249108</v>
      </c>
      <c r="Q283" s="198">
        <v>116</v>
      </c>
      <c r="R283" s="198">
        <v>17</v>
      </c>
      <c r="S283" s="198">
        <v>120</v>
      </c>
      <c r="T283" s="198">
        <v>78</v>
      </c>
      <c r="U283" s="198">
        <v>53</v>
      </c>
      <c r="V283" s="198">
        <v>1246</v>
      </c>
      <c r="W283" s="198">
        <v>385</v>
      </c>
      <c r="X283" s="198">
        <v>227</v>
      </c>
      <c r="Y283" s="198">
        <v>120</v>
      </c>
      <c r="Z283" s="198">
        <v>2340</v>
      </c>
      <c r="AA283" s="198">
        <v>2</v>
      </c>
      <c r="AB283" s="198">
        <v>0</v>
      </c>
      <c r="AC283" s="198">
        <v>20</v>
      </c>
      <c r="AD283" s="198">
        <v>800.32</v>
      </c>
      <c r="AE283" s="198">
        <v>2.9513194722111153</v>
      </c>
      <c r="AF283" s="198">
        <v>732</v>
      </c>
      <c r="AG283" s="198">
        <v>5134347.006870802</v>
      </c>
      <c r="AH283" s="198">
        <v>2916489.9656210467</v>
      </c>
      <c r="AI283" s="198">
        <v>1688082.8207939023</v>
      </c>
      <c r="AJ283" s="198">
        <v>529774.2204558523</v>
      </c>
      <c r="AK283" s="198">
        <v>141</v>
      </c>
      <c r="AL283" s="198">
        <v>974</v>
      </c>
      <c r="AM283" s="198">
        <v>1.1612840128340736</v>
      </c>
      <c r="AN283" s="198">
        <v>20</v>
      </c>
      <c r="AO283" s="198">
        <v>0.00846740050804403</v>
      </c>
      <c r="AP283" s="198">
        <v>0.006743856902390807</v>
      </c>
      <c r="AQ283" s="198">
        <v>0</v>
      </c>
      <c r="AR283" s="198">
        <v>2</v>
      </c>
      <c r="AS283" s="198">
        <v>0</v>
      </c>
      <c r="AT283" s="198">
        <v>0</v>
      </c>
      <c r="AU283" s="198">
        <v>800.32</v>
      </c>
      <c r="AV283" s="198">
        <v>2.9513194722111153</v>
      </c>
      <c r="AW283" s="198">
        <v>6.099797551700794</v>
      </c>
      <c r="AX283" s="198">
        <v>84</v>
      </c>
      <c r="AY283" s="198">
        <v>593</v>
      </c>
      <c r="AZ283" s="198">
        <v>0.14165261382799327</v>
      </c>
      <c r="BA283" s="198">
        <v>0.07796375513234109</v>
      </c>
      <c r="BB283" s="198">
        <v>1.0525833333333332</v>
      </c>
      <c r="BC283" s="198">
        <v>669</v>
      </c>
      <c r="BD283" s="198">
        <v>798</v>
      </c>
      <c r="BE283" s="198">
        <v>0.8383458646616542</v>
      </c>
      <c r="BF283" s="198">
        <v>0.40870701036526563</v>
      </c>
      <c r="BG283" s="198">
        <v>0</v>
      </c>
      <c r="BH283" s="198">
        <v>0</v>
      </c>
      <c r="BI283" s="198">
        <v>-236.20000000000002</v>
      </c>
      <c r="BJ283" s="198">
        <v>-566.88</v>
      </c>
      <c r="BK283" s="198">
        <v>-9684.199999999999</v>
      </c>
      <c r="BL283" s="198">
        <v>-873.9399999999999</v>
      </c>
      <c r="BM283" s="198">
        <v>-12589.460000000001</v>
      </c>
      <c r="BN283" s="198">
        <v>-283.44</v>
      </c>
      <c r="BO283" s="198">
        <v>189818</v>
      </c>
      <c r="BP283" s="198">
        <v>96380.14033571817</v>
      </c>
      <c r="BQ283" s="198">
        <v>238421</v>
      </c>
      <c r="BR283" s="198">
        <v>73261</v>
      </c>
      <c r="BS283" s="198">
        <v>199069.2625320524</v>
      </c>
      <c r="BT283" s="198">
        <v>12189.992792026218</v>
      </c>
      <c r="BU283" s="198">
        <v>21380.662376640852</v>
      </c>
      <c r="BV283" s="198">
        <v>101836.40632784022</v>
      </c>
      <c r="BW283" s="198">
        <v>128470.55924711959</v>
      </c>
      <c r="BX283" s="198">
        <v>212.57999999999998</v>
      </c>
      <c r="BY283" s="198">
        <v>-11479.462491248822</v>
      </c>
      <c r="BZ283" s="198">
        <v>1049560.1411201488</v>
      </c>
      <c r="CA283" s="198">
        <v>1004847.4811201488</v>
      </c>
      <c r="CB283" s="198">
        <v>0</v>
      </c>
      <c r="CC283" s="232">
        <v>1867788.9185000006</v>
      </c>
      <c r="CD283" s="198">
        <v>-524848</v>
      </c>
      <c r="CE283" s="198">
        <v>16188.146</v>
      </c>
      <c r="CH283" s="198">
        <v>2379</v>
      </c>
    </row>
    <row r="284" spans="1:86" ht="11.25">
      <c r="A284" s="198">
        <v>92</v>
      </c>
      <c r="B284" s="198" t="s">
        <v>359</v>
      </c>
      <c r="C284" s="198">
        <v>210803</v>
      </c>
      <c r="D284" s="198">
        <v>674378357.6899999</v>
      </c>
      <c r="E284" s="198">
        <v>180604719.03045285</v>
      </c>
      <c r="F284" s="198">
        <v>93452019.87554047</v>
      </c>
      <c r="G284" s="198">
        <v>948435096.5959933</v>
      </c>
      <c r="H284" s="198">
        <v>3642.26</v>
      </c>
      <c r="I284" s="198">
        <v>767799334.7800001</v>
      </c>
      <c r="J284" s="198">
        <v>180635761.8159932</v>
      </c>
      <c r="K284" s="198">
        <v>8370608.127037071</v>
      </c>
      <c r="L284" s="198">
        <v>29951333.844235443</v>
      </c>
      <c r="M284" s="198">
        <v>-54715.643584848265</v>
      </c>
      <c r="N284" s="198">
        <v>218902988.14368087</v>
      </c>
      <c r="O284" s="198">
        <v>-47369747.52688926</v>
      </c>
      <c r="P284" s="198">
        <v>171533240.6167916</v>
      </c>
      <c r="Q284" s="198">
        <v>16008</v>
      </c>
      <c r="R284" s="198">
        <v>2684</v>
      </c>
      <c r="S284" s="198">
        <v>14926</v>
      </c>
      <c r="T284" s="198">
        <v>6983</v>
      </c>
      <c r="U284" s="198">
        <v>7055</v>
      </c>
      <c r="V284" s="198">
        <v>132607</v>
      </c>
      <c r="W284" s="198">
        <v>19465</v>
      </c>
      <c r="X284" s="198">
        <v>8720</v>
      </c>
      <c r="Y284" s="198">
        <v>2355</v>
      </c>
      <c r="Z284" s="198">
        <v>174815</v>
      </c>
      <c r="AA284" s="198">
        <v>5704</v>
      </c>
      <c r="AB284" s="198">
        <v>22</v>
      </c>
      <c r="AC284" s="198">
        <v>30262</v>
      </c>
      <c r="AD284" s="198">
        <v>238.37</v>
      </c>
      <c r="AE284" s="198">
        <v>884.3520577253848</v>
      </c>
      <c r="AF284" s="198">
        <v>30540</v>
      </c>
      <c r="AG284" s="198">
        <v>180604719.03045285</v>
      </c>
      <c r="AH284" s="198">
        <v>113152408.59740202</v>
      </c>
      <c r="AI284" s="198">
        <v>42370540.78261636</v>
      </c>
      <c r="AJ284" s="198">
        <v>25081769.650434453</v>
      </c>
      <c r="AK284" s="198">
        <v>11859</v>
      </c>
      <c r="AL284" s="198">
        <v>111140</v>
      </c>
      <c r="AM284" s="198">
        <v>0.8559649233786086</v>
      </c>
      <c r="AN284" s="198">
        <v>30262</v>
      </c>
      <c r="AO284" s="198">
        <v>0.14355583174812503</v>
      </c>
      <c r="AP284" s="198">
        <v>0.1418322881424718</v>
      </c>
      <c r="AQ284" s="198">
        <v>1</v>
      </c>
      <c r="AR284" s="198">
        <v>5704</v>
      </c>
      <c r="AS284" s="198">
        <v>22</v>
      </c>
      <c r="AT284" s="198">
        <v>0</v>
      </c>
      <c r="AU284" s="198">
        <v>238.37</v>
      </c>
      <c r="AV284" s="198">
        <v>884.3520577253848</v>
      </c>
      <c r="AW284" s="198">
        <v>0.020356656756341813</v>
      </c>
      <c r="AX284" s="198">
        <v>15962</v>
      </c>
      <c r="AY284" s="198">
        <v>76659</v>
      </c>
      <c r="AZ284" s="198">
        <v>0.2082208220822082</v>
      </c>
      <c r="BA284" s="198">
        <v>0.14453196338655605</v>
      </c>
      <c r="BB284" s="198">
        <v>0</v>
      </c>
      <c r="BC284" s="198">
        <v>106420</v>
      </c>
      <c r="BD284" s="198">
        <v>100564</v>
      </c>
      <c r="BE284" s="198">
        <v>1.0582315739230739</v>
      </c>
      <c r="BF284" s="198">
        <v>0.6285927196266854</v>
      </c>
      <c r="BG284" s="198">
        <v>0</v>
      </c>
      <c r="BH284" s="198">
        <v>22</v>
      </c>
      <c r="BI284" s="198">
        <v>-21080.300000000003</v>
      </c>
      <c r="BJ284" s="198">
        <v>-50592.72</v>
      </c>
      <c r="BK284" s="198">
        <v>-864292.2999999999</v>
      </c>
      <c r="BL284" s="198">
        <v>-77997.11</v>
      </c>
      <c r="BM284" s="198">
        <v>-1123579.99</v>
      </c>
      <c r="BN284" s="198">
        <v>-25296.36</v>
      </c>
      <c r="BO284" s="198">
        <v>-3024032</v>
      </c>
      <c r="BP284" s="198">
        <v>-133128.08959154785</v>
      </c>
      <c r="BQ284" s="198">
        <v>10598953</v>
      </c>
      <c r="BR284" s="198">
        <v>4100799</v>
      </c>
      <c r="BS284" s="198">
        <v>9211292.593758624</v>
      </c>
      <c r="BT284" s="198">
        <v>227178.49044565213</v>
      </c>
      <c r="BU284" s="198">
        <v>82298.47186307986</v>
      </c>
      <c r="BV284" s="198">
        <v>3932399.72004996</v>
      </c>
      <c r="BW284" s="198">
        <v>9463835.882515142</v>
      </c>
      <c r="BX284" s="198">
        <v>18972.27</v>
      </c>
      <c r="BY284" s="198">
        <v>-536734.7048054747</v>
      </c>
      <c r="BZ284" s="198">
        <v>33941834.63423544</v>
      </c>
      <c r="CA284" s="198">
        <v>29951333.844235443</v>
      </c>
      <c r="CB284" s="198">
        <v>-54715.643584848265</v>
      </c>
      <c r="CC284" s="232">
        <v>-47369747.52688926</v>
      </c>
      <c r="CD284" s="198">
        <v>11838286</v>
      </c>
      <c r="CE284" s="198">
        <v>-5496835.648582008</v>
      </c>
      <c r="CH284" s="198">
        <v>208098</v>
      </c>
    </row>
    <row r="285" spans="1:86" ht="11.25">
      <c r="A285" s="198">
        <v>915</v>
      </c>
      <c r="B285" s="198" t="s">
        <v>360</v>
      </c>
      <c r="C285" s="198">
        <v>21860</v>
      </c>
      <c r="D285" s="198">
        <v>76899882.66</v>
      </c>
      <c r="E285" s="198">
        <v>36384041.13358822</v>
      </c>
      <c r="F285" s="198">
        <v>4672144.483761433</v>
      </c>
      <c r="G285" s="198">
        <v>117956068.27734965</v>
      </c>
      <c r="H285" s="198">
        <v>3642.26</v>
      </c>
      <c r="I285" s="198">
        <v>79619803.60000001</v>
      </c>
      <c r="J285" s="198">
        <v>38336264.67734964</v>
      </c>
      <c r="K285" s="198">
        <v>934604.70531873</v>
      </c>
      <c r="L285" s="198">
        <v>5488520.7968160845</v>
      </c>
      <c r="M285" s="198">
        <v>0</v>
      </c>
      <c r="N285" s="198">
        <v>44759390.17948446</v>
      </c>
      <c r="O285" s="198">
        <v>7350418.113951216</v>
      </c>
      <c r="P285" s="198">
        <v>52109808.29343567</v>
      </c>
      <c r="Q285" s="198">
        <v>1076</v>
      </c>
      <c r="R285" s="198">
        <v>187</v>
      </c>
      <c r="S285" s="198">
        <v>1189</v>
      </c>
      <c r="T285" s="198">
        <v>679</v>
      </c>
      <c r="U285" s="198">
        <v>736</v>
      </c>
      <c r="V285" s="198">
        <v>12418</v>
      </c>
      <c r="W285" s="198">
        <v>3000</v>
      </c>
      <c r="X285" s="198">
        <v>1825</v>
      </c>
      <c r="Y285" s="198">
        <v>750</v>
      </c>
      <c r="Z285" s="198">
        <v>21193</v>
      </c>
      <c r="AA285" s="198">
        <v>54</v>
      </c>
      <c r="AB285" s="198">
        <v>0</v>
      </c>
      <c r="AC285" s="198">
        <v>613</v>
      </c>
      <c r="AD285" s="198">
        <v>385.62</v>
      </c>
      <c r="AE285" s="198">
        <v>56.68793112390436</v>
      </c>
      <c r="AF285" s="198">
        <v>5575</v>
      </c>
      <c r="AG285" s="198">
        <v>36384041.13358822</v>
      </c>
      <c r="AH285" s="198">
        <v>21832455.347304374</v>
      </c>
      <c r="AI285" s="198">
        <v>9662030.276174914</v>
      </c>
      <c r="AJ285" s="198">
        <v>4889555.510108932</v>
      </c>
      <c r="AK285" s="198">
        <v>1650</v>
      </c>
      <c r="AL285" s="198">
        <v>9759</v>
      </c>
      <c r="AM285" s="198">
        <v>1.3563036099251824</v>
      </c>
      <c r="AN285" s="198">
        <v>613</v>
      </c>
      <c r="AO285" s="198">
        <v>0.028042086001829825</v>
      </c>
      <c r="AP285" s="198">
        <v>0.026318542396176602</v>
      </c>
      <c r="AQ285" s="198">
        <v>0</v>
      </c>
      <c r="AR285" s="198">
        <v>54</v>
      </c>
      <c r="AS285" s="198">
        <v>0</v>
      </c>
      <c r="AT285" s="198">
        <v>0</v>
      </c>
      <c r="AU285" s="198">
        <v>385.62</v>
      </c>
      <c r="AV285" s="198">
        <v>56.68793112390436</v>
      </c>
      <c r="AW285" s="198">
        <v>0.31757114669667147</v>
      </c>
      <c r="AX285" s="198">
        <v>803</v>
      </c>
      <c r="AY285" s="198">
        <v>6274</v>
      </c>
      <c r="AZ285" s="198">
        <v>0.1279885240675805</v>
      </c>
      <c r="BA285" s="198">
        <v>0.06429966537192831</v>
      </c>
      <c r="BB285" s="198">
        <v>0</v>
      </c>
      <c r="BC285" s="198">
        <v>8544</v>
      </c>
      <c r="BD285" s="198">
        <v>7722</v>
      </c>
      <c r="BE285" s="198">
        <v>1.1064491064491064</v>
      </c>
      <c r="BF285" s="198">
        <v>0.676810252152718</v>
      </c>
      <c r="BG285" s="198">
        <v>0</v>
      </c>
      <c r="BH285" s="198">
        <v>0</v>
      </c>
      <c r="BI285" s="198">
        <v>-2186</v>
      </c>
      <c r="BJ285" s="198">
        <v>-5246.4</v>
      </c>
      <c r="BK285" s="198">
        <v>-89625.99999999999</v>
      </c>
      <c r="BL285" s="198">
        <v>-8088.2</v>
      </c>
      <c r="BM285" s="198">
        <v>-116513.8</v>
      </c>
      <c r="BN285" s="198">
        <v>-2623.2</v>
      </c>
      <c r="BO285" s="198">
        <v>496889</v>
      </c>
      <c r="BP285" s="198">
        <v>-27351.97135592252</v>
      </c>
      <c r="BQ285" s="198">
        <v>1653793</v>
      </c>
      <c r="BR285" s="198">
        <v>512148</v>
      </c>
      <c r="BS285" s="198">
        <v>1193037.444890245</v>
      </c>
      <c r="BT285" s="198">
        <v>56295.40430510851</v>
      </c>
      <c r="BU285" s="198">
        <v>159674.2018735389</v>
      </c>
      <c r="BV285" s="198">
        <v>682568.9884026675</v>
      </c>
      <c r="BW285" s="198">
        <v>964544.7758029413</v>
      </c>
      <c r="BX285" s="198">
        <v>1967.3999999999999</v>
      </c>
      <c r="BY285" s="198">
        <v>208764.35289750661</v>
      </c>
      <c r="BZ285" s="198">
        <v>5902330.596816084</v>
      </c>
      <c r="CA285" s="198">
        <v>5488520.7968160845</v>
      </c>
      <c r="CB285" s="198">
        <v>0</v>
      </c>
      <c r="CC285" s="232">
        <v>7350418.113951216</v>
      </c>
      <c r="CD285" s="198">
        <v>-3183808</v>
      </c>
      <c r="CE285" s="198">
        <v>36037.303479999944</v>
      </c>
      <c r="CH285" s="198">
        <v>22107</v>
      </c>
    </row>
    <row r="286" spans="1:86" ht="11.25">
      <c r="A286" s="198">
        <v>918</v>
      </c>
      <c r="B286" s="198" t="s">
        <v>361</v>
      </c>
      <c r="C286" s="198">
        <v>2339</v>
      </c>
      <c r="D286" s="198">
        <v>8693744.94</v>
      </c>
      <c r="E286" s="198">
        <v>3011779.0821920093</v>
      </c>
      <c r="F286" s="198">
        <v>412103.20925844216</v>
      </c>
      <c r="G286" s="198">
        <v>12117627.231450452</v>
      </c>
      <c r="H286" s="198">
        <v>3642.26</v>
      </c>
      <c r="I286" s="198">
        <v>8519246.14</v>
      </c>
      <c r="J286" s="198">
        <v>3598381.091450451</v>
      </c>
      <c r="K286" s="198">
        <v>49660.18631400309</v>
      </c>
      <c r="L286" s="198">
        <v>689466.6733211463</v>
      </c>
      <c r="M286" s="198">
        <v>229682.25545712002</v>
      </c>
      <c r="N286" s="198">
        <v>4567190.20654272</v>
      </c>
      <c r="O286" s="198">
        <v>1684513.9225116288</v>
      </c>
      <c r="P286" s="198">
        <v>6251704.129054349</v>
      </c>
      <c r="Q286" s="198">
        <v>127</v>
      </c>
      <c r="R286" s="198">
        <v>22</v>
      </c>
      <c r="S286" s="198">
        <v>138</v>
      </c>
      <c r="T286" s="198">
        <v>76</v>
      </c>
      <c r="U286" s="198">
        <v>77</v>
      </c>
      <c r="V286" s="198">
        <v>1277</v>
      </c>
      <c r="W286" s="198">
        <v>329</v>
      </c>
      <c r="X286" s="198">
        <v>201</v>
      </c>
      <c r="Y286" s="198">
        <v>92</v>
      </c>
      <c r="Z286" s="198">
        <v>2286</v>
      </c>
      <c r="AA286" s="198">
        <v>21</v>
      </c>
      <c r="AB286" s="198">
        <v>0</v>
      </c>
      <c r="AC286" s="198">
        <v>32</v>
      </c>
      <c r="AD286" s="198">
        <v>188.72</v>
      </c>
      <c r="AE286" s="198">
        <v>12.394022891055531</v>
      </c>
      <c r="AF286" s="198">
        <v>622</v>
      </c>
      <c r="AG286" s="198">
        <v>3011779.0821920093</v>
      </c>
      <c r="AH286" s="198">
        <v>1775014.7703581857</v>
      </c>
      <c r="AI286" s="198">
        <v>845947.2639565557</v>
      </c>
      <c r="AJ286" s="198">
        <v>390817.0478772681</v>
      </c>
      <c r="AK286" s="198">
        <v>93</v>
      </c>
      <c r="AL286" s="198">
        <v>1070</v>
      </c>
      <c r="AM286" s="198">
        <v>0.6972322426627962</v>
      </c>
      <c r="AN286" s="198">
        <v>32</v>
      </c>
      <c r="AO286" s="198">
        <v>0.013681060282171868</v>
      </c>
      <c r="AP286" s="198">
        <v>0.011957516676518645</v>
      </c>
      <c r="AQ286" s="198">
        <v>0</v>
      </c>
      <c r="AR286" s="198">
        <v>21</v>
      </c>
      <c r="AS286" s="198">
        <v>0</v>
      </c>
      <c r="AT286" s="198">
        <v>0</v>
      </c>
      <c r="AU286" s="198">
        <v>188.72</v>
      </c>
      <c r="AV286" s="198">
        <v>12.394022891055531</v>
      </c>
      <c r="AW286" s="198">
        <v>1.4525107343372892</v>
      </c>
      <c r="AX286" s="198">
        <v>97</v>
      </c>
      <c r="AY286" s="198">
        <v>689</v>
      </c>
      <c r="AZ286" s="198">
        <v>0.14078374455732948</v>
      </c>
      <c r="BA286" s="198">
        <v>0.0770948858616773</v>
      </c>
      <c r="BB286" s="198">
        <v>0</v>
      </c>
      <c r="BC286" s="198">
        <v>742</v>
      </c>
      <c r="BD286" s="198">
        <v>969</v>
      </c>
      <c r="BE286" s="198">
        <v>0.7657378740970072</v>
      </c>
      <c r="BF286" s="198">
        <v>0.3360990198006187</v>
      </c>
      <c r="BG286" s="198">
        <v>0</v>
      </c>
      <c r="BH286" s="198">
        <v>0</v>
      </c>
      <c r="BI286" s="198">
        <v>-233.9</v>
      </c>
      <c r="BJ286" s="198">
        <v>-561.36</v>
      </c>
      <c r="BK286" s="198">
        <v>-9589.9</v>
      </c>
      <c r="BL286" s="198">
        <v>-865.43</v>
      </c>
      <c r="BM286" s="198">
        <v>-12466.87</v>
      </c>
      <c r="BN286" s="198">
        <v>-280.68</v>
      </c>
      <c r="BO286" s="198">
        <v>-27273</v>
      </c>
      <c r="BP286" s="198">
        <v>4954.212569518015</v>
      </c>
      <c r="BQ286" s="198">
        <v>248075</v>
      </c>
      <c r="BR286" s="198">
        <v>85184</v>
      </c>
      <c r="BS286" s="198">
        <v>189146.4491313759</v>
      </c>
      <c r="BT286" s="198">
        <v>8965.572928964224</v>
      </c>
      <c r="BU286" s="198">
        <v>6698.7777193360425</v>
      </c>
      <c r="BV286" s="198">
        <v>69879.02413088459</v>
      </c>
      <c r="BW286" s="198">
        <v>150585.36159650673</v>
      </c>
      <c r="BX286" s="198">
        <v>210.51</v>
      </c>
      <c r="BY286" s="198">
        <v>-2681.9647554392523</v>
      </c>
      <c r="BZ286" s="198">
        <v>733743.9433211463</v>
      </c>
      <c r="CA286" s="198">
        <v>689466.6733211463</v>
      </c>
      <c r="CB286" s="198">
        <v>229682.25545712002</v>
      </c>
      <c r="CC286" s="232">
        <v>1684513.9225116288</v>
      </c>
      <c r="CD286" s="198">
        <v>-581997</v>
      </c>
      <c r="CE286" s="198">
        <v>-95945.89610000001</v>
      </c>
      <c r="CH286" s="198">
        <v>2330</v>
      </c>
    </row>
    <row r="287" spans="1:86" ht="11.25">
      <c r="A287" s="198">
        <v>921</v>
      </c>
      <c r="B287" s="198" t="s">
        <v>362</v>
      </c>
      <c r="C287" s="198">
        <v>2244</v>
      </c>
      <c r="D287" s="198">
        <v>8646186.55</v>
      </c>
      <c r="E287" s="198">
        <v>4992034.355826041</v>
      </c>
      <c r="F287" s="198">
        <v>691907.8278672933</v>
      </c>
      <c r="G287" s="198">
        <v>14330128.733693335</v>
      </c>
      <c r="H287" s="198">
        <v>3642.26</v>
      </c>
      <c r="I287" s="198">
        <v>8173231.44</v>
      </c>
      <c r="J287" s="198">
        <v>6156897.293693335</v>
      </c>
      <c r="K287" s="198">
        <v>399461.532076274</v>
      </c>
      <c r="L287" s="198">
        <v>912502.7413861965</v>
      </c>
      <c r="M287" s="198">
        <v>360626.9181297291</v>
      </c>
      <c r="N287" s="198">
        <v>7829488.4852855345</v>
      </c>
      <c r="O287" s="198">
        <v>2411285.2547317073</v>
      </c>
      <c r="P287" s="198">
        <v>10240773.740017243</v>
      </c>
      <c r="Q287" s="198">
        <v>92</v>
      </c>
      <c r="R287" s="198">
        <v>14</v>
      </c>
      <c r="S287" s="198">
        <v>110</v>
      </c>
      <c r="T287" s="198">
        <v>50</v>
      </c>
      <c r="U287" s="198">
        <v>61</v>
      </c>
      <c r="V287" s="198">
        <v>1128</v>
      </c>
      <c r="W287" s="198">
        <v>395</v>
      </c>
      <c r="X287" s="198">
        <v>276</v>
      </c>
      <c r="Y287" s="198">
        <v>118</v>
      </c>
      <c r="Z287" s="198">
        <v>2207</v>
      </c>
      <c r="AA287" s="198">
        <v>4</v>
      </c>
      <c r="AB287" s="198">
        <v>0</v>
      </c>
      <c r="AC287" s="198">
        <v>33</v>
      </c>
      <c r="AD287" s="198">
        <v>422.63</v>
      </c>
      <c r="AE287" s="198">
        <v>5.30960887774176</v>
      </c>
      <c r="AF287" s="198">
        <v>789</v>
      </c>
      <c r="AG287" s="198">
        <v>4992034.355826041</v>
      </c>
      <c r="AH287" s="198">
        <v>2768318.330951242</v>
      </c>
      <c r="AI287" s="198">
        <v>1728681.0975635925</v>
      </c>
      <c r="AJ287" s="198">
        <v>495034.92731120624</v>
      </c>
      <c r="AK287" s="198">
        <v>123</v>
      </c>
      <c r="AL287" s="198">
        <v>885</v>
      </c>
      <c r="AM287" s="198">
        <v>1.1149108250634907</v>
      </c>
      <c r="AN287" s="198">
        <v>33</v>
      </c>
      <c r="AO287" s="198">
        <v>0.014705882352941176</v>
      </c>
      <c r="AP287" s="198">
        <v>0.012982338747287953</v>
      </c>
      <c r="AQ287" s="198">
        <v>0</v>
      </c>
      <c r="AR287" s="198">
        <v>4</v>
      </c>
      <c r="AS287" s="198">
        <v>0</v>
      </c>
      <c r="AT287" s="198">
        <v>0</v>
      </c>
      <c r="AU287" s="198">
        <v>422.63</v>
      </c>
      <c r="AV287" s="198">
        <v>5.30960887774176</v>
      </c>
      <c r="AW287" s="198">
        <v>3.3905418846099447</v>
      </c>
      <c r="AX287" s="198">
        <v>100</v>
      </c>
      <c r="AY287" s="198">
        <v>559</v>
      </c>
      <c r="AZ287" s="198">
        <v>0.17889087656529518</v>
      </c>
      <c r="BA287" s="198">
        <v>0.115202017869643</v>
      </c>
      <c r="BB287" s="198">
        <v>0.7291500000000001</v>
      </c>
      <c r="BC287" s="198">
        <v>632</v>
      </c>
      <c r="BD287" s="198">
        <v>748</v>
      </c>
      <c r="BE287" s="198">
        <v>0.8449197860962567</v>
      </c>
      <c r="BF287" s="198">
        <v>0.4152809317998682</v>
      </c>
      <c r="BG287" s="198">
        <v>0</v>
      </c>
      <c r="BH287" s="198">
        <v>0</v>
      </c>
      <c r="BI287" s="198">
        <v>-224.4</v>
      </c>
      <c r="BJ287" s="198">
        <v>-538.56</v>
      </c>
      <c r="BK287" s="198">
        <v>-9200.4</v>
      </c>
      <c r="BL287" s="198">
        <v>-830.28</v>
      </c>
      <c r="BM287" s="198">
        <v>-11960.52</v>
      </c>
      <c r="BN287" s="198">
        <v>-269.28</v>
      </c>
      <c r="BO287" s="198">
        <v>-66078</v>
      </c>
      <c r="BP287" s="198">
        <v>186918.53762630746</v>
      </c>
      <c r="BQ287" s="198">
        <v>272212</v>
      </c>
      <c r="BR287" s="198">
        <v>80979</v>
      </c>
      <c r="BS287" s="198">
        <v>222117.1668681534</v>
      </c>
      <c r="BT287" s="198">
        <v>13393.678597821072</v>
      </c>
      <c r="BU287" s="198">
        <v>24441.04425130178</v>
      </c>
      <c r="BV287" s="198">
        <v>105814.7538803817</v>
      </c>
      <c r="BW287" s="198">
        <v>121724.57248619797</v>
      </c>
      <c r="BX287" s="198">
        <v>201.95999999999998</v>
      </c>
      <c r="BY287" s="198">
        <v>-6743.0523239666945</v>
      </c>
      <c r="BZ287" s="198">
        <v>954981.6613861965</v>
      </c>
      <c r="CA287" s="198">
        <v>912502.7413861965</v>
      </c>
      <c r="CB287" s="198">
        <v>360626.9181297291</v>
      </c>
      <c r="CC287" s="232">
        <v>2411285.2547317073</v>
      </c>
      <c r="CD287" s="198">
        <v>-223158</v>
      </c>
      <c r="CE287" s="198">
        <v>187076.441386</v>
      </c>
      <c r="CH287" s="198">
        <v>2288</v>
      </c>
    </row>
    <row r="288" spans="1:86" ht="11.25">
      <c r="A288" s="198">
        <v>922</v>
      </c>
      <c r="B288" s="198" t="s">
        <v>363</v>
      </c>
      <c r="C288" s="198">
        <v>4492</v>
      </c>
      <c r="D288" s="198">
        <v>17774441.880000003</v>
      </c>
      <c r="E288" s="198">
        <v>3875133.089528052</v>
      </c>
      <c r="F288" s="198">
        <v>678948.1709820194</v>
      </c>
      <c r="G288" s="198">
        <v>22328523.140510075</v>
      </c>
      <c r="H288" s="198">
        <v>3642.26</v>
      </c>
      <c r="I288" s="198">
        <v>16361031.920000002</v>
      </c>
      <c r="J288" s="198">
        <v>5967491.220510073</v>
      </c>
      <c r="K288" s="198">
        <v>3180.931963703747</v>
      </c>
      <c r="L288" s="198">
        <v>997902.3146005347</v>
      </c>
      <c r="M288" s="198">
        <v>356518.8012249227</v>
      </c>
      <c r="N288" s="198">
        <v>7325093.268299234</v>
      </c>
      <c r="O288" s="198">
        <v>2233980.726790696</v>
      </c>
      <c r="P288" s="198">
        <v>9559073.99508993</v>
      </c>
      <c r="Q288" s="198">
        <v>370</v>
      </c>
      <c r="R288" s="198">
        <v>79</v>
      </c>
      <c r="S288" s="198">
        <v>470</v>
      </c>
      <c r="T288" s="198">
        <v>211</v>
      </c>
      <c r="U288" s="198">
        <v>179</v>
      </c>
      <c r="V288" s="198">
        <v>2439</v>
      </c>
      <c r="W288" s="198">
        <v>393</v>
      </c>
      <c r="X288" s="198">
        <v>252</v>
      </c>
      <c r="Y288" s="198">
        <v>99</v>
      </c>
      <c r="Z288" s="198">
        <v>4410</v>
      </c>
      <c r="AA288" s="198">
        <v>16</v>
      </c>
      <c r="AB288" s="198">
        <v>0</v>
      </c>
      <c r="AC288" s="198">
        <v>66</v>
      </c>
      <c r="AD288" s="198">
        <v>300.92</v>
      </c>
      <c r="AE288" s="198">
        <v>14.927555496477469</v>
      </c>
      <c r="AF288" s="198">
        <v>744</v>
      </c>
      <c r="AG288" s="198">
        <v>3875133.089528052</v>
      </c>
      <c r="AH288" s="198">
        <v>2480702.5337196547</v>
      </c>
      <c r="AI288" s="198">
        <v>977559.0380726447</v>
      </c>
      <c r="AJ288" s="198">
        <v>416871.5177357526</v>
      </c>
      <c r="AK288" s="198">
        <v>206</v>
      </c>
      <c r="AL288" s="198">
        <v>2091</v>
      </c>
      <c r="AM288" s="198">
        <v>0.7902990848013942</v>
      </c>
      <c r="AN288" s="198">
        <v>66</v>
      </c>
      <c r="AO288" s="198">
        <v>0.014692787177203919</v>
      </c>
      <c r="AP288" s="198">
        <v>0.012969243571550696</v>
      </c>
      <c r="AQ288" s="198">
        <v>0</v>
      </c>
      <c r="AR288" s="198">
        <v>16</v>
      </c>
      <c r="AS288" s="198">
        <v>0</v>
      </c>
      <c r="AT288" s="198">
        <v>0</v>
      </c>
      <c r="AU288" s="198">
        <v>300.92</v>
      </c>
      <c r="AV288" s="198">
        <v>14.927555496477469</v>
      </c>
      <c r="AW288" s="198">
        <v>1.2059878990319863</v>
      </c>
      <c r="AX288" s="198">
        <v>129</v>
      </c>
      <c r="AY288" s="198">
        <v>1612</v>
      </c>
      <c r="AZ288" s="198">
        <v>0.08002481389578164</v>
      </c>
      <c r="BA288" s="198">
        <v>0.016335955200129468</v>
      </c>
      <c r="BB288" s="198">
        <v>0</v>
      </c>
      <c r="BC288" s="198">
        <v>831</v>
      </c>
      <c r="BD288" s="198">
        <v>1885</v>
      </c>
      <c r="BE288" s="198">
        <v>0.44084880636604773</v>
      </c>
      <c r="BF288" s="198">
        <v>0.01120995206965919</v>
      </c>
      <c r="BG288" s="198">
        <v>0</v>
      </c>
      <c r="BH288" s="198">
        <v>0</v>
      </c>
      <c r="BI288" s="198">
        <v>-449.20000000000005</v>
      </c>
      <c r="BJ288" s="198">
        <v>-1078.08</v>
      </c>
      <c r="BK288" s="198">
        <v>-18417.199999999997</v>
      </c>
      <c r="BL288" s="198">
        <v>-1662.04</v>
      </c>
      <c r="BM288" s="198">
        <v>-23942.36</v>
      </c>
      <c r="BN288" s="198">
        <v>-539.04</v>
      </c>
      <c r="BO288" s="198">
        <v>7844</v>
      </c>
      <c r="BP288" s="198">
        <v>-17408.788966968656</v>
      </c>
      <c r="BQ288" s="198">
        <v>372593</v>
      </c>
      <c r="BR288" s="198">
        <v>113630</v>
      </c>
      <c r="BS288" s="198">
        <v>247453.05399288182</v>
      </c>
      <c r="BT288" s="198">
        <v>4791.849889109826</v>
      </c>
      <c r="BU288" s="198">
        <v>24729.80966282126</v>
      </c>
      <c r="BV288" s="198">
        <v>87174.84135904237</v>
      </c>
      <c r="BW288" s="198">
        <v>228952.58910919234</v>
      </c>
      <c r="BX288" s="198">
        <v>404.28</v>
      </c>
      <c r="BY288" s="198">
        <v>12771.239554456046</v>
      </c>
      <c r="BZ288" s="198">
        <v>1082935.8746005348</v>
      </c>
      <c r="CA288" s="198">
        <v>997902.3146005347</v>
      </c>
      <c r="CB288" s="198">
        <v>356518.8012249227</v>
      </c>
      <c r="CC288" s="232">
        <v>2233980.726790696</v>
      </c>
      <c r="CD288" s="198">
        <v>-1106055</v>
      </c>
      <c r="CE288" s="198">
        <v>-9800.054540000026</v>
      </c>
      <c r="CH288" s="198">
        <v>4473</v>
      </c>
    </row>
    <row r="289" spans="1:86" ht="11.25">
      <c r="A289" s="198">
        <v>924</v>
      </c>
      <c r="B289" s="198" t="s">
        <v>364</v>
      </c>
      <c r="C289" s="198">
        <v>3342</v>
      </c>
      <c r="D289" s="198">
        <v>12739581.48</v>
      </c>
      <c r="E289" s="198">
        <v>4958089.714203208</v>
      </c>
      <c r="F289" s="198">
        <v>717908.1982640616</v>
      </c>
      <c r="G289" s="198">
        <v>18415579.39246727</v>
      </c>
      <c r="H289" s="198">
        <v>3642.26</v>
      </c>
      <c r="I289" s="198">
        <v>12172432.92</v>
      </c>
      <c r="J289" s="198">
        <v>6243146.472467272</v>
      </c>
      <c r="K289" s="198">
        <v>184462.504388518</v>
      </c>
      <c r="L289" s="198">
        <v>1115520.851537563</v>
      </c>
      <c r="M289" s="198">
        <v>0</v>
      </c>
      <c r="N289" s="198">
        <v>7543129.828393352</v>
      </c>
      <c r="O289" s="198">
        <v>2381382.886727272</v>
      </c>
      <c r="P289" s="198">
        <v>9924512.715120625</v>
      </c>
      <c r="Q289" s="198">
        <v>228</v>
      </c>
      <c r="R289" s="198">
        <v>48</v>
      </c>
      <c r="S289" s="198">
        <v>197</v>
      </c>
      <c r="T289" s="198">
        <v>105</v>
      </c>
      <c r="U289" s="198">
        <v>103</v>
      </c>
      <c r="V289" s="198">
        <v>1828</v>
      </c>
      <c r="W289" s="198">
        <v>409</v>
      </c>
      <c r="X289" s="198">
        <v>297</v>
      </c>
      <c r="Y289" s="198">
        <v>127</v>
      </c>
      <c r="Z289" s="198">
        <v>3230</v>
      </c>
      <c r="AA289" s="198">
        <v>51</v>
      </c>
      <c r="AB289" s="198">
        <v>0</v>
      </c>
      <c r="AC289" s="198">
        <v>61</v>
      </c>
      <c r="AD289" s="198">
        <v>502.34</v>
      </c>
      <c r="AE289" s="198">
        <v>6.652864593701477</v>
      </c>
      <c r="AF289" s="198">
        <v>833</v>
      </c>
      <c r="AG289" s="198">
        <v>4958089.714203208</v>
      </c>
      <c r="AH289" s="198">
        <v>2946010.3143744925</v>
      </c>
      <c r="AI289" s="198">
        <v>1473620.3560867014</v>
      </c>
      <c r="AJ289" s="198">
        <v>538459.0437420139</v>
      </c>
      <c r="AK289" s="198">
        <v>109</v>
      </c>
      <c r="AL289" s="198">
        <v>1524</v>
      </c>
      <c r="AM289" s="198">
        <v>0.573746200305943</v>
      </c>
      <c r="AN289" s="198">
        <v>61</v>
      </c>
      <c r="AO289" s="198">
        <v>0.018252543387193298</v>
      </c>
      <c r="AP289" s="198">
        <v>0.016528999781540075</v>
      </c>
      <c r="AQ289" s="198">
        <v>0</v>
      </c>
      <c r="AR289" s="198">
        <v>51</v>
      </c>
      <c r="AS289" s="198">
        <v>0</v>
      </c>
      <c r="AT289" s="198">
        <v>0</v>
      </c>
      <c r="AU289" s="198">
        <v>502.34</v>
      </c>
      <c r="AV289" s="198">
        <v>6.652864593701477</v>
      </c>
      <c r="AW289" s="198">
        <v>2.705969892717169</v>
      </c>
      <c r="AX289" s="198">
        <v>109</v>
      </c>
      <c r="AY289" s="198">
        <v>903</v>
      </c>
      <c r="AZ289" s="198">
        <v>0.12070874861572536</v>
      </c>
      <c r="BA289" s="198">
        <v>0.05701988992007319</v>
      </c>
      <c r="BB289" s="198">
        <v>0.1412</v>
      </c>
      <c r="BC289" s="198">
        <v>1170</v>
      </c>
      <c r="BD289" s="198">
        <v>1396</v>
      </c>
      <c r="BE289" s="198">
        <v>0.83810888252149</v>
      </c>
      <c r="BF289" s="198">
        <v>0.4084700282251014</v>
      </c>
      <c r="BG289" s="198">
        <v>0</v>
      </c>
      <c r="BH289" s="198">
        <v>0</v>
      </c>
      <c r="BI289" s="198">
        <v>-334.20000000000005</v>
      </c>
      <c r="BJ289" s="198">
        <v>-802.0799999999999</v>
      </c>
      <c r="BK289" s="198">
        <v>-13702.199999999999</v>
      </c>
      <c r="BL289" s="198">
        <v>-1236.54</v>
      </c>
      <c r="BM289" s="198">
        <v>-17812.86</v>
      </c>
      <c r="BN289" s="198">
        <v>-401.03999999999996</v>
      </c>
      <c r="BO289" s="198">
        <v>-2352</v>
      </c>
      <c r="BP289" s="198">
        <v>96922.8365674261</v>
      </c>
      <c r="BQ289" s="198">
        <v>317973</v>
      </c>
      <c r="BR289" s="198">
        <v>108817</v>
      </c>
      <c r="BS289" s="198">
        <v>294373.6014908999</v>
      </c>
      <c r="BT289" s="198">
        <v>16327.450232480376</v>
      </c>
      <c r="BU289" s="198">
        <v>23733.81038234982</v>
      </c>
      <c r="BV289" s="198">
        <v>124141.35144134986</v>
      </c>
      <c r="BW289" s="198">
        <v>220137.0524869899</v>
      </c>
      <c r="BX289" s="198">
        <v>300.78</v>
      </c>
      <c r="BY289" s="198">
        <v>-21589.971063933</v>
      </c>
      <c r="BZ289" s="198">
        <v>1178784.911537563</v>
      </c>
      <c r="CA289" s="198">
        <v>1115520.851537563</v>
      </c>
      <c r="CB289" s="198">
        <v>0</v>
      </c>
      <c r="CC289" s="232">
        <v>2381382.886727272</v>
      </c>
      <c r="CD289" s="198">
        <v>9131</v>
      </c>
      <c r="CE289" s="198">
        <v>23721.860100000005</v>
      </c>
      <c r="CH289" s="198">
        <v>3332</v>
      </c>
    </row>
    <row r="290" spans="1:86" ht="11.25">
      <c r="A290" s="198">
        <v>925</v>
      </c>
      <c r="B290" s="198" t="s">
        <v>365</v>
      </c>
      <c r="C290" s="198">
        <v>3816</v>
      </c>
      <c r="D290" s="198">
        <v>14036714.799999999</v>
      </c>
      <c r="E290" s="198">
        <v>6135546.085618676</v>
      </c>
      <c r="F290" s="198">
        <v>1254791.847267382</v>
      </c>
      <c r="G290" s="198">
        <v>21427052.732886057</v>
      </c>
      <c r="H290" s="198">
        <v>3642.26</v>
      </c>
      <c r="I290" s="198">
        <v>13898864.16</v>
      </c>
      <c r="J290" s="198">
        <v>7528188.572886057</v>
      </c>
      <c r="K290" s="198">
        <v>307567.07189896185</v>
      </c>
      <c r="L290" s="198">
        <v>1304835.8624072298</v>
      </c>
      <c r="M290" s="198">
        <v>-424109.52647988684</v>
      </c>
      <c r="N290" s="198">
        <v>8716481.980712362</v>
      </c>
      <c r="O290" s="198">
        <v>2122188.807421686</v>
      </c>
      <c r="P290" s="198">
        <v>10838670.788134048</v>
      </c>
      <c r="Q290" s="198">
        <v>244</v>
      </c>
      <c r="R290" s="198">
        <v>29</v>
      </c>
      <c r="S290" s="198">
        <v>231</v>
      </c>
      <c r="T290" s="198">
        <v>138</v>
      </c>
      <c r="U290" s="198">
        <v>136</v>
      </c>
      <c r="V290" s="198">
        <v>2124</v>
      </c>
      <c r="W290" s="198">
        <v>479</v>
      </c>
      <c r="X290" s="198">
        <v>309</v>
      </c>
      <c r="Y290" s="198">
        <v>126</v>
      </c>
      <c r="Z290" s="198">
        <v>3737</v>
      </c>
      <c r="AA290" s="198">
        <v>3</v>
      </c>
      <c r="AB290" s="198">
        <v>0</v>
      </c>
      <c r="AC290" s="198">
        <v>76</v>
      </c>
      <c r="AD290" s="198">
        <v>925.26</v>
      </c>
      <c r="AE290" s="198">
        <v>4.124246157836716</v>
      </c>
      <c r="AF290" s="198">
        <v>914</v>
      </c>
      <c r="AG290" s="198">
        <v>6135546.085618676</v>
      </c>
      <c r="AH290" s="198">
        <v>3344429.1856641043</v>
      </c>
      <c r="AI290" s="198">
        <v>2096331.0370616508</v>
      </c>
      <c r="AJ290" s="198">
        <v>694785.8628929212</v>
      </c>
      <c r="AK290" s="198">
        <v>201</v>
      </c>
      <c r="AL290" s="198">
        <v>1760</v>
      </c>
      <c r="AM290" s="198">
        <v>0.916139653161581</v>
      </c>
      <c r="AN290" s="198">
        <v>76</v>
      </c>
      <c r="AO290" s="198">
        <v>0.019916142557651992</v>
      </c>
      <c r="AP290" s="198">
        <v>0.01819259895199877</v>
      </c>
      <c r="AQ290" s="198">
        <v>0</v>
      </c>
      <c r="AR290" s="198">
        <v>3</v>
      </c>
      <c r="AS290" s="198">
        <v>0</v>
      </c>
      <c r="AT290" s="198">
        <v>0</v>
      </c>
      <c r="AU290" s="198">
        <v>925.26</v>
      </c>
      <c r="AV290" s="198">
        <v>4.124246157836716</v>
      </c>
      <c r="AW290" s="198">
        <v>4.365028323217991</v>
      </c>
      <c r="AX290" s="198">
        <v>173</v>
      </c>
      <c r="AY290" s="198">
        <v>1116</v>
      </c>
      <c r="AZ290" s="198">
        <v>0.1550179211469534</v>
      </c>
      <c r="BA290" s="198">
        <v>0.09132906245130122</v>
      </c>
      <c r="BB290" s="198">
        <v>0.15003333333333332</v>
      </c>
      <c r="BC290" s="198">
        <v>1824</v>
      </c>
      <c r="BD290" s="198">
        <v>1506</v>
      </c>
      <c r="BE290" s="198">
        <v>1.2111553784860558</v>
      </c>
      <c r="BF290" s="198">
        <v>0.7815165241896673</v>
      </c>
      <c r="BG290" s="198">
        <v>0</v>
      </c>
      <c r="BH290" s="198">
        <v>0</v>
      </c>
      <c r="BI290" s="198">
        <v>-381.6</v>
      </c>
      <c r="BJ290" s="198">
        <v>-915.8399999999999</v>
      </c>
      <c r="BK290" s="198">
        <v>-15645.599999999999</v>
      </c>
      <c r="BL290" s="198">
        <v>-1411.92</v>
      </c>
      <c r="BM290" s="198">
        <v>-20339.28</v>
      </c>
      <c r="BN290" s="198">
        <v>-457.91999999999996</v>
      </c>
      <c r="BO290" s="198">
        <v>81614</v>
      </c>
      <c r="BP290" s="198">
        <v>104347.35000475124</v>
      </c>
      <c r="BQ290" s="198">
        <v>384706</v>
      </c>
      <c r="BR290" s="198">
        <v>121762</v>
      </c>
      <c r="BS290" s="198">
        <v>310293.88668585266</v>
      </c>
      <c r="BT290" s="198">
        <v>16652.30352597964</v>
      </c>
      <c r="BU290" s="198">
        <v>51151.930757798465</v>
      </c>
      <c r="BV290" s="198">
        <v>148958.9285510253</v>
      </c>
      <c r="BW290" s="198">
        <v>217641.8782856017</v>
      </c>
      <c r="BX290" s="198">
        <v>343.44</v>
      </c>
      <c r="BY290" s="198">
        <v>-60398.975403779266</v>
      </c>
      <c r="BZ290" s="198">
        <v>1377072.7424072297</v>
      </c>
      <c r="CA290" s="198">
        <v>1304835.8624072298</v>
      </c>
      <c r="CB290" s="198">
        <v>-424109.52647988684</v>
      </c>
      <c r="CC290" s="232">
        <v>2122188.807421686</v>
      </c>
      <c r="CD290" s="198">
        <v>-61378</v>
      </c>
      <c r="CE290" s="198">
        <v>93330.88790000002</v>
      </c>
      <c r="CH290" s="198">
        <v>3874</v>
      </c>
    </row>
    <row r="291" spans="1:86" ht="11.25">
      <c r="A291" s="198">
        <v>927</v>
      </c>
      <c r="B291" s="198" t="s">
        <v>366</v>
      </c>
      <c r="C291" s="198">
        <v>28995</v>
      </c>
      <c r="D291" s="198">
        <v>101283889.51</v>
      </c>
      <c r="E291" s="198">
        <v>24129076.847975068</v>
      </c>
      <c r="F291" s="198">
        <v>5666668.123133875</v>
      </c>
      <c r="G291" s="198">
        <v>131079634.48110893</v>
      </c>
      <c r="H291" s="198">
        <v>3642.26</v>
      </c>
      <c r="I291" s="198">
        <v>105607328.7</v>
      </c>
      <c r="J291" s="198">
        <v>25472305.78110893</v>
      </c>
      <c r="K291" s="198">
        <v>312937.08184477524</v>
      </c>
      <c r="L291" s="198">
        <v>4795736.390243473</v>
      </c>
      <c r="M291" s="198">
        <v>0</v>
      </c>
      <c r="N291" s="198">
        <v>30580979.253197182</v>
      </c>
      <c r="O291" s="198">
        <v>-1248464.3701974405</v>
      </c>
      <c r="P291" s="198">
        <v>29332514.88299974</v>
      </c>
      <c r="Q291" s="198">
        <v>2276</v>
      </c>
      <c r="R291" s="198">
        <v>427</v>
      </c>
      <c r="S291" s="198">
        <v>2366</v>
      </c>
      <c r="T291" s="198">
        <v>1197</v>
      </c>
      <c r="U291" s="198">
        <v>1126</v>
      </c>
      <c r="V291" s="198">
        <v>17080</v>
      </c>
      <c r="W291" s="198">
        <v>2868</v>
      </c>
      <c r="X291" s="198">
        <v>1233</v>
      </c>
      <c r="Y291" s="198">
        <v>422</v>
      </c>
      <c r="Z291" s="198">
        <v>27372</v>
      </c>
      <c r="AA291" s="198">
        <v>503</v>
      </c>
      <c r="AB291" s="198">
        <v>1</v>
      </c>
      <c r="AC291" s="198">
        <v>1119</v>
      </c>
      <c r="AD291" s="198">
        <v>522.04</v>
      </c>
      <c r="AE291" s="198">
        <v>55.54172094092407</v>
      </c>
      <c r="AF291" s="198">
        <v>4523</v>
      </c>
      <c r="AG291" s="198">
        <v>24129076.847975068</v>
      </c>
      <c r="AH291" s="198">
        <v>15131612.984424856</v>
      </c>
      <c r="AI291" s="198">
        <v>5619067.605233383</v>
      </c>
      <c r="AJ291" s="198">
        <v>3378396.258316829</v>
      </c>
      <c r="AK291" s="198">
        <v>1447</v>
      </c>
      <c r="AL291" s="198">
        <v>14671</v>
      </c>
      <c r="AM291" s="198">
        <v>0.7912015064408248</v>
      </c>
      <c r="AN291" s="198">
        <v>1119</v>
      </c>
      <c r="AO291" s="198">
        <v>0.03859286083807553</v>
      </c>
      <c r="AP291" s="198">
        <v>0.03686931723242231</v>
      </c>
      <c r="AQ291" s="198">
        <v>0</v>
      </c>
      <c r="AR291" s="198">
        <v>503</v>
      </c>
      <c r="AS291" s="198">
        <v>1</v>
      </c>
      <c r="AT291" s="198">
        <v>0</v>
      </c>
      <c r="AU291" s="198">
        <v>522.04</v>
      </c>
      <c r="AV291" s="198">
        <v>55.54172094092407</v>
      </c>
      <c r="AW291" s="198">
        <v>0.3241248377958655</v>
      </c>
      <c r="AX291" s="198">
        <v>1620</v>
      </c>
      <c r="AY291" s="198">
        <v>10386</v>
      </c>
      <c r="AZ291" s="198">
        <v>0.1559792027729636</v>
      </c>
      <c r="BA291" s="198">
        <v>0.09229034407731142</v>
      </c>
      <c r="BB291" s="198">
        <v>0</v>
      </c>
      <c r="BC291" s="198">
        <v>8055</v>
      </c>
      <c r="BD291" s="198">
        <v>13414</v>
      </c>
      <c r="BE291" s="198">
        <v>0.6004920232592813</v>
      </c>
      <c r="BF291" s="198">
        <v>0.17085316896289277</v>
      </c>
      <c r="BG291" s="198">
        <v>0</v>
      </c>
      <c r="BH291" s="198">
        <v>1</v>
      </c>
      <c r="BI291" s="198">
        <v>-2899.5</v>
      </c>
      <c r="BJ291" s="198">
        <v>-6958.8</v>
      </c>
      <c r="BK291" s="198">
        <v>-118879.49999999999</v>
      </c>
      <c r="BL291" s="198">
        <v>-10728.15</v>
      </c>
      <c r="BM291" s="198">
        <v>-154543.35</v>
      </c>
      <c r="BN291" s="198">
        <v>-3479.4</v>
      </c>
      <c r="BO291" s="198">
        <v>-203115</v>
      </c>
      <c r="BP291" s="198">
        <v>94447.8555355221</v>
      </c>
      <c r="BQ291" s="198">
        <v>2001890</v>
      </c>
      <c r="BR291" s="198">
        <v>666810</v>
      </c>
      <c r="BS291" s="198">
        <v>1272981.3959105464</v>
      </c>
      <c r="BT291" s="198">
        <v>-2804.2325492603327</v>
      </c>
      <c r="BU291" s="198">
        <v>-241738.51153038506</v>
      </c>
      <c r="BV291" s="198">
        <v>313170.3837544156</v>
      </c>
      <c r="BW291" s="198">
        <v>1328939.3168763013</v>
      </c>
      <c r="BX291" s="198">
        <v>2609.5499999999997</v>
      </c>
      <c r="BY291" s="198">
        <v>111420.98224633394</v>
      </c>
      <c r="BZ291" s="198">
        <v>5344611.740243473</v>
      </c>
      <c r="CA291" s="198">
        <v>4795736.390243473</v>
      </c>
      <c r="CB291" s="198">
        <v>0</v>
      </c>
      <c r="CC291" s="232">
        <v>-1248464.3701974405</v>
      </c>
      <c r="CD291" s="198">
        <v>-4694214</v>
      </c>
      <c r="CE291" s="198">
        <v>-377419.1525379999</v>
      </c>
      <c r="CH291" s="198">
        <v>28929</v>
      </c>
    </row>
    <row r="292" spans="1:86" ht="11.25">
      <c r="A292" s="198">
        <v>931</v>
      </c>
      <c r="B292" s="198" t="s">
        <v>367</v>
      </c>
      <c r="C292" s="198">
        <v>6780</v>
      </c>
      <c r="D292" s="198">
        <v>24910675.27</v>
      </c>
      <c r="E292" s="198">
        <v>12732317.45325266</v>
      </c>
      <c r="F292" s="198">
        <v>2090601.4982382536</v>
      </c>
      <c r="G292" s="198">
        <v>39733594.22149091</v>
      </c>
      <c r="H292" s="198">
        <v>3642.26</v>
      </c>
      <c r="I292" s="198">
        <v>24694522.8</v>
      </c>
      <c r="J292" s="198">
        <v>15039071.421490911</v>
      </c>
      <c r="K292" s="198">
        <v>1589703.292946875</v>
      </c>
      <c r="L292" s="198">
        <v>2132063.5754749696</v>
      </c>
      <c r="M292" s="198">
        <v>267479.94596434385</v>
      </c>
      <c r="N292" s="198">
        <v>19028318.2358771</v>
      </c>
      <c r="O292" s="198">
        <v>5312944.792761904</v>
      </c>
      <c r="P292" s="198">
        <v>24341263.028639004</v>
      </c>
      <c r="Q292" s="198">
        <v>295</v>
      </c>
      <c r="R292" s="198">
        <v>48</v>
      </c>
      <c r="S292" s="198">
        <v>342</v>
      </c>
      <c r="T292" s="198">
        <v>205</v>
      </c>
      <c r="U292" s="198">
        <v>242</v>
      </c>
      <c r="V292" s="198">
        <v>3585</v>
      </c>
      <c r="W292" s="198">
        <v>1038</v>
      </c>
      <c r="X292" s="198">
        <v>762</v>
      </c>
      <c r="Y292" s="198">
        <v>263</v>
      </c>
      <c r="Z292" s="198">
        <v>6712</v>
      </c>
      <c r="AA292" s="198">
        <v>10</v>
      </c>
      <c r="AB292" s="198">
        <v>0</v>
      </c>
      <c r="AC292" s="198">
        <v>58</v>
      </c>
      <c r="AD292" s="198">
        <v>1248.48</v>
      </c>
      <c r="AE292" s="198">
        <v>5.430603613994617</v>
      </c>
      <c r="AF292" s="198">
        <v>2063</v>
      </c>
      <c r="AG292" s="198">
        <v>12732317.45325266</v>
      </c>
      <c r="AH292" s="198">
        <v>6817832.823879806</v>
      </c>
      <c r="AI292" s="198">
        <v>4481488.787156205</v>
      </c>
      <c r="AJ292" s="198">
        <v>1432995.8422166498</v>
      </c>
      <c r="AK292" s="198">
        <v>508</v>
      </c>
      <c r="AL292" s="198">
        <v>2884</v>
      </c>
      <c r="AM292" s="198">
        <v>1.413014920368177</v>
      </c>
      <c r="AN292" s="198">
        <v>58</v>
      </c>
      <c r="AO292" s="198">
        <v>0.00855457227138643</v>
      </c>
      <c r="AP292" s="198">
        <v>0.0068310286657332075</v>
      </c>
      <c r="AQ292" s="198">
        <v>0</v>
      </c>
      <c r="AR292" s="198">
        <v>10</v>
      </c>
      <c r="AS292" s="198">
        <v>0</v>
      </c>
      <c r="AT292" s="198">
        <v>0</v>
      </c>
      <c r="AU292" s="198">
        <v>1248.48</v>
      </c>
      <c r="AV292" s="198">
        <v>5.430603613994617</v>
      </c>
      <c r="AW292" s="198">
        <v>3.3150000571737706</v>
      </c>
      <c r="AX292" s="198">
        <v>256</v>
      </c>
      <c r="AY292" s="198">
        <v>1698</v>
      </c>
      <c r="AZ292" s="198">
        <v>0.15076560659599528</v>
      </c>
      <c r="BA292" s="198">
        <v>0.0870767479003431</v>
      </c>
      <c r="BB292" s="198">
        <v>0.9646333333333333</v>
      </c>
      <c r="BC292" s="198">
        <v>2295</v>
      </c>
      <c r="BD292" s="198">
        <v>2384</v>
      </c>
      <c r="BE292" s="198">
        <v>0.9626677852348994</v>
      </c>
      <c r="BF292" s="198">
        <v>0.5330289309385108</v>
      </c>
      <c r="BG292" s="198">
        <v>0</v>
      </c>
      <c r="BH292" s="198">
        <v>0</v>
      </c>
      <c r="BI292" s="198">
        <v>-678</v>
      </c>
      <c r="BJ292" s="198">
        <v>-1627.2</v>
      </c>
      <c r="BK292" s="198">
        <v>-27797.999999999996</v>
      </c>
      <c r="BL292" s="198">
        <v>-2508.6</v>
      </c>
      <c r="BM292" s="198">
        <v>-36137.4</v>
      </c>
      <c r="BN292" s="198">
        <v>-813.6</v>
      </c>
      <c r="BO292" s="198">
        <v>142346</v>
      </c>
      <c r="BP292" s="198">
        <v>-29884.02446912974</v>
      </c>
      <c r="BQ292" s="198">
        <v>657403</v>
      </c>
      <c r="BR292" s="198">
        <v>205740</v>
      </c>
      <c r="BS292" s="198">
        <v>515917.62991671666</v>
      </c>
      <c r="BT292" s="198">
        <v>27738.114858243203</v>
      </c>
      <c r="BU292" s="198">
        <v>74511.39124093392</v>
      </c>
      <c r="BV292" s="198">
        <v>279038.2165761009</v>
      </c>
      <c r="BW292" s="198">
        <v>403930.7561339001</v>
      </c>
      <c r="BX292" s="198">
        <v>610.1999999999999</v>
      </c>
      <c r="BY292" s="198">
        <v>-16942.308781795873</v>
      </c>
      <c r="BZ292" s="198">
        <v>2260408.9754749695</v>
      </c>
      <c r="CA292" s="198">
        <v>2132063.5754749696</v>
      </c>
      <c r="CB292" s="198">
        <v>267479.94596434385</v>
      </c>
      <c r="CC292" s="232">
        <v>5312944.792761904</v>
      </c>
      <c r="CD292" s="198">
        <v>-999839</v>
      </c>
      <c r="CE292" s="198">
        <v>-4683006.49424</v>
      </c>
      <c r="CH292" s="198">
        <v>6895</v>
      </c>
    </row>
    <row r="293" spans="1:86" ht="11.25">
      <c r="A293" s="198">
        <v>934</v>
      </c>
      <c r="B293" s="198" t="s">
        <v>368</v>
      </c>
      <c r="C293" s="198">
        <v>3106</v>
      </c>
      <c r="D293" s="198">
        <v>11956071.43</v>
      </c>
      <c r="E293" s="198">
        <v>4732103.3281628</v>
      </c>
      <c r="F293" s="198">
        <v>534079.000463298</v>
      </c>
      <c r="G293" s="198">
        <v>17222253.7586261</v>
      </c>
      <c r="H293" s="198">
        <v>3642.26</v>
      </c>
      <c r="I293" s="198">
        <v>11312859.56</v>
      </c>
      <c r="J293" s="198">
        <v>5909394.198626099</v>
      </c>
      <c r="K293" s="198">
        <v>90461.34709897662</v>
      </c>
      <c r="L293" s="198">
        <v>852696.2845477</v>
      </c>
      <c r="M293" s="198">
        <v>83123.38931530342</v>
      </c>
      <c r="N293" s="198">
        <v>6935675.219588079</v>
      </c>
      <c r="O293" s="198">
        <v>2161912.990511629</v>
      </c>
      <c r="P293" s="198">
        <v>9097588.210099708</v>
      </c>
      <c r="Q293" s="198">
        <v>177</v>
      </c>
      <c r="R293" s="198">
        <v>28</v>
      </c>
      <c r="S293" s="198">
        <v>234</v>
      </c>
      <c r="T293" s="198">
        <v>104</v>
      </c>
      <c r="U293" s="198">
        <v>111</v>
      </c>
      <c r="V293" s="198">
        <v>1694</v>
      </c>
      <c r="W293" s="198">
        <v>379</v>
      </c>
      <c r="X293" s="198">
        <v>251</v>
      </c>
      <c r="Y293" s="198">
        <v>128</v>
      </c>
      <c r="Z293" s="198">
        <v>3082</v>
      </c>
      <c r="AA293" s="198">
        <v>4</v>
      </c>
      <c r="AB293" s="198">
        <v>0</v>
      </c>
      <c r="AC293" s="198">
        <v>20</v>
      </c>
      <c r="AD293" s="198">
        <v>287.33</v>
      </c>
      <c r="AE293" s="198">
        <v>10.809870184108865</v>
      </c>
      <c r="AF293" s="198">
        <v>758</v>
      </c>
      <c r="AG293" s="198">
        <v>4732103.3281628</v>
      </c>
      <c r="AH293" s="198">
        <v>2839424.4329955317</v>
      </c>
      <c r="AI293" s="198">
        <v>1310795.734994447</v>
      </c>
      <c r="AJ293" s="198">
        <v>581883.1601728214</v>
      </c>
      <c r="AK293" s="198">
        <v>140</v>
      </c>
      <c r="AL293" s="198">
        <v>1390</v>
      </c>
      <c r="AM293" s="198">
        <v>0.8079631001074252</v>
      </c>
      <c r="AN293" s="198">
        <v>20</v>
      </c>
      <c r="AO293" s="198">
        <v>0.00643915003219575</v>
      </c>
      <c r="AP293" s="198">
        <v>0.004715606426542527</v>
      </c>
      <c r="AQ293" s="198">
        <v>0</v>
      </c>
      <c r="AR293" s="198">
        <v>4</v>
      </c>
      <c r="AS293" s="198">
        <v>0</v>
      </c>
      <c r="AT293" s="198">
        <v>0</v>
      </c>
      <c r="AU293" s="198">
        <v>287.33</v>
      </c>
      <c r="AV293" s="198">
        <v>10.809870184108865</v>
      </c>
      <c r="AW293" s="198">
        <v>1.6653716450124338</v>
      </c>
      <c r="AX293" s="198">
        <v>105</v>
      </c>
      <c r="AY293" s="198">
        <v>869</v>
      </c>
      <c r="AZ293" s="198">
        <v>0.12082853855005754</v>
      </c>
      <c r="BA293" s="198">
        <v>0.057139679854405365</v>
      </c>
      <c r="BB293" s="198">
        <v>0</v>
      </c>
      <c r="BC293" s="198">
        <v>1043</v>
      </c>
      <c r="BD293" s="198">
        <v>1171</v>
      </c>
      <c r="BE293" s="198">
        <v>0.8906917164816396</v>
      </c>
      <c r="BF293" s="198">
        <v>0.46105286218525104</v>
      </c>
      <c r="BG293" s="198">
        <v>0</v>
      </c>
      <c r="BH293" s="198">
        <v>0</v>
      </c>
      <c r="BI293" s="198">
        <v>-310.6</v>
      </c>
      <c r="BJ293" s="198">
        <v>-745.4399999999999</v>
      </c>
      <c r="BK293" s="198">
        <v>-12734.599999999999</v>
      </c>
      <c r="BL293" s="198">
        <v>-1149.22</v>
      </c>
      <c r="BM293" s="198">
        <v>-16554.98</v>
      </c>
      <c r="BN293" s="198">
        <v>-372.71999999999997</v>
      </c>
      <c r="BO293" s="198">
        <v>-23874</v>
      </c>
      <c r="BP293" s="198">
        <v>62305.717786749825</v>
      </c>
      <c r="BQ293" s="198">
        <v>269532</v>
      </c>
      <c r="BR293" s="198">
        <v>84479</v>
      </c>
      <c r="BS293" s="198">
        <v>192990.46542252702</v>
      </c>
      <c r="BT293" s="198">
        <v>11427.029083337118</v>
      </c>
      <c r="BU293" s="198">
        <v>35994.07553765644</v>
      </c>
      <c r="BV293" s="198">
        <v>114257.76571970747</v>
      </c>
      <c r="BW293" s="198">
        <v>158414.61678141775</v>
      </c>
      <c r="BX293" s="198">
        <v>279.53999999999996</v>
      </c>
      <c r="BY293" s="198">
        <v>5686.654216304178</v>
      </c>
      <c r="BZ293" s="198">
        <v>911492.8645476999</v>
      </c>
      <c r="CA293" s="198">
        <v>852696.2845477</v>
      </c>
      <c r="CB293" s="198">
        <v>83123.38931530342</v>
      </c>
      <c r="CC293" s="232">
        <v>2161912.990511629</v>
      </c>
      <c r="CD293" s="198">
        <v>-936116</v>
      </c>
      <c r="CE293" s="198">
        <v>-2734613.6941000004</v>
      </c>
      <c r="CH293" s="198">
        <v>3171</v>
      </c>
    </row>
    <row r="294" spans="1:86" ht="11.25">
      <c r="A294" s="198">
        <v>935</v>
      </c>
      <c r="B294" s="198" t="s">
        <v>369</v>
      </c>
      <c r="C294" s="198">
        <v>3399</v>
      </c>
      <c r="D294" s="198">
        <v>12373264.93</v>
      </c>
      <c r="E294" s="198">
        <v>5249191.426260113</v>
      </c>
      <c r="F294" s="198">
        <v>1069973.8276029723</v>
      </c>
      <c r="G294" s="198">
        <v>18692430.183863085</v>
      </c>
      <c r="H294" s="198">
        <v>3642.26</v>
      </c>
      <c r="I294" s="198">
        <v>12380041.74</v>
      </c>
      <c r="J294" s="198">
        <v>6312388.443863085</v>
      </c>
      <c r="K294" s="198">
        <v>132591.56174417786</v>
      </c>
      <c r="L294" s="198">
        <v>924870.7975973509</v>
      </c>
      <c r="M294" s="198">
        <v>0</v>
      </c>
      <c r="N294" s="198">
        <v>7369850.803204613</v>
      </c>
      <c r="O294" s="198">
        <v>2240288.1223000004</v>
      </c>
      <c r="P294" s="198">
        <v>9610138.925504614</v>
      </c>
      <c r="Q294" s="198">
        <v>169</v>
      </c>
      <c r="R294" s="198">
        <v>29</v>
      </c>
      <c r="S294" s="198">
        <v>225</v>
      </c>
      <c r="T294" s="198">
        <v>87</v>
      </c>
      <c r="U294" s="198">
        <v>102</v>
      </c>
      <c r="V294" s="198">
        <v>1876</v>
      </c>
      <c r="W294" s="198">
        <v>495</v>
      </c>
      <c r="X294" s="198">
        <v>278</v>
      </c>
      <c r="Y294" s="198">
        <v>138</v>
      </c>
      <c r="Z294" s="198">
        <v>3157</v>
      </c>
      <c r="AA294" s="198">
        <v>16</v>
      </c>
      <c r="AB294" s="198">
        <v>0</v>
      </c>
      <c r="AC294" s="198">
        <v>226</v>
      </c>
      <c r="AD294" s="198">
        <v>371.95</v>
      </c>
      <c r="AE294" s="198">
        <v>9.138325043688669</v>
      </c>
      <c r="AF294" s="198">
        <v>911</v>
      </c>
      <c r="AG294" s="198">
        <v>5249191.426260113</v>
      </c>
      <c r="AH294" s="198">
        <v>3050528.305906963</v>
      </c>
      <c r="AI294" s="198">
        <v>1547301.3738910367</v>
      </c>
      <c r="AJ294" s="198">
        <v>651361.7464621135</v>
      </c>
      <c r="AK294" s="198">
        <v>144</v>
      </c>
      <c r="AL294" s="198">
        <v>1486</v>
      </c>
      <c r="AM294" s="198">
        <v>0.7773596141006645</v>
      </c>
      <c r="AN294" s="198">
        <v>226</v>
      </c>
      <c r="AO294" s="198">
        <v>0.06649014416004707</v>
      </c>
      <c r="AP294" s="198">
        <v>0.06476660055439384</v>
      </c>
      <c r="AQ294" s="198">
        <v>0</v>
      </c>
      <c r="AR294" s="198">
        <v>16</v>
      </c>
      <c r="AS294" s="198">
        <v>0</v>
      </c>
      <c r="AT294" s="198">
        <v>0</v>
      </c>
      <c r="AU294" s="198">
        <v>371.95</v>
      </c>
      <c r="AV294" s="198">
        <v>9.138325043688669</v>
      </c>
      <c r="AW294" s="198">
        <v>1.9699946330223317</v>
      </c>
      <c r="AX294" s="198">
        <v>164</v>
      </c>
      <c r="AY294" s="198">
        <v>1032</v>
      </c>
      <c r="AZ294" s="198">
        <v>0.15891472868217055</v>
      </c>
      <c r="BA294" s="198">
        <v>0.09522586998651837</v>
      </c>
      <c r="BB294" s="198">
        <v>0</v>
      </c>
      <c r="BC294" s="198">
        <v>1421</v>
      </c>
      <c r="BD294" s="198">
        <v>1357</v>
      </c>
      <c r="BE294" s="198">
        <v>1.047162859248342</v>
      </c>
      <c r="BF294" s="198">
        <v>0.6175240049519535</v>
      </c>
      <c r="BG294" s="198">
        <v>0</v>
      </c>
      <c r="BH294" s="198">
        <v>0</v>
      </c>
      <c r="BI294" s="198">
        <v>-339.90000000000003</v>
      </c>
      <c r="BJ294" s="198">
        <v>-815.76</v>
      </c>
      <c r="BK294" s="198">
        <v>-13935.9</v>
      </c>
      <c r="BL294" s="198">
        <v>-1257.6299999999999</v>
      </c>
      <c r="BM294" s="198">
        <v>-18116.670000000002</v>
      </c>
      <c r="BN294" s="198">
        <v>-407.88</v>
      </c>
      <c r="BO294" s="198">
        <v>-36833</v>
      </c>
      <c r="BP294" s="198">
        <v>62997.892044780776</v>
      </c>
      <c r="BQ294" s="198">
        <v>336888</v>
      </c>
      <c r="BR294" s="198">
        <v>99871</v>
      </c>
      <c r="BS294" s="198">
        <v>256904.2450974227</v>
      </c>
      <c r="BT294" s="198">
        <v>13719.698860165583</v>
      </c>
      <c r="BU294" s="198">
        <v>-12878.79392371824</v>
      </c>
      <c r="BV294" s="198">
        <v>104242.25499510784</v>
      </c>
      <c r="BW294" s="198">
        <v>183352.20300324363</v>
      </c>
      <c r="BX294" s="198">
        <v>305.90999999999997</v>
      </c>
      <c r="BY294" s="198">
        <v>-19355.542479651456</v>
      </c>
      <c r="BZ294" s="198">
        <v>989213.8675973509</v>
      </c>
      <c r="CA294" s="198">
        <v>924870.7975973509</v>
      </c>
      <c r="CB294" s="198">
        <v>0</v>
      </c>
      <c r="CC294" s="232">
        <v>2240288.1223000004</v>
      </c>
      <c r="CD294" s="198">
        <v>-420930</v>
      </c>
      <c r="CE294" s="198">
        <v>1369019.0548</v>
      </c>
      <c r="CH294" s="198">
        <v>3435</v>
      </c>
    </row>
    <row r="295" spans="1:86" ht="11.25">
      <c r="A295" s="198">
        <v>936</v>
      </c>
      <c r="B295" s="198" t="s">
        <v>370</v>
      </c>
      <c r="C295" s="198">
        <v>7157</v>
      </c>
      <c r="D295" s="198">
        <v>27674795.34</v>
      </c>
      <c r="E295" s="198">
        <v>11728340.302362794</v>
      </c>
      <c r="F295" s="198">
        <v>1918403.2178198192</v>
      </c>
      <c r="G295" s="198">
        <v>41321538.86018261</v>
      </c>
      <c r="H295" s="198">
        <v>3642.26</v>
      </c>
      <c r="I295" s="198">
        <v>26067654.82</v>
      </c>
      <c r="J295" s="198">
        <v>15253884.040182613</v>
      </c>
      <c r="K295" s="198">
        <v>795358.6187079294</v>
      </c>
      <c r="L295" s="198">
        <v>2068653.0820458455</v>
      </c>
      <c r="M295" s="198">
        <v>114500.80450069903</v>
      </c>
      <c r="N295" s="198">
        <v>18232396.545437086</v>
      </c>
      <c r="O295" s="198">
        <v>5560434.571851851</v>
      </c>
      <c r="P295" s="198">
        <v>23792831.11728894</v>
      </c>
      <c r="Q295" s="198">
        <v>354</v>
      </c>
      <c r="R295" s="198">
        <v>50</v>
      </c>
      <c r="S295" s="198">
        <v>396</v>
      </c>
      <c r="T295" s="198">
        <v>209</v>
      </c>
      <c r="U295" s="198">
        <v>215</v>
      </c>
      <c r="V295" s="198">
        <v>3663</v>
      </c>
      <c r="W295" s="198">
        <v>1181</v>
      </c>
      <c r="X295" s="198">
        <v>745</v>
      </c>
      <c r="Y295" s="198">
        <v>344</v>
      </c>
      <c r="Z295" s="198">
        <v>7012</v>
      </c>
      <c r="AA295" s="198">
        <v>10</v>
      </c>
      <c r="AB295" s="198">
        <v>0</v>
      </c>
      <c r="AC295" s="198">
        <v>135</v>
      </c>
      <c r="AD295" s="198">
        <v>1162.31</v>
      </c>
      <c r="AE295" s="198">
        <v>6.157565537593241</v>
      </c>
      <c r="AF295" s="198">
        <v>2270</v>
      </c>
      <c r="AG295" s="198">
        <v>11728340.302362794</v>
      </c>
      <c r="AH295" s="198">
        <v>6370224.226399262</v>
      </c>
      <c r="AI295" s="198">
        <v>4229089.048762535</v>
      </c>
      <c r="AJ295" s="198">
        <v>1129027.0272009969</v>
      </c>
      <c r="AK295" s="198">
        <v>363</v>
      </c>
      <c r="AL295" s="198">
        <v>2974</v>
      </c>
      <c r="AM295" s="198">
        <v>0.9791381050562099</v>
      </c>
      <c r="AN295" s="198">
        <v>135</v>
      </c>
      <c r="AO295" s="198">
        <v>0.0188626519491407</v>
      </c>
      <c r="AP295" s="198">
        <v>0.017139108343487478</v>
      </c>
      <c r="AQ295" s="198">
        <v>0</v>
      </c>
      <c r="AR295" s="198">
        <v>10</v>
      </c>
      <c r="AS295" s="198">
        <v>0</v>
      </c>
      <c r="AT295" s="198">
        <v>0</v>
      </c>
      <c r="AU295" s="198">
        <v>1162.31</v>
      </c>
      <c r="AV295" s="198">
        <v>6.157565537593241</v>
      </c>
      <c r="AW295" s="198">
        <v>2.9236312924274155</v>
      </c>
      <c r="AX295" s="198">
        <v>259</v>
      </c>
      <c r="AY295" s="198">
        <v>1892</v>
      </c>
      <c r="AZ295" s="198">
        <v>0.136892177589852</v>
      </c>
      <c r="BA295" s="198">
        <v>0.07320331889419983</v>
      </c>
      <c r="BB295" s="198">
        <v>0.38</v>
      </c>
      <c r="BC295" s="198">
        <v>2337</v>
      </c>
      <c r="BD295" s="198">
        <v>2495</v>
      </c>
      <c r="BE295" s="198">
        <v>0.9366733466933868</v>
      </c>
      <c r="BF295" s="198">
        <v>0.5070344923969983</v>
      </c>
      <c r="BG295" s="198">
        <v>0</v>
      </c>
      <c r="BH295" s="198">
        <v>0</v>
      </c>
      <c r="BI295" s="198">
        <v>-715.7</v>
      </c>
      <c r="BJ295" s="198">
        <v>-1717.6799999999998</v>
      </c>
      <c r="BK295" s="198">
        <v>-29343.699999999997</v>
      </c>
      <c r="BL295" s="198">
        <v>-2648.09</v>
      </c>
      <c r="BM295" s="198">
        <v>-38146.81</v>
      </c>
      <c r="BN295" s="198">
        <v>-858.8399999999999</v>
      </c>
      <c r="BO295" s="198">
        <v>-107812</v>
      </c>
      <c r="BP295" s="198">
        <v>46812.20847382769</v>
      </c>
      <c r="BQ295" s="198">
        <v>704678</v>
      </c>
      <c r="BR295" s="198">
        <v>221566</v>
      </c>
      <c r="BS295" s="198">
        <v>572270.7166943942</v>
      </c>
      <c r="BT295" s="198">
        <v>29515.069544133108</v>
      </c>
      <c r="BU295" s="198">
        <v>92555.46064005131</v>
      </c>
      <c r="BV295" s="198">
        <v>283008.96376369183</v>
      </c>
      <c r="BW295" s="198">
        <v>402936.8581112478</v>
      </c>
      <c r="BX295" s="198">
        <v>644.13</v>
      </c>
      <c r="BY295" s="198">
        <v>-42040.31518150049</v>
      </c>
      <c r="BZ295" s="198">
        <v>2204135.0920458455</v>
      </c>
      <c r="CA295" s="198">
        <v>2068653.0820458455</v>
      </c>
      <c r="CB295" s="198">
        <v>114500.80450069903</v>
      </c>
      <c r="CC295" s="232">
        <v>5560434.571851851</v>
      </c>
      <c r="CD295" s="198">
        <v>-193779</v>
      </c>
      <c r="CE295" s="198">
        <v>141957.58800000002</v>
      </c>
      <c r="CH295" s="198">
        <v>7280</v>
      </c>
    </row>
    <row r="296" spans="1:86" ht="11.25">
      <c r="A296" s="198">
        <v>946</v>
      </c>
      <c r="B296" s="198" t="s">
        <v>371</v>
      </c>
      <c r="C296" s="198">
        <v>6705</v>
      </c>
      <c r="D296" s="198">
        <v>26223987.169999994</v>
      </c>
      <c r="E296" s="198">
        <v>7109101.17737061</v>
      </c>
      <c r="F296" s="198">
        <v>3304579.4396984447</v>
      </c>
      <c r="G296" s="198">
        <v>36637667.787069045</v>
      </c>
      <c r="H296" s="198">
        <v>3642.26</v>
      </c>
      <c r="I296" s="198">
        <v>24421353.3</v>
      </c>
      <c r="J296" s="198">
        <v>12216314.487069044</v>
      </c>
      <c r="K296" s="198">
        <v>183016.0714795038</v>
      </c>
      <c r="L296" s="198">
        <v>2254623.9775037984</v>
      </c>
      <c r="M296" s="198">
        <v>0</v>
      </c>
      <c r="N296" s="198">
        <v>14653954.536052346</v>
      </c>
      <c r="O296" s="198">
        <v>2914464.1802999973</v>
      </c>
      <c r="P296" s="198">
        <v>17568418.716352344</v>
      </c>
      <c r="Q296" s="198">
        <v>495</v>
      </c>
      <c r="R296" s="198">
        <v>80</v>
      </c>
      <c r="S296" s="198">
        <v>418</v>
      </c>
      <c r="T296" s="198">
        <v>202</v>
      </c>
      <c r="U296" s="198">
        <v>246</v>
      </c>
      <c r="V296" s="198">
        <v>3634</v>
      </c>
      <c r="W296" s="198">
        <v>812</v>
      </c>
      <c r="X296" s="198">
        <v>526</v>
      </c>
      <c r="Y296" s="198">
        <v>292</v>
      </c>
      <c r="Z296" s="198">
        <v>832</v>
      </c>
      <c r="AA296" s="198">
        <v>5502</v>
      </c>
      <c r="AB296" s="198">
        <v>0</v>
      </c>
      <c r="AC296" s="198">
        <v>371</v>
      </c>
      <c r="AD296" s="198">
        <v>781.98</v>
      </c>
      <c r="AE296" s="198">
        <v>8.574388091767053</v>
      </c>
      <c r="AF296" s="198">
        <v>1630</v>
      </c>
      <c r="AG296" s="198">
        <v>7109101.17737061</v>
      </c>
      <c r="AH296" s="198">
        <v>4438375.479652113</v>
      </c>
      <c r="AI296" s="198">
        <v>1958570.1882532523</v>
      </c>
      <c r="AJ296" s="198">
        <v>712155.5094652441</v>
      </c>
      <c r="AK296" s="198">
        <v>185</v>
      </c>
      <c r="AL296" s="198">
        <v>3188</v>
      </c>
      <c r="AM296" s="198">
        <v>0.46551288580530653</v>
      </c>
      <c r="AN296" s="198">
        <v>371</v>
      </c>
      <c r="AO296" s="198">
        <v>0.05533184190902312</v>
      </c>
      <c r="AP296" s="198">
        <v>0.0536082983033699</v>
      </c>
      <c r="AQ296" s="198">
        <v>3</v>
      </c>
      <c r="AR296" s="198">
        <v>5502</v>
      </c>
      <c r="AS296" s="198">
        <v>0</v>
      </c>
      <c r="AT296" s="198">
        <v>1</v>
      </c>
      <c r="AU296" s="198">
        <v>781.98</v>
      </c>
      <c r="AV296" s="198">
        <v>8.574388091767053</v>
      </c>
      <c r="AW296" s="198">
        <v>2.099561053011563</v>
      </c>
      <c r="AX296" s="198">
        <v>260</v>
      </c>
      <c r="AY296" s="198">
        <v>1892</v>
      </c>
      <c r="AZ296" s="198">
        <v>0.13742071881606766</v>
      </c>
      <c r="BA296" s="198">
        <v>0.07373186012041548</v>
      </c>
      <c r="BB296" s="198">
        <v>0</v>
      </c>
      <c r="BC296" s="198">
        <v>2574</v>
      </c>
      <c r="BD296" s="198">
        <v>2987</v>
      </c>
      <c r="BE296" s="198">
        <v>0.8617341814529629</v>
      </c>
      <c r="BF296" s="198">
        <v>0.43209532715657434</v>
      </c>
      <c r="BG296" s="198">
        <v>0</v>
      </c>
      <c r="BH296" s="198">
        <v>0</v>
      </c>
      <c r="BI296" s="198">
        <v>-670.5</v>
      </c>
      <c r="BJ296" s="198">
        <v>-1609.2</v>
      </c>
      <c r="BK296" s="198">
        <v>-27490.499999999996</v>
      </c>
      <c r="BL296" s="198">
        <v>-2480.85</v>
      </c>
      <c r="BM296" s="198">
        <v>-35737.65</v>
      </c>
      <c r="BN296" s="198">
        <v>-804.6</v>
      </c>
      <c r="BO296" s="198">
        <v>-66992</v>
      </c>
      <c r="BP296" s="198">
        <v>511241.87484688405</v>
      </c>
      <c r="BQ296" s="198">
        <v>610295</v>
      </c>
      <c r="BR296" s="198">
        <v>210910</v>
      </c>
      <c r="BS296" s="198">
        <v>522557.84133206314</v>
      </c>
      <c r="BT296" s="198">
        <v>25585.96697163288</v>
      </c>
      <c r="BU296" s="198">
        <v>37399.76454258622</v>
      </c>
      <c r="BV296" s="198">
        <v>185934.4408685002</v>
      </c>
      <c r="BW296" s="198">
        <v>423563.7948556407</v>
      </c>
      <c r="BX296" s="198">
        <v>603.4499999999999</v>
      </c>
      <c r="BY296" s="198">
        <v>-79550.5059135086</v>
      </c>
      <c r="BZ296" s="198">
        <v>2381549.6275037983</v>
      </c>
      <c r="CA296" s="198">
        <v>2254623.9775037984</v>
      </c>
      <c r="CB296" s="198">
        <v>0</v>
      </c>
      <c r="CC296" s="232">
        <v>2914464.1802999973</v>
      </c>
      <c r="CD296" s="198">
        <v>153815</v>
      </c>
      <c r="CE296" s="198">
        <v>17968.842059999966</v>
      </c>
      <c r="CH296" s="198">
        <v>6691</v>
      </c>
    </row>
    <row r="297" spans="1:86" ht="11.25">
      <c r="A297" s="198">
        <v>976</v>
      </c>
      <c r="B297" s="198" t="s">
        <v>372</v>
      </c>
      <c r="C297" s="198">
        <v>4348</v>
      </c>
      <c r="D297" s="198">
        <v>16565986.56</v>
      </c>
      <c r="E297" s="198">
        <v>8005665.238903611</v>
      </c>
      <c r="F297" s="198">
        <v>2189789.9514875175</v>
      </c>
      <c r="G297" s="198">
        <v>26761441.75039113</v>
      </c>
      <c r="H297" s="198">
        <v>3642.26</v>
      </c>
      <c r="I297" s="198">
        <v>15836546.48</v>
      </c>
      <c r="J297" s="198">
        <v>10924895.270391129</v>
      </c>
      <c r="K297" s="198">
        <v>4272918.10957212</v>
      </c>
      <c r="L297" s="198">
        <v>1183203.7204520898</v>
      </c>
      <c r="M297" s="198">
        <v>0</v>
      </c>
      <c r="N297" s="198">
        <v>16381017.100415338</v>
      </c>
      <c r="O297" s="198">
        <v>3619147.7364155855</v>
      </c>
      <c r="P297" s="198">
        <v>20000164.83683092</v>
      </c>
      <c r="Q297" s="198">
        <v>169</v>
      </c>
      <c r="R297" s="198">
        <v>29</v>
      </c>
      <c r="S297" s="198">
        <v>190</v>
      </c>
      <c r="T297" s="198">
        <v>143</v>
      </c>
      <c r="U297" s="198">
        <v>141</v>
      </c>
      <c r="V297" s="198">
        <v>2271</v>
      </c>
      <c r="W297" s="198">
        <v>670</v>
      </c>
      <c r="X297" s="198">
        <v>532</v>
      </c>
      <c r="Y297" s="198">
        <v>203</v>
      </c>
      <c r="Z297" s="198">
        <v>4303</v>
      </c>
      <c r="AA297" s="198">
        <v>14</v>
      </c>
      <c r="AB297" s="198">
        <v>3</v>
      </c>
      <c r="AC297" s="198">
        <v>28</v>
      </c>
      <c r="AD297" s="198">
        <v>2028.55</v>
      </c>
      <c r="AE297" s="198">
        <v>2.1434029232703162</v>
      </c>
      <c r="AF297" s="198">
        <v>1405</v>
      </c>
      <c r="AG297" s="198">
        <v>8005665.238903611</v>
      </c>
      <c r="AH297" s="198">
        <v>4644073.530287679</v>
      </c>
      <c r="AI297" s="198">
        <v>2475739.7334274575</v>
      </c>
      <c r="AJ297" s="198">
        <v>885851.9751884744</v>
      </c>
      <c r="AK297" s="198">
        <v>294</v>
      </c>
      <c r="AL297" s="198">
        <v>1795</v>
      </c>
      <c r="AM297" s="198">
        <v>1.313896539951852</v>
      </c>
      <c r="AN297" s="198">
        <v>28</v>
      </c>
      <c r="AO297" s="198">
        <v>0.006439742410303588</v>
      </c>
      <c r="AP297" s="198">
        <v>0.004716198804650365</v>
      </c>
      <c r="AQ297" s="198">
        <v>0</v>
      </c>
      <c r="AR297" s="198">
        <v>14</v>
      </c>
      <c r="AS297" s="198">
        <v>3</v>
      </c>
      <c r="AT297" s="198">
        <v>0</v>
      </c>
      <c r="AU297" s="198">
        <v>2028.55</v>
      </c>
      <c r="AV297" s="198">
        <v>2.1434029232703162</v>
      </c>
      <c r="AW297" s="198">
        <v>8.399004730017275</v>
      </c>
      <c r="AX297" s="198">
        <v>180</v>
      </c>
      <c r="AY297" s="198">
        <v>1057</v>
      </c>
      <c r="AZ297" s="198">
        <v>0.17029328287606432</v>
      </c>
      <c r="BA297" s="198">
        <v>0.10660442418041215</v>
      </c>
      <c r="BB297" s="198">
        <v>1.5247166666666665</v>
      </c>
      <c r="BC297" s="198">
        <v>1376</v>
      </c>
      <c r="BD297" s="198">
        <v>1506</v>
      </c>
      <c r="BE297" s="198">
        <v>0.9136786188579017</v>
      </c>
      <c r="BF297" s="198">
        <v>0.48403976456151315</v>
      </c>
      <c r="BG297" s="198">
        <v>0</v>
      </c>
      <c r="BH297" s="198">
        <v>3</v>
      </c>
      <c r="BI297" s="198">
        <v>-434.8</v>
      </c>
      <c r="BJ297" s="198">
        <v>-1043.52</v>
      </c>
      <c r="BK297" s="198">
        <v>-17826.8</v>
      </c>
      <c r="BL297" s="198">
        <v>-1608.76</v>
      </c>
      <c r="BM297" s="198">
        <v>-23174.84</v>
      </c>
      <c r="BN297" s="198">
        <v>-521.76</v>
      </c>
      <c r="BO297" s="198">
        <v>-68703</v>
      </c>
      <c r="BP297" s="198">
        <v>-68346.25052626431</v>
      </c>
      <c r="BQ297" s="198">
        <v>449076</v>
      </c>
      <c r="BR297" s="198">
        <v>136608</v>
      </c>
      <c r="BS297" s="198">
        <v>360895.7856342601</v>
      </c>
      <c r="BT297" s="198">
        <v>19702.819711007938</v>
      </c>
      <c r="BU297" s="198">
        <v>42803.14343171017</v>
      </c>
      <c r="BV297" s="198">
        <v>150987.586605333</v>
      </c>
      <c r="BW297" s="198">
        <v>240206.24490253988</v>
      </c>
      <c r="BX297" s="198">
        <v>391.32</v>
      </c>
      <c r="BY297" s="198">
        <v>1889.7106935028714</v>
      </c>
      <c r="BZ297" s="198">
        <v>1265511.3604520897</v>
      </c>
      <c r="CA297" s="198">
        <v>1183203.7204520898</v>
      </c>
      <c r="CB297" s="198">
        <v>0</v>
      </c>
      <c r="CC297" s="232">
        <v>3619147.7364155855</v>
      </c>
      <c r="CD297" s="198">
        <v>-981268</v>
      </c>
      <c r="CE297" s="198">
        <v>12390.157899999977</v>
      </c>
      <c r="CH297" s="198">
        <v>4482</v>
      </c>
    </row>
    <row r="298" spans="1:86" ht="11.25">
      <c r="A298" s="198">
        <v>977</v>
      </c>
      <c r="B298" s="198" t="s">
        <v>373</v>
      </c>
      <c r="C298" s="198">
        <v>14976</v>
      </c>
      <c r="D298" s="198">
        <v>55675923.63999999</v>
      </c>
      <c r="E298" s="198">
        <v>19115331.189953186</v>
      </c>
      <c r="F298" s="198">
        <v>2339109.738594902</v>
      </c>
      <c r="G298" s="198">
        <v>77130364.56854808</v>
      </c>
      <c r="H298" s="198">
        <v>3642.26</v>
      </c>
      <c r="I298" s="198">
        <v>54546485.760000005</v>
      </c>
      <c r="J298" s="198">
        <v>22583878.808548078</v>
      </c>
      <c r="K298" s="198">
        <v>588947.5372393164</v>
      </c>
      <c r="L298" s="198">
        <v>3374797.633995173</v>
      </c>
      <c r="M298" s="198">
        <v>0</v>
      </c>
      <c r="N298" s="198">
        <v>26547623.979782566</v>
      </c>
      <c r="O298" s="198">
        <v>7955634.080279075</v>
      </c>
      <c r="P298" s="198">
        <v>34503258.06006164</v>
      </c>
      <c r="Q298" s="198">
        <v>1421</v>
      </c>
      <c r="R298" s="198">
        <v>220</v>
      </c>
      <c r="S298" s="198">
        <v>1219</v>
      </c>
      <c r="T298" s="198">
        <v>551</v>
      </c>
      <c r="U298" s="198">
        <v>532</v>
      </c>
      <c r="V298" s="198">
        <v>8529</v>
      </c>
      <c r="W298" s="198">
        <v>1383</v>
      </c>
      <c r="X298" s="198">
        <v>809</v>
      </c>
      <c r="Y298" s="198">
        <v>312</v>
      </c>
      <c r="Z298" s="198">
        <v>14757</v>
      </c>
      <c r="AA298" s="198">
        <v>39</v>
      </c>
      <c r="AB298" s="198">
        <v>1</v>
      </c>
      <c r="AC298" s="198">
        <v>179</v>
      </c>
      <c r="AD298" s="198">
        <v>568.57</v>
      </c>
      <c r="AE298" s="198">
        <v>26.33976467277556</v>
      </c>
      <c r="AF298" s="198">
        <v>2504</v>
      </c>
      <c r="AG298" s="198">
        <v>19115331.189953186</v>
      </c>
      <c r="AH298" s="198">
        <v>11163478.91238417</v>
      </c>
      <c r="AI298" s="198">
        <v>5337720.4684344</v>
      </c>
      <c r="AJ298" s="198">
        <v>2614131.8091346156</v>
      </c>
      <c r="AK298" s="198">
        <v>876</v>
      </c>
      <c r="AL298" s="198">
        <v>6744</v>
      </c>
      <c r="AM298" s="198">
        <v>1.0419930829677229</v>
      </c>
      <c r="AN298" s="198">
        <v>179</v>
      </c>
      <c r="AO298" s="198">
        <v>0.011952457264957264</v>
      </c>
      <c r="AP298" s="198">
        <v>0.010228913659304041</v>
      </c>
      <c r="AQ298" s="198">
        <v>0</v>
      </c>
      <c r="AR298" s="198">
        <v>39</v>
      </c>
      <c r="AS298" s="198">
        <v>1</v>
      </c>
      <c r="AT298" s="198">
        <v>0</v>
      </c>
      <c r="AU298" s="198">
        <v>568.57</v>
      </c>
      <c r="AV298" s="198">
        <v>26.33976467277556</v>
      </c>
      <c r="AW298" s="198">
        <v>0.683470468112699</v>
      </c>
      <c r="AX298" s="198">
        <v>420</v>
      </c>
      <c r="AY298" s="198">
        <v>4222</v>
      </c>
      <c r="AZ298" s="198">
        <v>0.0994789199431549</v>
      </c>
      <c r="BA298" s="198">
        <v>0.035790061247502725</v>
      </c>
      <c r="BB298" s="198">
        <v>0</v>
      </c>
      <c r="BC298" s="198">
        <v>6291</v>
      </c>
      <c r="BD298" s="198">
        <v>5979</v>
      </c>
      <c r="BE298" s="198">
        <v>1.0521826392373306</v>
      </c>
      <c r="BF298" s="198">
        <v>0.6225437849409421</v>
      </c>
      <c r="BG298" s="198">
        <v>0</v>
      </c>
      <c r="BH298" s="198">
        <v>1</v>
      </c>
      <c r="BI298" s="198">
        <v>-1497.6000000000001</v>
      </c>
      <c r="BJ298" s="198">
        <v>-3594.24</v>
      </c>
      <c r="BK298" s="198">
        <v>-61401.59999999999</v>
      </c>
      <c r="BL298" s="198">
        <v>-5541.12</v>
      </c>
      <c r="BM298" s="198">
        <v>-79822.08</v>
      </c>
      <c r="BN298" s="198">
        <v>-1797.12</v>
      </c>
      <c r="BO298" s="198">
        <v>55920</v>
      </c>
      <c r="BP298" s="198">
        <v>31894.618232842535</v>
      </c>
      <c r="BQ298" s="198">
        <v>1105522</v>
      </c>
      <c r="BR298" s="198">
        <v>359322</v>
      </c>
      <c r="BS298" s="198">
        <v>800309.0794281153</v>
      </c>
      <c r="BT298" s="198">
        <v>28657.374442731707</v>
      </c>
      <c r="BU298" s="198">
        <v>20607.3296960915</v>
      </c>
      <c r="BV298" s="198">
        <v>400458.4208793326</v>
      </c>
      <c r="BW298" s="198">
        <v>774296.0670329802</v>
      </c>
      <c r="BX298" s="198">
        <v>1347.84</v>
      </c>
      <c r="BY298" s="198">
        <v>79958.58428307927</v>
      </c>
      <c r="BZ298" s="198">
        <v>3658293.313995173</v>
      </c>
      <c r="CA298" s="198">
        <v>3374797.633995173</v>
      </c>
      <c r="CB298" s="198">
        <v>0</v>
      </c>
      <c r="CC298" s="232">
        <v>7955634.080279075</v>
      </c>
      <c r="CD298" s="198">
        <v>-855499</v>
      </c>
      <c r="CE298" s="198">
        <v>199425.50629999992</v>
      </c>
      <c r="CH298" s="198">
        <v>14748</v>
      </c>
    </row>
    <row r="299" spans="1:86" ht="11.25">
      <c r="A299" s="198">
        <v>980</v>
      </c>
      <c r="B299" s="198" t="s">
        <v>374</v>
      </c>
      <c r="C299" s="198">
        <v>32260</v>
      </c>
      <c r="D299" s="198">
        <v>118576465.44000003</v>
      </c>
      <c r="E299" s="198">
        <v>28470346.247325137</v>
      </c>
      <c r="F299" s="198">
        <v>5280846.254545254</v>
      </c>
      <c r="G299" s="198">
        <v>152327657.94187042</v>
      </c>
      <c r="H299" s="198">
        <v>3642.26</v>
      </c>
      <c r="I299" s="198">
        <v>117499307.60000001</v>
      </c>
      <c r="J299" s="198">
        <v>34828350.34187041</v>
      </c>
      <c r="K299" s="198">
        <v>543156.3642784393</v>
      </c>
      <c r="L299" s="198">
        <v>5012631.18501596</v>
      </c>
      <c r="M299" s="198">
        <v>0</v>
      </c>
      <c r="N299" s="198">
        <v>40384137.89116481</v>
      </c>
      <c r="O299" s="198">
        <v>6532366.617365863</v>
      </c>
      <c r="P299" s="198">
        <v>46916504.50853068</v>
      </c>
      <c r="Q299" s="198">
        <v>2901</v>
      </c>
      <c r="R299" s="198">
        <v>498</v>
      </c>
      <c r="S299" s="198">
        <v>2935</v>
      </c>
      <c r="T299" s="198">
        <v>1303</v>
      </c>
      <c r="U299" s="198">
        <v>1221</v>
      </c>
      <c r="V299" s="198">
        <v>18262</v>
      </c>
      <c r="W299" s="198">
        <v>3117</v>
      </c>
      <c r="X299" s="198">
        <v>1510</v>
      </c>
      <c r="Y299" s="198">
        <v>513</v>
      </c>
      <c r="Z299" s="198">
        <v>31505</v>
      </c>
      <c r="AA299" s="198">
        <v>96</v>
      </c>
      <c r="AB299" s="198">
        <v>0</v>
      </c>
      <c r="AC299" s="198">
        <v>659</v>
      </c>
      <c r="AD299" s="198">
        <v>1115.46</v>
      </c>
      <c r="AE299" s="198">
        <v>28.920803973248702</v>
      </c>
      <c r="AF299" s="198">
        <v>5140</v>
      </c>
      <c r="AG299" s="198">
        <v>28470346.247325137</v>
      </c>
      <c r="AH299" s="198">
        <v>17503336.094974726</v>
      </c>
      <c r="AI299" s="198">
        <v>7467026.36802732</v>
      </c>
      <c r="AJ299" s="198">
        <v>3499983.7843230907</v>
      </c>
      <c r="AK299" s="198">
        <v>1854</v>
      </c>
      <c r="AL299" s="198">
        <v>15387</v>
      </c>
      <c r="AM299" s="198">
        <v>0.9665716823862636</v>
      </c>
      <c r="AN299" s="198">
        <v>659</v>
      </c>
      <c r="AO299" s="198">
        <v>0.020427774333539987</v>
      </c>
      <c r="AP299" s="198">
        <v>0.018704230727886764</v>
      </c>
      <c r="AQ299" s="198">
        <v>0</v>
      </c>
      <c r="AR299" s="198">
        <v>96</v>
      </c>
      <c r="AS299" s="198">
        <v>0</v>
      </c>
      <c r="AT299" s="198">
        <v>0</v>
      </c>
      <c r="AU299" s="198">
        <v>1115.46</v>
      </c>
      <c r="AV299" s="198">
        <v>28.920803973248702</v>
      </c>
      <c r="AW299" s="198">
        <v>0.6224740953789608</v>
      </c>
      <c r="AX299" s="198">
        <v>1120</v>
      </c>
      <c r="AY299" s="198">
        <v>11222</v>
      </c>
      <c r="AZ299" s="198">
        <v>0.09980395651399038</v>
      </c>
      <c r="BA299" s="198">
        <v>0.0361150978183382</v>
      </c>
      <c r="BB299" s="198">
        <v>0</v>
      </c>
      <c r="BC299" s="198">
        <v>9509</v>
      </c>
      <c r="BD299" s="198">
        <v>13659</v>
      </c>
      <c r="BE299" s="198">
        <v>0.6961710227688703</v>
      </c>
      <c r="BF299" s="198">
        <v>0.2665321684724818</v>
      </c>
      <c r="BG299" s="198">
        <v>0</v>
      </c>
      <c r="BH299" s="198">
        <v>0</v>
      </c>
      <c r="BI299" s="198">
        <v>-3226</v>
      </c>
      <c r="BJ299" s="198">
        <v>-7742.4</v>
      </c>
      <c r="BK299" s="198">
        <v>-132266</v>
      </c>
      <c r="BL299" s="198">
        <v>-11936.2</v>
      </c>
      <c r="BM299" s="198">
        <v>-171945.8</v>
      </c>
      <c r="BN299" s="198">
        <v>-3871.2</v>
      </c>
      <c r="BO299" s="198">
        <v>-15104</v>
      </c>
      <c r="BP299" s="198">
        <v>-347209.93432351947</v>
      </c>
      <c r="BQ299" s="198">
        <v>2053006</v>
      </c>
      <c r="BR299" s="198">
        <v>651254</v>
      </c>
      <c r="BS299" s="198">
        <v>1314597.2430768656</v>
      </c>
      <c r="BT299" s="198">
        <v>15734.767118453987</v>
      </c>
      <c r="BU299" s="198">
        <v>-104982.75987239247</v>
      </c>
      <c r="BV299" s="198">
        <v>676365.6684635072</v>
      </c>
      <c r="BW299" s="198">
        <v>1345931.054946467</v>
      </c>
      <c r="BX299" s="198">
        <v>2903.4</v>
      </c>
      <c r="BY299" s="198">
        <v>30817.545606577274</v>
      </c>
      <c r="BZ299" s="198">
        <v>5623312.9850159595</v>
      </c>
      <c r="CA299" s="198">
        <v>5012631.18501596</v>
      </c>
      <c r="CB299" s="198">
        <v>0</v>
      </c>
      <c r="CC299" s="232">
        <v>6532366.617365863</v>
      </c>
      <c r="CD299" s="198">
        <v>-5441538</v>
      </c>
      <c r="CE299" s="198">
        <v>-272533.66411999986</v>
      </c>
      <c r="CH299" s="198">
        <v>31743</v>
      </c>
    </row>
    <row r="300" spans="1:86" ht="11.25">
      <c r="A300" s="198">
        <v>981</v>
      </c>
      <c r="B300" s="198" t="s">
        <v>375</v>
      </c>
      <c r="C300" s="198">
        <v>2468</v>
      </c>
      <c r="D300" s="198">
        <v>8925808.24</v>
      </c>
      <c r="E300" s="198">
        <v>2671638.6662849863</v>
      </c>
      <c r="F300" s="198">
        <v>451906.9456462311</v>
      </c>
      <c r="G300" s="198">
        <v>12049353.851931218</v>
      </c>
      <c r="H300" s="198">
        <v>3642.26</v>
      </c>
      <c r="I300" s="198">
        <v>8989097.68</v>
      </c>
      <c r="J300" s="198">
        <v>3060256.1719312184</v>
      </c>
      <c r="K300" s="198">
        <v>39411.41877654741</v>
      </c>
      <c r="L300" s="198">
        <v>770258.1731703503</v>
      </c>
      <c r="M300" s="198">
        <v>405729.58577767765</v>
      </c>
      <c r="N300" s="198">
        <v>4275655.349655794</v>
      </c>
      <c r="O300" s="198">
        <v>1905765.584296296</v>
      </c>
      <c r="P300" s="198">
        <v>6181420.933952089</v>
      </c>
      <c r="Q300" s="198">
        <v>109</v>
      </c>
      <c r="R300" s="198">
        <v>31</v>
      </c>
      <c r="S300" s="198">
        <v>161</v>
      </c>
      <c r="T300" s="198">
        <v>81</v>
      </c>
      <c r="U300" s="198">
        <v>88</v>
      </c>
      <c r="V300" s="198">
        <v>1428</v>
      </c>
      <c r="W300" s="198">
        <v>291</v>
      </c>
      <c r="X300" s="198">
        <v>185</v>
      </c>
      <c r="Y300" s="198">
        <v>94</v>
      </c>
      <c r="Z300" s="198">
        <v>2418</v>
      </c>
      <c r="AA300" s="198">
        <v>14</v>
      </c>
      <c r="AB300" s="198">
        <v>0</v>
      </c>
      <c r="AC300" s="198">
        <v>36</v>
      </c>
      <c r="AD300" s="198">
        <v>182.75</v>
      </c>
      <c r="AE300" s="198">
        <v>13.504787961696307</v>
      </c>
      <c r="AF300" s="198">
        <v>570</v>
      </c>
      <c r="AG300" s="198">
        <v>2671638.6662849863</v>
      </c>
      <c r="AH300" s="198">
        <v>1495670.5325125617</v>
      </c>
      <c r="AI300" s="198">
        <v>880684.1420429331</v>
      </c>
      <c r="AJ300" s="198">
        <v>295283.9917294915</v>
      </c>
      <c r="AK300" s="198">
        <v>127</v>
      </c>
      <c r="AL300" s="198">
        <v>1198</v>
      </c>
      <c r="AM300" s="198">
        <v>0.8504038043284271</v>
      </c>
      <c r="AN300" s="198">
        <v>36</v>
      </c>
      <c r="AO300" s="198">
        <v>0.014586709886547812</v>
      </c>
      <c r="AP300" s="198">
        <v>0.01286316628089459</v>
      </c>
      <c r="AQ300" s="198">
        <v>0</v>
      </c>
      <c r="AR300" s="198">
        <v>14</v>
      </c>
      <c r="AS300" s="198">
        <v>0</v>
      </c>
      <c r="AT300" s="198">
        <v>0</v>
      </c>
      <c r="AU300" s="198">
        <v>182.75</v>
      </c>
      <c r="AV300" s="198">
        <v>13.504787961696307</v>
      </c>
      <c r="AW300" s="198">
        <v>1.3330421286095477</v>
      </c>
      <c r="AX300" s="198">
        <v>98</v>
      </c>
      <c r="AY300" s="198">
        <v>746</v>
      </c>
      <c r="AZ300" s="198">
        <v>0.13136729222520108</v>
      </c>
      <c r="BA300" s="198">
        <v>0.0676784335295489</v>
      </c>
      <c r="BB300" s="198">
        <v>0</v>
      </c>
      <c r="BC300" s="198">
        <v>707</v>
      </c>
      <c r="BD300" s="198">
        <v>1036</v>
      </c>
      <c r="BE300" s="198">
        <v>0.6824324324324325</v>
      </c>
      <c r="BF300" s="198">
        <v>0.2527935781360439</v>
      </c>
      <c r="BG300" s="198">
        <v>0</v>
      </c>
      <c r="BH300" s="198">
        <v>0</v>
      </c>
      <c r="BI300" s="198">
        <v>-246.8</v>
      </c>
      <c r="BJ300" s="198">
        <v>-592.3199999999999</v>
      </c>
      <c r="BK300" s="198">
        <v>-10118.8</v>
      </c>
      <c r="BL300" s="198">
        <v>-913.16</v>
      </c>
      <c r="BM300" s="198">
        <v>-13154.44</v>
      </c>
      <c r="BN300" s="198">
        <v>-296.15999999999997</v>
      </c>
      <c r="BO300" s="198">
        <v>29176</v>
      </c>
      <c r="BP300" s="198">
        <v>26663.14650002122</v>
      </c>
      <c r="BQ300" s="198">
        <v>230288</v>
      </c>
      <c r="BR300" s="198">
        <v>80816</v>
      </c>
      <c r="BS300" s="198">
        <v>184290.17484536598</v>
      </c>
      <c r="BT300" s="198">
        <v>9318.783464418157</v>
      </c>
      <c r="BU300" s="198">
        <v>30796.386826805596</v>
      </c>
      <c r="BV300" s="198">
        <v>74794.23220504644</v>
      </c>
      <c r="BW300" s="198">
        <v>140234.12856395828</v>
      </c>
      <c r="BX300" s="198">
        <v>222.12</v>
      </c>
      <c r="BY300" s="198">
        <v>10378.44076473437</v>
      </c>
      <c r="BZ300" s="198">
        <v>816977.4131703502</v>
      </c>
      <c r="CA300" s="198">
        <v>770258.1731703503</v>
      </c>
      <c r="CB300" s="198">
        <v>405729.58577767765</v>
      </c>
      <c r="CC300" s="232">
        <v>1905765.584296296</v>
      </c>
      <c r="CD300" s="198">
        <v>-652160</v>
      </c>
      <c r="CE300" s="198">
        <v>-67890.59384</v>
      </c>
      <c r="CH300" s="198">
        <v>2483</v>
      </c>
    </row>
    <row r="301" spans="1:86" ht="11.25">
      <c r="A301" s="198">
        <v>989</v>
      </c>
      <c r="B301" s="198" t="s">
        <v>376</v>
      </c>
      <c r="C301" s="198">
        <v>6178</v>
      </c>
      <c r="D301" s="198">
        <v>23186115.07</v>
      </c>
      <c r="E301" s="198">
        <v>10213107.111369224</v>
      </c>
      <c r="F301" s="198">
        <v>1332617.9843104754</v>
      </c>
      <c r="G301" s="198">
        <v>34731840.1656797</v>
      </c>
      <c r="H301" s="198">
        <v>3642.26</v>
      </c>
      <c r="I301" s="198">
        <v>22501882.28</v>
      </c>
      <c r="J301" s="198">
        <v>12229957.8856797</v>
      </c>
      <c r="K301" s="198">
        <v>393987.4767344387</v>
      </c>
      <c r="L301" s="198">
        <v>1934373.9854516804</v>
      </c>
      <c r="M301" s="198">
        <v>0</v>
      </c>
      <c r="N301" s="198">
        <v>14558319.347865818</v>
      </c>
      <c r="O301" s="198">
        <v>4263081.821741176</v>
      </c>
      <c r="P301" s="198">
        <v>18821401.169606995</v>
      </c>
      <c r="Q301" s="198">
        <v>315</v>
      </c>
      <c r="R301" s="198">
        <v>75</v>
      </c>
      <c r="S301" s="198">
        <v>378</v>
      </c>
      <c r="T301" s="198">
        <v>208</v>
      </c>
      <c r="U301" s="198">
        <v>208</v>
      </c>
      <c r="V301" s="198">
        <v>3306</v>
      </c>
      <c r="W301" s="198">
        <v>913</v>
      </c>
      <c r="X301" s="198">
        <v>532</v>
      </c>
      <c r="Y301" s="198">
        <v>243</v>
      </c>
      <c r="Z301" s="198">
        <v>6115</v>
      </c>
      <c r="AA301" s="198">
        <v>2</v>
      </c>
      <c r="AB301" s="198">
        <v>0</v>
      </c>
      <c r="AC301" s="198">
        <v>61</v>
      </c>
      <c r="AD301" s="198">
        <v>804.94</v>
      </c>
      <c r="AE301" s="198">
        <v>7.675106219097075</v>
      </c>
      <c r="AF301" s="198">
        <v>1688</v>
      </c>
      <c r="AG301" s="198">
        <v>10213107.111369224</v>
      </c>
      <c r="AH301" s="198">
        <v>5838092.666768064</v>
      </c>
      <c r="AI301" s="198">
        <v>3315466.003689455</v>
      </c>
      <c r="AJ301" s="198">
        <v>1059548.4409117044</v>
      </c>
      <c r="AK301" s="198">
        <v>324</v>
      </c>
      <c r="AL301" s="198">
        <v>2726</v>
      </c>
      <c r="AM301" s="198">
        <v>0.9534489617555288</v>
      </c>
      <c r="AN301" s="198">
        <v>61</v>
      </c>
      <c r="AO301" s="198">
        <v>0.00987374554872127</v>
      </c>
      <c r="AP301" s="198">
        <v>0.008150201943068047</v>
      </c>
      <c r="AQ301" s="198">
        <v>0</v>
      </c>
      <c r="AR301" s="198">
        <v>2</v>
      </c>
      <c r="AS301" s="198">
        <v>0</v>
      </c>
      <c r="AT301" s="198">
        <v>0</v>
      </c>
      <c r="AU301" s="198">
        <v>804.94</v>
      </c>
      <c r="AV301" s="198">
        <v>7.675106219097075</v>
      </c>
      <c r="AW301" s="198">
        <v>2.3455637976822827</v>
      </c>
      <c r="AX301" s="198">
        <v>187</v>
      </c>
      <c r="AY301" s="198">
        <v>1640</v>
      </c>
      <c r="AZ301" s="198">
        <v>0.11402439024390244</v>
      </c>
      <c r="BA301" s="198">
        <v>0.05033553154825027</v>
      </c>
      <c r="BB301" s="198">
        <v>0.13835</v>
      </c>
      <c r="BC301" s="198">
        <v>2294</v>
      </c>
      <c r="BD301" s="198">
        <v>2333</v>
      </c>
      <c r="BE301" s="198">
        <v>0.9832833261894557</v>
      </c>
      <c r="BF301" s="198">
        <v>0.5536444718930671</v>
      </c>
      <c r="BG301" s="198">
        <v>0</v>
      </c>
      <c r="BH301" s="198">
        <v>0</v>
      </c>
      <c r="BI301" s="198">
        <v>-617.8000000000001</v>
      </c>
      <c r="BJ301" s="198">
        <v>-1482.72</v>
      </c>
      <c r="BK301" s="198">
        <v>-25329.8</v>
      </c>
      <c r="BL301" s="198">
        <v>-2285.86</v>
      </c>
      <c r="BM301" s="198">
        <v>-32928.74</v>
      </c>
      <c r="BN301" s="198">
        <v>-741.36</v>
      </c>
      <c r="BO301" s="198">
        <v>126664</v>
      </c>
      <c r="BP301" s="198">
        <v>96496.76393330097</v>
      </c>
      <c r="BQ301" s="198">
        <v>587503</v>
      </c>
      <c r="BR301" s="198">
        <v>170766</v>
      </c>
      <c r="BS301" s="198">
        <v>439282.3278928873</v>
      </c>
      <c r="BT301" s="198">
        <v>22135.671166588105</v>
      </c>
      <c r="BU301" s="198">
        <v>52404.35786021622</v>
      </c>
      <c r="BV301" s="198">
        <v>222121.41562959072</v>
      </c>
      <c r="BW301" s="198">
        <v>333612.14600739523</v>
      </c>
      <c r="BX301" s="198">
        <v>556.02</v>
      </c>
      <c r="BY301" s="198">
        <v>-218.17703829817037</v>
      </c>
      <c r="BZ301" s="198">
        <v>2051323.5254516804</v>
      </c>
      <c r="CA301" s="198">
        <v>1934373.9854516804</v>
      </c>
      <c r="CB301" s="198">
        <v>0</v>
      </c>
      <c r="CC301" s="232">
        <v>4263081.821741176</v>
      </c>
      <c r="CD301" s="198">
        <v>-855057</v>
      </c>
      <c r="CE301" s="198">
        <v>-34804.513900000005</v>
      </c>
      <c r="CH301" s="198">
        <v>6271</v>
      </c>
    </row>
    <row r="302" spans="1:86" ht="11.25">
      <c r="A302" s="198">
        <v>992</v>
      </c>
      <c r="B302" s="198" t="s">
        <v>377</v>
      </c>
      <c r="C302" s="198">
        <v>19909</v>
      </c>
      <c r="D302" s="198">
        <v>72106628.84</v>
      </c>
      <c r="E302" s="198">
        <v>31129708.861243904</v>
      </c>
      <c r="F302" s="198">
        <v>4444310.7710943</v>
      </c>
      <c r="G302" s="198">
        <v>107680648.4723382</v>
      </c>
      <c r="H302" s="198">
        <v>3642.26</v>
      </c>
      <c r="I302" s="198">
        <v>72513754.34</v>
      </c>
      <c r="J302" s="198">
        <v>35166894.132338196</v>
      </c>
      <c r="K302" s="198">
        <v>759408.8444204212</v>
      </c>
      <c r="L302" s="198">
        <v>4899312.622755648</v>
      </c>
      <c r="M302" s="198">
        <v>-1431745.6858164964</v>
      </c>
      <c r="N302" s="198">
        <v>39393869.913697764</v>
      </c>
      <c r="O302" s="198">
        <v>7121261.45876191</v>
      </c>
      <c r="P302" s="198">
        <v>46515131.37245967</v>
      </c>
      <c r="Q302" s="198">
        <v>1307</v>
      </c>
      <c r="R302" s="198">
        <v>235</v>
      </c>
      <c r="S302" s="198">
        <v>1392</v>
      </c>
      <c r="T302" s="198">
        <v>735</v>
      </c>
      <c r="U302" s="198">
        <v>743</v>
      </c>
      <c r="V302" s="198">
        <v>10897</v>
      </c>
      <c r="W302" s="198">
        <v>2627</v>
      </c>
      <c r="X302" s="198">
        <v>1479</v>
      </c>
      <c r="Y302" s="198">
        <v>494</v>
      </c>
      <c r="Z302" s="198">
        <v>19607</v>
      </c>
      <c r="AA302" s="198">
        <v>21</v>
      </c>
      <c r="AB302" s="198">
        <v>9</v>
      </c>
      <c r="AC302" s="198">
        <v>272</v>
      </c>
      <c r="AD302" s="198">
        <v>884.48</v>
      </c>
      <c r="AE302" s="198">
        <v>22.50927098408104</v>
      </c>
      <c r="AF302" s="198">
        <v>4600</v>
      </c>
      <c r="AG302" s="198">
        <v>31129708.861243904</v>
      </c>
      <c r="AH302" s="198">
        <v>17757572.567912567</v>
      </c>
      <c r="AI302" s="198">
        <v>9715825.689857336</v>
      </c>
      <c r="AJ302" s="198">
        <v>3656310.603473997</v>
      </c>
      <c r="AK302" s="198">
        <v>1769</v>
      </c>
      <c r="AL302" s="198">
        <v>8957</v>
      </c>
      <c r="AM302" s="198">
        <v>1.5843223548104028</v>
      </c>
      <c r="AN302" s="198">
        <v>272</v>
      </c>
      <c r="AO302" s="198">
        <v>0.013662162840926214</v>
      </c>
      <c r="AP302" s="198">
        <v>0.011938619235272991</v>
      </c>
      <c r="AQ302" s="198">
        <v>0</v>
      </c>
      <c r="AR302" s="198">
        <v>21</v>
      </c>
      <c r="AS302" s="198">
        <v>9</v>
      </c>
      <c r="AT302" s="198">
        <v>0</v>
      </c>
      <c r="AU302" s="198">
        <v>884.48</v>
      </c>
      <c r="AV302" s="198">
        <v>22.50927098408104</v>
      </c>
      <c r="AW302" s="198">
        <v>0.7997794021677511</v>
      </c>
      <c r="AX302" s="198">
        <v>734</v>
      </c>
      <c r="AY302" s="198">
        <v>5948</v>
      </c>
      <c r="AZ302" s="198">
        <v>0.12340282447881641</v>
      </c>
      <c r="BA302" s="198">
        <v>0.059713965783164236</v>
      </c>
      <c r="BB302" s="198">
        <v>0</v>
      </c>
      <c r="BC302" s="198">
        <v>7071</v>
      </c>
      <c r="BD302" s="198">
        <v>6842</v>
      </c>
      <c r="BE302" s="198">
        <v>1.0334697456883952</v>
      </c>
      <c r="BF302" s="198">
        <v>0.6038308913920067</v>
      </c>
      <c r="BG302" s="198">
        <v>0</v>
      </c>
      <c r="BH302" s="198">
        <v>9</v>
      </c>
      <c r="BI302" s="198">
        <v>-1990.9</v>
      </c>
      <c r="BJ302" s="198">
        <v>-4778.16</v>
      </c>
      <c r="BK302" s="198">
        <v>-81626.9</v>
      </c>
      <c r="BL302" s="198">
        <v>-7366.33</v>
      </c>
      <c r="BM302" s="198">
        <v>-106114.97</v>
      </c>
      <c r="BN302" s="198">
        <v>-2389.08</v>
      </c>
      <c r="BO302" s="198">
        <v>678179</v>
      </c>
      <c r="BP302" s="198">
        <v>18012.54996163398</v>
      </c>
      <c r="BQ302" s="198">
        <v>1489761</v>
      </c>
      <c r="BR302" s="198">
        <v>450815</v>
      </c>
      <c r="BS302" s="198">
        <v>1034431.5246544537</v>
      </c>
      <c r="BT302" s="198">
        <v>34021.999037244925</v>
      </c>
      <c r="BU302" s="198">
        <v>135664.67047937264</v>
      </c>
      <c r="BV302" s="198">
        <v>556663.5774633273</v>
      </c>
      <c r="BW302" s="198">
        <v>849816.3284412865</v>
      </c>
      <c r="BX302" s="198">
        <v>1791.81</v>
      </c>
      <c r="BY302" s="198">
        <v>27032.53271832975</v>
      </c>
      <c r="BZ302" s="198">
        <v>5276189.992755648</v>
      </c>
      <c r="CA302" s="198">
        <v>4899312.622755648</v>
      </c>
      <c r="CB302" s="198">
        <v>-1431745.6858164964</v>
      </c>
      <c r="CC302" s="232">
        <v>7121261.45876191</v>
      </c>
      <c r="CD302" s="198">
        <v>-2768293</v>
      </c>
      <c r="CE302" s="198">
        <v>-23933.55124000003</v>
      </c>
      <c r="CH302" s="198">
        <v>20077</v>
      </c>
    </row>
    <row r="304" spans="2:83" ht="11.25">
      <c r="B304" s="198" t="s">
        <v>602</v>
      </c>
      <c r="C304" s="232">
        <f>SUM(vosC)</f>
        <v>5442837</v>
      </c>
      <c r="D304" s="232">
        <f>SUM(vosD)</f>
        <v>18706316485.88999</v>
      </c>
      <c r="E304" s="232">
        <f>SUM(vosE)</f>
        <v>6327522943.15</v>
      </c>
      <c r="F304" s="232">
        <f>SUM(vosF)</f>
        <v>1565182104.906639</v>
      </c>
      <c r="G304" s="232">
        <f>SUM(vosG)</f>
        <v>26599021533.94665</v>
      </c>
      <c r="H304" s="233">
        <f>H302</f>
        <v>3642.26</v>
      </c>
      <c r="I304" s="232">
        <f>SUM(vosI)</f>
        <v>19824227491.619984</v>
      </c>
      <c r="J304" s="232">
        <f>SUM(vosJ)</f>
        <v>6774794042.326645</v>
      </c>
      <c r="K304" s="232">
        <f>SUM(vosK)</f>
        <v>310920923.649512</v>
      </c>
      <c r="L304" s="232">
        <f>SUM(vosL)</f>
        <v>1144503604.756213</v>
      </c>
      <c r="M304" s="232">
        <f>SUM(vosM)</f>
        <v>29034013.074271794</v>
      </c>
      <c r="N304" s="232">
        <f>SUM(vosN)</f>
        <v>8259252583.806625</v>
      </c>
      <c r="O304" s="232">
        <f>SUM(vosO)</f>
        <v>684716519.7545502</v>
      </c>
      <c r="P304" s="232">
        <f>SUM(vosP)</f>
        <v>8943969103.561192</v>
      </c>
      <c r="Q304" s="232"/>
      <c r="R304" s="232"/>
      <c r="S304" s="232"/>
      <c r="T304" s="232"/>
      <c r="U304" s="232"/>
      <c r="V304" s="232"/>
      <c r="W304" s="232"/>
      <c r="X304" s="232"/>
      <c r="Y304" s="232"/>
      <c r="Z304" s="232"/>
      <c r="AA304" s="232"/>
      <c r="AB304" s="232"/>
      <c r="AC304" s="232"/>
      <c r="AD304" s="232"/>
      <c r="AE304" s="232"/>
      <c r="AF304" s="232"/>
      <c r="AG304" s="232"/>
      <c r="AK304" s="232"/>
      <c r="AL304" s="232"/>
      <c r="AM304" s="232"/>
      <c r="AN304" s="232"/>
      <c r="AO304" s="232"/>
      <c r="AP304" s="232"/>
      <c r="AQ304" s="232"/>
      <c r="AR304" s="232"/>
      <c r="AS304" s="232"/>
      <c r="AT304" s="232"/>
      <c r="AU304" s="232"/>
      <c r="AV304" s="232"/>
      <c r="AW304" s="232"/>
      <c r="AX304" s="232"/>
      <c r="AY304" s="232"/>
      <c r="AZ304" s="232"/>
      <c r="BA304" s="232"/>
      <c r="BB304" s="232"/>
      <c r="BC304" s="232"/>
      <c r="BD304" s="232"/>
      <c r="BE304" s="232"/>
      <c r="BF304" s="232"/>
      <c r="BG304" s="232"/>
      <c r="BH304" s="232"/>
      <c r="BI304" s="232"/>
      <c r="BJ304" s="232"/>
      <c r="BK304" s="232"/>
      <c r="BL304" s="232"/>
      <c r="BM304" s="232"/>
      <c r="BN304" s="232"/>
      <c r="BO304" s="232"/>
      <c r="BP304" s="232"/>
      <c r="BQ304" s="232"/>
      <c r="BR304" s="232"/>
      <c r="BS304" s="232"/>
      <c r="BT304" s="232"/>
      <c r="BU304" s="232"/>
      <c r="BV304" s="232"/>
      <c r="BW304" s="232"/>
      <c r="BX304" s="232"/>
      <c r="BY304" s="232"/>
      <c r="BZ304" s="232"/>
      <c r="CA304" s="232"/>
      <c r="CB304" s="232"/>
      <c r="CC304" s="232"/>
      <c r="CD304" s="232"/>
      <c r="CE304" s="232"/>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M92"/>
  <sheetViews>
    <sheetView zoomScalePageLayoutView="0" workbookViewId="0" topLeftCell="A1">
      <selection activeCell="F40" sqref="F40"/>
    </sheetView>
  </sheetViews>
  <sheetFormatPr defaultColWidth="9.140625" defaultRowHeight="12.75"/>
  <cols>
    <col min="1" max="4" width="2.7109375" style="0" customWidth="1"/>
    <col min="5" max="5" width="27.7109375" style="0" customWidth="1"/>
    <col min="6" max="6" width="11.140625" style="0" customWidth="1"/>
    <col min="7" max="7" width="13.7109375" style="0" customWidth="1"/>
    <col min="8" max="8" width="10.8515625" style="0" customWidth="1"/>
    <col min="9" max="9" width="8.00390625" style="0" customWidth="1"/>
    <col min="10" max="10" width="8.8515625" style="0" customWidth="1"/>
    <col min="11" max="11" width="12.7109375" style="0" customWidth="1"/>
  </cols>
  <sheetData>
    <row r="1" spans="1:11" ht="15.75">
      <c r="A1" s="82" t="s">
        <v>649</v>
      </c>
      <c r="E1" s="29"/>
      <c r="F1" s="8"/>
      <c r="G1" s="8"/>
      <c r="H1" s="8"/>
      <c r="I1" s="8"/>
      <c r="J1" s="8"/>
      <c r="K1" s="107" t="s">
        <v>415</v>
      </c>
    </row>
    <row r="2" spans="5:11" ht="12.75">
      <c r="E2" s="63"/>
      <c r="F2" s="8"/>
      <c r="G2" s="8"/>
      <c r="H2" s="8"/>
      <c r="I2" s="8"/>
      <c r="J2" s="8"/>
      <c r="K2" s="8"/>
    </row>
    <row r="3" spans="2:11" ht="18">
      <c r="B3" s="268" t="s">
        <v>647</v>
      </c>
      <c r="C3" s="269"/>
      <c r="D3" s="269"/>
      <c r="E3" s="269"/>
      <c r="F3" s="269"/>
      <c r="G3" s="269"/>
      <c r="H3" s="269"/>
      <c r="I3" s="269"/>
      <c r="J3" s="269"/>
      <c r="K3" s="270"/>
    </row>
    <row r="4" spans="5:10" ht="12.75">
      <c r="E4" s="8"/>
      <c r="F4" s="8"/>
      <c r="G4" s="8"/>
      <c r="H4" s="8"/>
      <c r="I4" s="8"/>
      <c r="J4" s="8"/>
    </row>
    <row r="5" spans="2:11" ht="12.75">
      <c r="B5" s="57" t="s">
        <v>53</v>
      </c>
      <c r="C5" s="28"/>
      <c r="D5" s="28"/>
      <c r="E5" s="42"/>
      <c r="F5" s="58" t="s">
        <v>389</v>
      </c>
      <c r="G5" s="8"/>
      <c r="H5" s="8"/>
      <c r="I5" s="8"/>
      <c r="J5" s="8"/>
      <c r="K5" s="8"/>
    </row>
    <row r="6" spans="2:11" ht="12.75">
      <c r="B6" s="28"/>
      <c r="C6" s="28"/>
      <c r="D6" s="28"/>
      <c r="E6" s="105"/>
      <c r="F6" s="58" t="s">
        <v>388</v>
      </c>
      <c r="G6" s="8"/>
      <c r="H6" s="8"/>
      <c r="I6" s="8"/>
      <c r="J6" s="8"/>
      <c r="K6" s="8"/>
    </row>
    <row r="7" spans="2:11" ht="12.75">
      <c r="B7" s="28"/>
      <c r="C7" s="28"/>
      <c r="D7" s="28"/>
      <c r="E7" s="8"/>
      <c r="F7" s="58"/>
      <c r="G7" s="8"/>
      <c r="H7" s="8"/>
      <c r="I7" s="8"/>
      <c r="J7" s="8"/>
      <c r="K7" s="8"/>
    </row>
    <row r="8" spans="2:11" ht="12.75">
      <c r="B8" s="120"/>
      <c r="C8" s="28"/>
      <c r="D8" s="28"/>
      <c r="E8" s="8"/>
      <c r="F8" s="58"/>
      <c r="G8" s="8"/>
      <c r="H8" s="8"/>
      <c r="I8" s="8"/>
      <c r="J8" s="8"/>
      <c r="K8" s="8"/>
    </row>
    <row r="9" spans="2:9" s="5" customFormat="1" ht="12.75">
      <c r="B9" s="87" t="s">
        <v>0</v>
      </c>
      <c r="F9" s="11" t="str">
        <f>'2.Yhteenveto'!G12</f>
        <v>Alajärvi</v>
      </c>
      <c r="G9" s="91"/>
      <c r="H9" s="28"/>
      <c r="I9" s="28"/>
    </row>
    <row r="10" spans="2:9" s="5" customFormat="1" ht="12.75">
      <c r="B10" s="87" t="s">
        <v>627</v>
      </c>
      <c r="F10" s="158">
        <f>'2.Yhteenveto'!$H$13</f>
        <v>10171</v>
      </c>
      <c r="G10" s="91"/>
      <c r="H10" s="28"/>
      <c r="I10" s="28"/>
    </row>
    <row r="11" spans="3:11" ht="12.75">
      <c r="C11" s="36" t="s">
        <v>446</v>
      </c>
      <c r="F11" s="195"/>
      <c r="G11" s="120"/>
      <c r="H11" s="8"/>
      <c r="I11" s="8"/>
      <c r="J11" s="8"/>
      <c r="K11" s="27"/>
    </row>
    <row r="12" spans="3:11" ht="12.75">
      <c r="C12" s="36"/>
      <c r="F12" s="8"/>
      <c r="G12" s="120"/>
      <c r="H12" s="8"/>
      <c r="I12" s="8"/>
      <c r="J12" s="8"/>
      <c r="K12" s="27"/>
    </row>
    <row r="13" spans="2:11" ht="14.25">
      <c r="B13" s="28" t="s">
        <v>535</v>
      </c>
      <c r="F13" s="250">
        <f>INDEX(muutla_12,MATCH(F9,kunta,0),1,1)</f>
        <v>10.082875666673276</v>
      </c>
      <c r="G13" s="28" t="s">
        <v>618</v>
      </c>
      <c r="H13" s="74"/>
      <c r="I13" s="8"/>
      <c r="J13" s="8"/>
      <c r="K13" s="27"/>
    </row>
    <row r="14" spans="5:11" ht="12.75">
      <c r="E14" s="8"/>
      <c r="F14" s="9"/>
      <c r="G14" s="8"/>
      <c r="H14" s="8"/>
      <c r="I14" s="8"/>
      <c r="J14" s="8"/>
      <c r="K14" s="8"/>
    </row>
    <row r="15" spans="2:11" ht="12.75">
      <c r="B15" s="27" t="s">
        <v>447</v>
      </c>
      <c r="F15" s="8"/>
      <c r="G15" s="8"/>
      <c r="H15" s="8"/>
      <c r="I15" s="8"/>
      <c r="J15" s="8"/>
      <c r="K15" s="19"/>
    </row>
    <row r="16" spans="2:11" ht="12.75">
      <c r="B16" s="120" t="s">
        <v>648</v>
      </c>
      <c r="F16" s="8"/>
      <c r="G16" s="8"/>
      <c r="H16" s="8"/>
      <c r="I16" s="8"/>
      <c r="J16" s="8"/>
      <c r="K16" s="19"/>
    </row>
    <row r="17" spans="5:11" ht="12.75">
      <c r="E17" s="36"/>
      <c r="F17" s="62"/>
      <c r="G17" s="8"/>
      <c r="H17" s="75"/>
      <c r="I17" s="75"/>
      <c r="J17" s="8"/>
      <c r="K17" s="19"/>
    </row>
    <row r="18" spans="3:13" ht="12.75">
      <c r="C18" s="28" t="s">
        <v>70</v>
      </c>
      <c r="G18" s="74" t="s">
        <v>72</v>
      </c>
      <c r="J18" s="8"/>
      <c r="K18" s="37">
        <f>'10.Lukio'!J54</f>
        <v>0</v>
      </c>
      <c r="M18" s="197"/>
    </row>
    <row r="19" spans="3:13" ht="12.75">
      <c r="C19" s="28" t="s">
        <v>21</v>
      </c>
      <c r="F19" s="8"/>
      <c r="G19" s="120" t="s">
        <v>22</v>
      </c>
      <c r="J19" s="8"/>
      <c r="K19" s="30"/>
      <c r="M19" s="197"/>
    </row>
    <row r="20" spans="3:11" ht="12.75">
      <c r="C20" s="28" t="s">
        <v>73</v>
      </c>
      <c r="F20" s="8"/>
      <c r="G20" s="120" t="s">
        <v>22</v>
      </c>
      <c r="J20" s="8"/>
      <c r="K20" s="30"/>
    </row>
    <row r="21" spans="3:11" ht="12.75">
      <c r="C21" s="28" t="s">
        <v>71</v>
      </c>
      <c r="F21" s="8"/>
      <c r="G21" s="120" t="s">
        <v>22</v>
      </c>
      <c r="J21" s="8"/>
      <c r="K21" s="30"/>
    </row>
    <row r="22" spans="3:11" ht="12.75">
      <c r="C22" s="28" t="s">
        <v>23</v>
      </c>
      <c r="F22" s="8"/>
      <c r="G22" s="8"/>
      <c r="H22" s="8"/>
      <c r="I22" s="8"/>
      <c r="J22" s="8"/>
      <c r="K22" s="30"/>
    </row>
    <row r="23" spans="5:11" ht="12.75">
      <c r="E23" s="8"/>
      <c r="F23" s="8"/>
      <c r="G23" s="8"/>
      <c r="H23" s="8"/>
      <c r="I23" s="8"/>
      <c r="J23" s="8"/>
      <c r="K23" s="19"/>
    </row>
    <row r="24" spans="2:11" ht="12.75">
      <c r="B24" s="12" t="s">
        <v>399</v>
      </c>
      <c r="C24" s="134"/>
      <c r="D24" s="134"/>
      <c r="E24" s="134"/>
      <c r="F24" s="9"/>
      <c r="G24" s="9"/>
      <c r="H24" s="9"/>
      <c r="I24" s="9"/>
      <c r="J24" s="9"/>
      <c r="K24" s="109">
        <f>SUM(K17:K22)</f>
        <v>0</v>
      </c>
    </row>
    <row r="25" spans="5:11" ht="12.75">
      <c r="E25" s="8"/>
      <c r="F25" s="8"/>
      <c r="G25" s="8"/>
      <c r="H25" s="8"/>
      <c r="I25" s="8"/>
      <c r="J25" s="8"/>
      <c r="K25" s="19"/>
    </row>
    <row r="26" spans="2:11" ht="12.75">
      <c r="B26" s="27" t="s">
        <v>400</v>
      </c>
      <c r="G26" s="141">
        <v>298</v>
      </c>
      <c r="H26" s="8" t="s">
        <v>1</v>
      </c>
      <c r="I26" s="8"/>
      <c r="J26" s="19">
        <f>F10</f>
        <v>10171</v>
      </c>
      <c r="K26" s="16">
        <f>-G26*J26</f>
        <v>-3030958</v>
      </c>
    </row>
    <row r="27" spans="2:11" ht="12.75">
      <c r="B27" s="27"/>
      <c r="C27" s="68"/>
      <c r="G27" s="8"/>
      <c r="H27" s="8"/>
      <c r="I27" s="8"/>
      <c r="J27" s="19"/>
      <c r="K27" s="16"/>
    </row>
    <row r="28" spans="5:11" ht="12.75">
      <c r="E28" s="27"/>
      <c r="F28" s="38"/>
      <c r="G28" s="8"/>
      <c r="H28" s="19"/>
      <c r="I28" s="19"/>
      <c r="J28" s="8"/>
      <c r="K28" s="16"/>
    </row>
    <row r="29" spans="2:11" ht="12.75">
      <c r="B29" s="121" t="s">
        <v>401</v>
      </c>
      <c r="C29" s="93"/>
      <c r="D29" s="93"/>
      <c r="E29" s="93"/>
      <c r="F29" s="117"/>
      <c r="G29" s="116"/>
      <c r="H29" s="136"/>
      <c r="I29" s="136"/>
      <c r="J29" s="116"/>
      <c r="K29" s="118">
        <f>K24+K26</f>
        <v>-3030958</v>
      </c>
    </row>
    <row r="30" spans="5:11" ht="12.75">
      <c r="E30" s="8"/>
      <c r="F30" s="8"/>
      <c r="G30" s="8"/>
      <c r="H30" s="8"/>
      <c r="I30" s="8"/>
      <c r="J30" s="8"/>
      <c r="K30" s="19"/>
    </row>
    <row r="31" ht="14.25">
      <c r="E31" s="49"/>
    </row>
    <row r="32" spans="2:11" ht="12.75">
      <c r="B32" s="27" t="s">
        <v>402</v>
      </c>
      <c r="F32" s="8"/>
      <c r="G32" s="8"/>
      <c r="H32" s="8"/>
      <c r="I32" s="8"/>
      <c r="J32" s="8"/>
      <c r="K32" s="33"/>
    </row>
    <row r="33" spans="5:11" ht="12.75">
      <c r="E33" s="8"/>
      <c r="F33" s="8"/>
      <c r="G33" s="8"/>
      <c r="H33" s="8"/>
      <c r="I33" s="8"/>
      <c r="J33" s="8"/>
      <c r="K33" s="19"/>
    </row>
    <row r="34" spans="5:11" ht="12.75">
      <c r="E34" s="28" t="s">
        <v>619</v>
      </c>
      <c r="F34" s="100">
        <f>'8.Kotikuntakorvaukset'!F20</f>
        <v>6693.89</v>
      </c>
      <c r="G34" s="8"/>
      <c r="H34" s="8"/>
      <c r="I34" s="8"/>
      <c r="J34" s="8"/>
      <c r="K34" s="19"/>
    </row>
    <row r="35" spans="5:11" ht="12.75">
      <c r="E35" s="28" t="s">
        <v>620</v>
      </c>
      <c r="F35" s="100">
        <f>-160.78-33.3</f>
        <v>-194.07999999999998</v>
      </c>
      <c r="G35" s="8"/>
      <c r="H35" s="8"/>
      <c r="I35" s="8"/>
      <c r="J35" s="8"/>
      <c r="K35" s="19"/>
    </row>
    <row r="36" spans="5:11" ht="12.75">
      <c r="E36" s="8"/>
      <c r="F36" s="8"/>
      <c r="G36" s="8"/>
      <c r="H36" s="8"/>
      <c r="I36" s="8"/>
      <c r="J36" s="8"/>
      <c r="K36" s="19"/>
    </row>
    <row r="37" spans="3:11" ht="12.75">
      <c r="C37" s="2"/>
      <c r="D37" s="2"/>
      <c r="E37" s="52"/>
      <c r="F37" s="137" t="s">
        <v>405</v>
      </c>
      <c r="G37" s="108"/>
      <c r="H37" s="108"/>
      <c r="I37" s="137" t="s">
        <v>406</v>
      </c>
      <c r="J37" s="108"/>
      <c r="K37" s="138"/>
    </row>
    <row r="38" spans="3:11" ht="12.75">
      <c r="C38" s="2"/>
      <c r="D38" s="2"/>
      <c r="E38" s="52"/>
      <c r="F38" s="137" t="s">
        <v>4</v>
      </c>
      <c r="G38" s="108" t="s">
        <v>404</v>
      </c>
      <c r="H38" s="108"/>
      <c r="I38" s="137" t="s">
        <v>5</v>
      </c>
      <c r="J38" s="108" t="s">
        <v>6</v>
      </c>
      <c r="K38" s="108" t="s">
        <v>386</v>
      </c>
    </row>
    <row r="39" spans="3:11" ht="12.75">
      <c r="C39" s="27" t="s">
        <v>39</v>
      </c>
      <c r="F39" s="8"/>
      <c r="J39" s="8"/>
      <c r="K39" s="19"/>
    </row>
    <row r="40" spans="4:11" ht="12.75">
      <c r="D40" s="8" t="s">
        <v>50</v>
      </c>
      <c r="F40" s="46">
        <f>$F$34+$F$35</f>
        <v>6499.81</v>
      </c>
      <c r="G40" s="120"/>
      <c r="I40" s="30"/>
      <c r="J40" s="8">
        <v>2.97</v>
      </c>
      <c r="K40" s="19">
        <f>F40*I40*J40</f>
        <v>0</v>
      </c>
    </row>
    <row r="41" spans="4:11" ht="12.75">
      <c r="D41" s="28" t="s">
        <v>622</v>
      </c>
      <c r="F41" s="46">
        <f>$F$34+$F$35</f>
        <v>6499.81</v>
      </c>
      <c r="G41" s="120"/>
      <c r="I41" s="30"/>
      <c r="J41" s="8">
        <v>4.76</v>
      </c>
      <c r="K41" s="19">
        <f>F41*I41*J41</f>
        <v>0</v>
      </c>
    </row>
    <row r="42" spans="5:11" ht="12.75">
      <c r="E42" s="8"/>
      <c r="F42" s="8"/>
      <c r="G42" s="68"/>
      <c r="J42" s="8"/>
      <c r="K42" s="19"/>
    </row>
    <row r="43" spans="3:11" ht="12.75">
      <c r="C43" s="27" t="s">
        <v>40</v>
      </c>
      <c r="F43" s="46">
        <f>$F$34+$F$35</f>
        <v>6499.81</v>
      </c>
      <c r="G43" s="120"/>
      <c r="I43" s="30"/>
      <c r="J43" s="8">
        <v>1.26</v>
      </c>
      <c r="K43" s="19">
        <f>F43*I43*J43</f>
        <v>0</v>
      </c>
    </row>
    <row r="44" spans="5:11" ht="12.75">
      <c r="E44" s="27"/>
      <c r="F44" s="62"/>
      <c r="G44" s="120"/>
      <c r="I44" s="33"/>
      <c r="J44" s="8"/>
      <c r="K44" s="19"/>
    </row>
    <row r="45" spans="3:11" ht="14.25">
      <c r="C45" s="27" t="s">
        <v>56</v>
      </c>
      <c r="F45" s="100"/>
      <c r="G45" s="120" t="s">
        <v>60</v>
      </c>
      <c r="I45" s="30"/>
      <c r="J45" s="201" t="s">
        <v>57</v>
      </c>
      <c r="K45" s="19">
        <f>F45*I45</f>
        <v>0</v>
      </c>
    </row>
    <row r="46" spans="3:11" ht="12.75">
      <c r="C46" s="27"/>
      <c r="F46" s="62"/>
      <c r="G46" s="120"/>
      <c r="I46" s="33"/>
      <c r="J46" s="8"/>
      <c r="K46" s="19"/>
    </row>
    <row r="47" spans="3:11" ht="12.75">
      <c r="C47" s="27" t="s">
        <v>59</v>
      </c>
      <c r="F47" s="62"/>
      <c r="G47" s="120"/>
      <c r="I47" s="33"/>
      <c r="J47" s="8"/>
      <c r="K47" s="19"/>
    </row>
    <row r="48" spans="4:11" ht="12.75">
      <c r="D48" s="27" t="s">
        <v>58</v>
      </c>
      <c r="F48" s="100"/>
      <c r="G48" s="120" t="s">
        <v>60</v>
      </c>
      <c r="I48" s="30"/>
      <c r="J48" s="8"/>
      <c r="K48" s="19">
        <f>F48*I48</f>
        <v>0</v>
      </c>
    </row>
    <row r="49" spans="6:11" ht="12.75">
      <c r="F49" s="8"/>
      <c r="G49" s="120"/>
      <c r="J49" s="8"/>
      <c r="K49" s="19"/>
    </row>
    <row r="50" spans="3:11" ht="12.75">
      <c r="C50" s="27" t="s">
        <v>48</v>
      </c>
      <c r="G50" s="68"/>
      <c r="K50" s="66"/>
    </row>
    <row r="51" spans="4:11" ht="12.75">
      <c r="D51" s="27" t="s">
        <v>49</v>
      </c>
      <c r="F51" s="46">
        <f>$F$34+$F$35</f>
        <v>6499.81</v>
      </c>
      <c r="G51" s="120"/>
      <c r="I51" s="30"/>
      <c r="J51" s="8">
        <v>2.49</v>
      </c>
      <c r="K51" s="19">
        <f>F51*I51*J51</f>
        <v>0</v>
      </c>
    </row>
    <row r="52" spans="6:11" ht="12.75">
      <c r="F52" s="8"/>
      <c r="G52" s="120"/>
      <c r="K52" s="19"/>
    </row>
    <row r="53" spans="3:11" ht="12.75">
      <c r="C53" s="27" t="s">
        <v>41</v>
      </c>
      <c r="G53" s="68"/>
      <c r="K53" s="66"/>
    </row>
    <row r="54" spans="4:11" ht="12.75">
      <c r="D54" s="28" t="s">
        <v>55</v>
      </c>
      <c r="F54" s="46">
        <f>$F$34+$F$35</f>
        <v>6499.81</v>
      </c>
      <c r="G54" s="120" t="s">
        <v>51</v>
      </c>
      <c r="I54" s="30"/>
      <c r="J54" s="8">
        <v>1.41</v>
      </c>
      <c r="K54" s="19">
        <f>F54*I54*J54</f>
        <v>0</v>
      </c>
    </row>
    <row r="55" spans="4:11" ht="12.75">
      <c r="D55" s="28" t="s">
        <v>54</v>
      </c>
      <c r="F55" s="46">
        <f>$F$34+$F$35</f>
        <v>6499.81</v>
      </c>
      <c r="G55" s="120" t="s">
        <v>51</v>
      </c>
      <c r="I55" s="30"/>
      <c r="J55" s="8">
        <v>0.51</v>
      </c>
      <c r="K55" s="19">
        <f>F55*I55*J54*J55</f>
        <v>0</v>
      </c>
    </row>
    <row r="56" spans="5:11" ht="12.75">
      <c r="E56" s="8"/>
      <c r="F56" s="8"/>
      <c r="G56" s="120"/>
      <c r="J56" s="8"/>
      <c r="K56" s="19"/>
    </row>
    <row r="57" spans="3:11" ht="12.75">
      <c r="C57" s="27" t="s">
        <v>61</v>
      </c>
      <c r="F57" s="46">
        <f>$F$34+$F$35</f>
        <v>6499.81</v>
      </c>
      <c r="G57" s="120" t="s">
        <v>51</v>
      </c>
      <c r="I57" s="30"/>
      <c r="J57" s="8">
        <v>0.46</v>
      </c>
      <c r="K57" s="19">
        <f>F57*I57*J57</f>
        <v>0</v>
      </c>
    </row>
    <row r="58" spans="3:11" ht="12.75">
      <c r="C58" s="27" t="s">
        <v>621</v>
      </c>
      <c r="F58" s="46">
        <f>$F$34+$F$35</f>
        <v>6499.81</v>
      </c>
      <c r="G58" s="120" t="s">
        <v>51</v>
      </c>
      <c r="I58" s="30"/>
      <c r="J58" s="8">
        <v>1.86</v>
      </c>
      <c r="K58" s="19">
        <f>F58*I58*J58</f>
        <v>0</v>
      </c>
    </row>
    <row r="59" spans="5:11" ht="12.75">
      <c r="E59" s="8"/>
      <c r="F59" s="8"/>
      <c r="G59" s="8"/>
      <c r="H59" s="8"/>
      <c r="I59" s="8"/>
      <c r="J59" s="8"/>
      <c r="K59" s="19"/>
    </row>
    <row r="60" spans="2:11" ht="12.75">
      <c r="B60" s="92" t="s">
        <v>407</v>
      </c>
      <c r="C60" s="93"/>
      <c r="D60" s="93"/>
      <c r="E60" s="115"/>
      <c r="F60" s="116"/>
      <c r="G60" s="116"/>
      <c r="H60" s="116"/>
      <c r="I60" s="116"/>
      <c r="J60" s="116"/>
      <c r="K60" s="118">
        <f>SUM(K40:K59)</f>
        <v>0</v>
      </c>
    </row>
    <row r="61" spans="5:11" ht="12.75">
      <c r="E61" s="8"/>
      <c r="F61" s="8"/>
      <c r="G61" s="8"/>
      <c r="H61" s="8"/>
      <c r="I61" s="8"/>
      <c r="J61" s="8"/>
      <c r="K61" s="19"/>
    </row>
    <row r="62" spans="2:11" ht="14.25">
      <c r="B62" s="139" t="s">
        <v>408</v>
      </c>
      <c r="K62" s="66"/>
    </row>
    <row r="63" spans="5:11" ht="14.25">
      <c r="E63" s="49"/>
      <c r="K63" s="66"/>
    </row>
    <row r="64" spans="5:11" ht="14.25">
      <c r="E64" s="49"/>
      <c r="K64" s="126" t="s">
        <v>416</v>
      </c>
    </row>
    <row r="65" spans="2:11" ht="12.75">
      <c r="B65" s="1" t="s">
        <v>403</v>
      </c>
      <c r="E65" s="27"/>
      <c r="F65" s="27"/>
      <c r="G65" s="8"/>
      <c r="H65" s="27"/>
      <c r="I65" s="27"/>
      <c r="J65" s="27"/>
      <c r="K65" s="19"/>
    </row>
    <row r="66" spans="5:11" ht="12.75">
      <c r="E66" s="8"/>
      <c r="F66" s="27"/>
      <c r="G66" s="8"/>
      <c r="H66" s="27"/>
      <c r="I66" s="27"/>
      <c r="J66" s="27"/>
      <c r="K66" s="19"/>
    </row>
    <row r="67" spans="3:11" ht="12.75">
      <c r="C67" s="2"/>
      <c r="D67" s="2"/>
      <c r="E67" s="52"/>
      <c r="F67" s="137" t="s">
        <v>405</v>
      </c>
      <c r="G67" s="137"/>
      <c r="H67" s="137" t="s">
        <v>409</v>
      </c>
      <c r="I67" s="137" t="s">
        <v>410</v>
      </c>
      <c r="J67" s="137" t="s">
        <v>412</v>
      </c>
      <c r="K67" s="251"/>
    </row>
    <row r="68" spans="3:11" ht="12.75">
      <c r="C68" s="2"/>
      <c r="D68" s="2"/>
      <c r="E68" s="52"/>
      <c r="F68" s="137" t="s">
        <v>4</v>
      </c>
      <c r="G68" s="137" t="s">
        <v>404</v>
      </c>
      <c r="H68" s="137" t="s">
        <v>5</v>
      </c>
      <c r="I68" s="137" t="s">
        <v>411</v>
      </c>
      <c r="J68" s="137" t="s">
        <v>6</v>
      </c>
      <c r="K68" s="251" t="s">
        <v>386</v>
      </c>
    </row>
    <row r="69" spans="5:11" ht="12.75">
      <c r="E69" s="8"/>
      <c r="F69" s="27"/>
      <c r="G69" s="8"/>
      <c r="H69" s="27"/>
      <c r="I69" s="27"/>
      <c r="J69" s="27"/>
      <c r="K69" s="19"/>
    </row>
    <row r="70" spans="3:11" ht="12.75">
      <c r="C70" s="27" t="s">
        <v>7</v>
      </c>
      <c r="F70" s="142">
        <v>26</v>
      </c>
      <c r="G70" s="120" t="s">
        <v>8</v>
      </c>
      <c r="H70" s="42"/>
      <c r="I70" s="32">
        <v>0.57</v>
      </c>
      <c r="J70" s="27"/>
      <c r="K70" s="19">
        <f>F70*H70*I70</f>
        <v>0</v>
      </c>
    </row>
    <row r="71" spans="5:11" ht="12.75">
      <c r="E71" s="28"/>
      <c r="F71" s="26"/>
      <c r="G71" s="120"/>
      <c r="H71" s="8"/>
      <c r="I71" s="8"/>
      <c r="J71" s="8"/>
      <c r="K71" s="19"/>
    </row>
    <row r="72" spans="3:11" ht="12.75">
      <c r="C72" s="27" t="s">
        <v>9</v>
      </c>
      <c r="F72" s="25">
        <f>IF(F13&gt;100,F73*0.15,0)</f>
        <v>0</v>
      </c>
      <c r="G72" s="120"/>
      <c r="H72" s="8"/>
      <c r="I72" s="8"/>
      <c r="J72" s="8"/>
      <c r="K72" s="19"/>
    </row>
    <row r="73" spans="4:11" ht="12.75">
      <c r="D73" s="28"/>
      <c r="F73" s="101">
        <v>83.6</v>
      </c>
      <c r="G73" s="120" t="s">
        <v>10</v>
      </c>
      <c r="H73" s="30"/>
      <c r="I73" s="34">
        <v>0.57</v>
      </c>
      <c r="J73" s="8"/>
      <c r="K73" s="19">
        <f>F73*H73*I73</f>
        <v>0</v>
      </c>
    </row>
    <row r="74" spans="4:11" ht="12.75">
      <c r="D74" s="28"/>
      <c r="F74" s="26"/>
      <c r="G74" s="120"/>
      <c r="J74" s="8"/>
      <c r="K74" s="66"/>
    </row>
    <row r="75" spans="5:11" ht="12.75">
      <c r="E75" s="8"/>
      <c r="F75" s="26"/>
      <c r="G75" s="120"/>
      <c r="H75" s="8"/>
      <c r="I75" s="8"/>
      <c r="J75" s="8"/>
      <c r="K75" s="19"/>
    </row>
    <row r="76" spans="3:11" ht="12.75">
      <c r="C76" s="27" t="s">
        <v>11</v>
      </c>
      <c r="F76" s="26"/>
      <c r="G76" s="120"/>
      <c r="H76" s="8"/>
      <c r="I76" s="8"/>
      <c r="J76" s="8"/>
      <c r="K76" s="19"/>
    </row>
    <row r="77" spans="4:11" ht="12.75">
      <c r="D77" s="8" t="s">
        <v>12</v>
      </c>
      <c r="F77" s="101">
        <v>76.16</v>
      </c>
      <c r="G77" s="120" t="s">
        <v>10</v>
      </c>
      <c r="H77" s="30"/>
      <c r="I77" s="34">
        <v>0.57</v>
      </c>
      <c r="J77" s="26"/>
      <c r="K77" s="19">
        <f>F77*H77*I77</f>
        <v>0</v>
      </c>
    </row>
    <row r="78" spans="5:11" ht="12.75">
      <c r="E78" s="8"/>
      <c r="F78" s="8"/>
      <c r="G78" s="120"/>
      <c r="H78" s="8"/>
      <c r="I78" s="8"/>
      <c r="J78" s="8"/>
      <c r="K78" s="19"/>
    </row>
    <row r="79" spans="3:11" ht="12.75">
      <c r="C79" s="27" t="s">
        <v>13</v>
      </c>
      <c r="F79" s="101">
        <v>12</v>
      </c>
      <c r="G79" s="120" t="s">
        <v>1</v>
      </c>
      <c r="H79" s="19">
        <f>F10</f>
        <v>10171</v>
      </c>
      <c r="I79" s="35">
        <v>0.297</v>
      </c>
      <c r="J79" s="26"/>
      <c r="K79" s="19">
        <f>F79*H79*I79</f>
        <v>36249.443999999996</v>
      </c>
    </row>
    <row r="80" spans="3:11" ht="12.75">
      <c r="C80" s="8"/>
      <c r="F80" s="8"/>
      <c r="G80" s="120"/>
      <c r="H80" s="8"/>
      <c r="I80" s="8"/>
      <c r="J80" s="26"/>
      <c r="K80" s="19"/>
    </row>
    <row r="81" spans="3:11" ht="12.75">
      <c r="C81" s="27" t="s">
        <v>14</v>
      </c>
      <c r="F81" s="101">
        <v>15</v>
      </c>
      <c r="G81" s="120" t="s">
        <v>15</v>
      </c>
      <c r="H81" s="33">
        <f>F11</f>
        <v>0</v>
      </c>
      <c r="I81" s="35">
        <v>0.297</v>
      </c>
      <c r="J81" s="26"/>
      <c r="K81" s="19">
        <f>F81*H81*I81</f>
        <v>0</v>
      </c>
    </row>
    <row r="82" spans="3:11" ht="12.75">
      <c r="C82" s="8"/>
      <c r="F82" s="8"/>
      <c r="G82" s="120"/>
      <c r="H82" s="8"/>
      <c r="I82" s="8"/>
      <c r="J82" s="26"/>
      <c r="K82" s="19"/>
    </row>
    <row r="83" spans="3:11" ht="12.75">
      <c r="C83" s="27" t="s">
        <v>16</v>
      </c>
      <c r="F83" s="143">
        <v>64650</v>
      </c>
      <c r="G83" s="120" t="s">
        <v>17</v>
      </c>
      <c r="H83" s="30"/>
      <c r="I83" s="34">
        <v>0.37</v>
      </c>
      <c r="J83" s="26"/>
      <c r="K83" s="19">
        <f>F83*H83*I83</f>
        <v>0</v>
      </c>
    </row>
    <row r="84" spans="3:11" ht="12.75">
      <c r="C84" s="8"/>
      <c r="F84" s="8"/>
      <c r="G84" s="120"/>
      <c r="H84" s="19"/>
      <c r="I84" s="8"/>
      <c r="J84" s="26"/>
      <c r="K84" s="19"/>
    </row>
    <row r="85" spans="3:11" ht="12.75">
      <c r="C85" s="27" t="s">
        <v>18</v>
      </c>
      <c r="F85" s="143">
        <v>52771</v>
      </c>
      <c r="G85" s="120" t="s">
        <v>17</v>
      </c>
      <c r="H85" s="30"/>
      <c r="I85" s="34">
        <v>0.37</v>
      </c>
      <c r="J85" s="26"/>
      <c r="K85" s="19">
        <f>F85*H85*I85</f>
        <v>0</v>
      </c>
    </row>
    <row r="86" spans="3:11" ht="12.75">
      <c r="C86" s="8"/>
      <c r="F86" s="8"/>
      <c r="G86" s="120"/>
      <c r="H86" s="19"/>
      <c r="I86" s="8"/>
      <c r="J86" s="26"/>
      <c r="K86" s="19"/>
    </row>
    <row r="87" spans="3:11" ht="12.75">
      <c r="C87" s="27" t="s">
        <v>19</v>
      </c>
      <c r="F87" s="143">
        <v>52503</v>
      </c>
      <c r="G87" s="120" t="s">
        <v>17</v>
      </c>
      <c r="H87" s="30"/>
      <c r="I87" s="34">
        <v>0.37</v>
      </c>
      <c r="J87" s="26"/>
      <c r="K87" s="19">
        <f>F87*H87*I87</f>
        <v>0</v>
      </c>
    </row>
    <row r="88" spans="5:11" ht="12.75">
      <c r="E88" s="8"/>
      <c r="F88" s="8"/>
      <c r="G88" s="120"/>
      <c r="H88" s="8"/>
      <c r="I88" s="8"/>
      <c r="J88" s="8"/>
      <c r="K88" s="19"/>
    </row>
    <row r="89" spans="2:11" ht="12.75">
      <c r="B89" s="92" t="s">
        <v>414</v>
      </c>
      <c r="C89" s="93"/>
      <c r="D89" s="93"/>
      <c r="E89" s="115"/>
      <c r="F89" s="116"/>
      <c r="G89" s="116"/>
      <c r="H89" s="116"/>
      <c r="I89" s="116"/>
      <c r="J89" s="116"/>
      <c r="K89" s="118">
        <f>SUM(K70:K88)</f>
        <v>36249.443999999996</v>
      </c>
    </row>
    <row r="90" spans="5:11" ht="12.75">
      <c r="E90" s="8"/>
      <c r="F90" s="8"/>
      <c r="G90" s="8"/>
      <c r="H90" s="8"/>
      <c r="I90" s="8"/>
      <c r="J90" s="8"/>
      <c r="K90" s="19"/>
    </row>
    <row r="91" spans="5:11" ht="12.75">
      <c r="E91" s="8"/>
      <c r="F91" s="8"/>
      <c r="G91" s="8"/>
      <c r="H91" s="8"/>
      <c r="I91" s="8"/>
      <c r="J91" s="8"/>
      <c r="K91" s="19"/>
    </row>
    <row r="92" spans="2:11" ht="12.75">
      <c r="B92" s="95" t="s">
        <v>413</v>
      </c>
      <c r="C92" s="85"/>
      <c r="D92" s="85"/>
      <c r="E92" s="96"/>
      <c r="F92" s="135"/>
      <c r="G92" s="135"/>
      <c r="H92" s="135"/>
      <c r="I92" s="135"/>
      <c r="J92" s="135"/>
      <c r="K92" s="102">
        <f>K29+K60+K89</f>
        <v>-2994708.556</v>
      </c>
    </row>
  </sheetData>
  <sheetProtection/>
  <protectedRanges>
    <protectedRange sqref="J73" name="Alue9_1"/>
    <protectedRange sqref="H70:H73 H75:H87" name="Alue8_1"/>
    <protectedRange sqref="F70:F87" name="Alue7_1"/>
    <protectedRange sqref="I40:I58" name="Alue5_1"/>
    <protectedRange sqref="F34:F35 F42 F44:F48" name="Alue4_1"/>
    <protectedRange sqref="G26" name="Alue3_1"/>
    <protectedRange sqref="K19:K22" name="Alue2_1"/>
    <protectedRange sqref="F11:F13" name="Alue1_1"/>
  </protectedRanges>
  <mergeCells count="1">
    <mergeCell ref="B3:K3"/>
  </mergeCells>
  <printOptions/>
  <pageMargins left="0.75" right="0.75" top="1" bottom="1" header="0.4921259845" footer="0.4921259845"/>
  <pageSetup fitToHeight="0" fitToWidth="1" horizontalDpi="600" verticalDpi="600" orientation="portrait" paperSize="9" scale="86" r:id="rId3"/>
  <rowBreaks count="1" manualBreakCount="1">
    <brk id="64" max="10" man="1"/>
  </rowBreaks>
  <legacyDrawing r:id="rId2"/>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1:M55"/>
  <sheetViews>
    <sheetView zoomScalePageLayoutView="0" workbookViewId="0" topLeftCell="A1">
      <selection activeCell="M34" sqref="M34"/>
    </sheetView>
  </sheetViews>
  <sheetFormatPr defaultColWidth="9.140625" defaultRowHeight="12.75"/>
  <cols>
    <col min="1" max="4" width="3.00390625" style="0" customWidth="1"/>
    <col min="5" max="5" width="11.8515625" style="0" customWidth="1"/>
    <col min="6" max="7" width="10.00390625" style="0" customWidth="1"/>
    <col min="8" max="8" width="11.57421875" style="0" customWidth="1"/>
    <col min="9" max="9" width="10.57421875" style="0" customWidth="1"/>
    <col min="10" max="10" width="11.7109375" style="0" customWidth="1"/>
  </cols>
  <sheetData>
    <row r="1" spans="1:5" ht="18">
      <c r="A1" s="82" t="s">
        <v>656</v>
      </c>
      <c r="E1" s="39"/>
    </row>
    <row r="2" ht="12.75">
      <c r="E2" s="63"/>
    </row>
    <row r="3" spans="2:10" ht="18">
      <c r="B3" s="268" t="s">
        <v>655</v>
      </c>
      <c r="C3" s="269"/>
      <c r="D3" s="269"/>
      <c r="E3" s="269"/>
      <c r="F3" s="269"/>
      <c r="G3" s="269"/>
      <c r="H3" s="269"/>
      <c r="I3" s="269"/>
      <c r="J3" s="270"/>
    </row>
    <row r="5" spans="2:6" ht="12.75">
      <c r="B5" s="57" t="s">
        <v>53</v>
      </c>
      <c r="C5" s="28"/>
      <c r="D5" s="28"/>
      <c r="E5" s="42"/>
      <c r="F5" s="58" t="s">
        <v>389</v>
      </c>
    </row>
    <row r="6" spans="2:6" ht="12.75">
      <c r="B6" s="28"/>
      <c r="C6" s="28"/>
      <c r="D6" s="28"/>
      <c r="E6" s="105"/>
      <c r="F6" s="58" t="s">
        <v>388</v>
      </c>
    </row>
    <row r="7" ht="12.75">
      <c r="M7" s="2"/>
    </row>
    <row r="8" spans="2:9" s="5" customFormat="1" ht="12.75">
      <c r="B8" s="87" t="s">
        <v>0</v>
      </c>
      <c r="F8" s="11" t="str">
        <f>'2.Yhteenveto'!G12</f>
        <v>Alajärvi</v>
      </c>
      <c r="G8" s="91"/>
      <c r="H8" s="28"/>
      <c r="I8" s="28"/>
    </row>
    <row r="9" spans="2:9" s="5" customFormat="1" ht="12.75">
      <c r="B9" s="87" t="s">
        <v>650</v>
      </c>
      <c r="F9" s="158">
        <f>'2.Yhteenveto'!$H$13</f>
        <v>10171</v>
      </c>
      <c r="G9" s="91"/>
      <c r="H9" s="28"/>
      <c r="I9" s="28"/>
    </row>
    <row r="11" spans="2:5" ht="15.75">
      <c r="B11" s="1" t="s">
        <v>417</v>
      </c>
      <c r="E11" s="4"/>
    </row>
    <row r="12" spans="5:10" ht="12.75">
      <c r="E12" s="2"/>
      <c r="F12" s="40"/>
      <c r="G12" s="2"/>
      <c r="H12" s="2"/>
      <c r="I12" s="2"/>
      <c r="J12" s="2"/>
    </row>
    <row r="13" spans="3:12" ht="12.75">
      <c r="C13" s="2" t="s">
        <v>24</v>
      </c>
      <c r="F13" s="2"/>
      <c r="G13" s="2"/>
      <c r="H13" s="100">
        <v>6122.06</v>
      </c>
      <c r="I13" s="2"/>
      <c r="J13" s="2"/>
      <c r="K13" s="2"/>
      <c r="L13" s="2"/>
    </row>
    <row r="14" spans="3:12" ht="12.75">
      <c r="C14" s="2" t="s">
        <v>25</v>
      </c>
      <c r="F14" s="2"/>
      <c r="G14" s="2"/>
      <c r="H14" s="263">
        <v>0.9119715</v>
      </c>
      <c r="I14" s="264" t="s">
        <v>657</v>
      </c>
      <c r="J14" s="2"/>
      <c r="K14" s="2"/>
      <c r="L14" s="2"/>
    </row>
    <row r="15" spans="5:12" ht="12.75">
      <c r="E15" s="2"/>
      <c r="F15" s="2"/>
      <c r="G15" s="2"/>
      <c r="H15" s="41"/>
      <c r="I15" s="2"/>
      <c r="J15" s="2"/>
      <c r="K15" s="2"/>
      <c r="L15" s="2"/>
    </row>
    <row r="16" spans="5:12" ht="12.75">
      <c r="E16" s="2"/>
      <c r="F16" s="2"/>
      <c r="G16" s="2"/>
      <c r="I16" s="154" t="s">
        <v>26</v>
      </c>
      <c r="K16" s="2"/>
      <c r="L16" s="2"/>
    </row>
    <row r="17" spans="5:12" ht="12.75">
      <c r="E17" s="2"/>
      <c r="F17" s="2"/>
      <c r="G17" s="2"/>
      <c r="I17" s="154" t="s">
        <v>28</v>
      </c>
      <c r="J17" s="155" t="s">
        <v>27</v>
      </c>
      <c r="K17" s="2"/>
      <c r="L17" s="2"/>
    </row>
    <row r="18" spans="4:12" ht="12.75">
      <c r="D18" s="196" t="s">
        <v>651</v>
      </c>
      <c r="F18" s="2"/>
      <c r="G18" s="2"/>
      <c r="I18" s="42"/>
      <c r="J18" s="2">
        <f>IF(I18=0,0,IF(I18&lt;40,206,IF(I18&lt;60,100+0.4*(200-I18)+2.1*(60-I18),IF(I18&lt;200,100+0.4*(200-I18),IF(I18&gt;199,100)))))</f>
        <v>0</v>
      </c>
      <c r="K18" s="2"/>
      <c r="L18" s="2"/>
    </row>
    <row r="19" spans="4:12" ht="12.75">
      <c r="D19" s="196" t="s">
        <v>652</v>
      </c>
      <c r="F19" s="2"/>
      <c r="G19" s="2"/>
      <c r="I19" s="42"/>
      <c r="J19" s="2">
        <f>IF(I19=0,0,IF(I19&lt;40,206,IF(I19&lt;60,100+0.4*(200-I19)+2.1*(60-I19),IF(I19&lt;200,100+0.4*(200-I19),IF(I19&gt;199,100)))))</f>
        <v>0</v>
      </c>
      <c r="K19" s="2"/>
      <c r="L19" s="2"/>
    </row>
    <row r="20" spans="3:12" ht="12.75">
      <c r="C20" s="2" t="s">
        <v>3</v>
      </c>
      <c r="F20" s="2"/>
      <c r="G20" s="2"/>
      <c r="I20" s="43">
        <f>I18+I19</f>
        <v>0</v>
      </c>
      <c r="J20" s="2"/>
      <c r="K20" s="2"/>
      <c r="L20" s="2"/>
    </row>
    <row r="21" spans="6:12" ht="12.75">
      <c r="F21" s="2"/>
      <c r="G21" s="2"/>
      <c r="H21" s="41"/>
      <c r="I21" s="2"/>
      <c r="J21" s="2"/>
      <c r="K21" s="2"/>
      <c r="L21" s="2"/>
    </row>
    <row r="22" spans="3:12" ht="12.75">
      <c r="C22" s="2" t="s">
        <v>29</v>
      </c>
      <c r="F22" s="2"/>
      <c r="G22" s="2"/>
      <c r="H22" s="41"/>
      <c r="I22" s="2"/>
      <c r="J22" s="44">
        <f>IF(I20=0,100,((I18*J18+I19*J19)/I20))</f>
        <v>100</v>
      </c>
      <c r="K22" s="2"/>
      <c r="L22" s="2"/>
    </row>
    <row r="23" spans="6:12" ht="12.75">
      <c r="F23" s="2"/>
      <c r="G23" s="2"/>
      <c r="H23" s="41"/>
      <c r="I23" s="2"/>
      <c r="J23" s="2"/>
      <c r="K23" s="2"/>
      <c r="L23" s="2"/>
    </row>
    <row r="24" spans="3:12" ht="12.75">
      <c r="C24" s="5" t="s">
        <v>422</v>
      </c>
      <c r="F24" s="2"/>
      <c r="G24" s="2"/>
      <c r="H24" s="41"/>
      <c r="I24" s="2"/>
      <c r="J24" s="45">
        <f>IF(I20=0,H13*H14,$H$14*$H$13*J22/100)</f>
        <v>5583.1442412900005</v>
      </c>
      <c r="K24" s="2"/>
      <c r="L24" s="2"/>
    </row>
    <row r="25" spans="6:12" ht="12.75">
      <c r="F25" s="2"/>
      <c r="G25" s="2"/>
      <c r="H25" s="41"/>
      <c r="I25" s="2"/>
      <c r="J25" s="2"/>
      <c r="K25" s="2"/>
      <c r="L25" s="2"/>
    </row>
    <row r="26" spans="3:12" ht="12.75">
      <c r="C26" s="5" t="s">
        <v>421</v>
      </c>
      <c r="F26" s="2"/>
      <c r="G26" s="2"/>
      <c r="H26" s="41"/>
      <c r="I26" s="2"/>
      <c r="J26" s="31"/>
      <c r="K26" s="2"/>
      <c r="L26" s="2"/>
    </row>
    <row r="27" spans="6:12" ht="12.75">
      <c r="F27" s="2"/>
      <c r="G27" s="2"/>
      <c r="H27" s="41"/>
      <c r="I27" s="2"/>
      <c r="J27" s="2"/>
      <c r="K27" s="2"/>
      <c r="L27" s="2"/>
    </row>
    <row r="28" spans="2:11" ht="12.75">
      <c r="B28" s="144" t="s">
        <v>452</v>
      </c>
      <c r="C28" s="145"/>
      <c r="D28" s="145"/>
      <c r="E28" s="145"/>
      <c r="F28" s="145"/>
      <c r="G28" s="145"/>
      <c r="H28" s="146"/>
      <c r="I28" s="147">
        <f>ROUND(J24+(J24*J26/100),2)</f>
        <v>5583.14</v>
      </c>
      <c r="J28" s="148" t="s">
        <v>20</v>
      </c>
      <c r="K28" s="2"/>
    </row>
    <row r="29" spans="2:11" ht="12.75">
      <c r="B29" s="149" t="s">
        <v>453</v>
      </c>
      <c r="C29" s="150"/>
      <c r="D29" s="150"/>
      <c r="E29" s="150"/>
      <c r="F29" s="150"/>
      <c r="G29" s="150"/>
      <c r="H29" s="151"/>
      <c r="I29" s="152">
        <f>ROUND(0.58*I28,2)</f>
        <v>3238.22</v>
      </c>
      <c r="J29" s="153" t="s">
        <v>20</v>
      </c>
      <c r="K29" s="2"/>
    </row>
    <row r="30" spans="6:12" ht="12.75">
      <c r="F30" s="2"/>
      <c r="G30" s="2"/>
      <c r="H30" s="41"/>
      <c r="I30" s="2"/>
      <c r="J30" s="2"/>
      <c r="K30" s="2"/>
      <c r="L30" s="2"/>
    </row>
    <row r="31" spans="2:12" ht="12.75">
      <c r="B31" s="57" t="s">
        <v>418</v>
      </c>
      <c r="F31" s="2"/>
      <c r="G31" s="2"/>
      <c r="H31" s="41"/>
      <c r="I31" s="2"/>
      <c r="J31" s="2"/>
      <c r="K31" s="2"/>
      <c r="L31" s="2"/>
    </row>
    <row r="32" spans="3:12" ht="12.75">
      <c r="C32" s="198" t="s">
        <v>624</v>
      </c>
      <c r="F32" s="2"/>
      <c r="G32" s="2"/>
      <c r="H32" s="41"/>
      <c r="I32" s="2"/>
      <c r="J32" s="2"/>
      <c r="K32" s="2"/>
      <c r="L32" s="2"/>
    </row>
    <row r="33" spans="3:12" ht="12.75">
      <c r="C33" s="252" t="s">
        <v>623</v>
      </c>
      <c r="F33" s="2"/>
      <c r="G33" s="2"/>
      <c r="H33" s="41"/>
      <c r="I33" s="2"/>
      <c r="J33" s="2"/>
      <c r="K33" s="2"/>
      <c r="L33" s="2"/>
    </row>
    <row r="34" spans="6:12" ht="12.75">
      <c r="F34" s="2"/>
      <c r="G34" s="2"/>
      <c r="H34" s="41"/>
      <c r="I34" s="2"/>
      <c r="J34" s="2"/>
      <c r="K34" s="2"/>
      <c r="L34" s="2"/>
    </row>
    <row r="35" spans="2:12" ht="15.75">
      <c r="B35" s="1" t="s">
        <v>419</v>
      </c>
      <c r="E35" s="4"/>
      <c r="F35" s="2"/>
      <c r="G35" s="2"/>
      <c r="H35" s="41"/>
      <c r="I35" s="2"/>
      <c r="J35" s="2"/>
      <c r="K35" s="2"/>
      <c r="L35" s="2"/>
    </row>
    <row r="36" spans="6:12" ht="12.75">
      <c r="F36" s="2"/>
      <c r="G36" s="2"/>
      <c r="H36" s="41"/>
      <c r="I36" s="2"/>
      <c r="J36" s="2"/>
      <c r="K36" s="2"/>
      <c r="L36" s="2"/>
    </row>
    <row r="37" spans="6:12" ht="12.75">
      <c r="F37" s="2"/>
      <c r="G37" s="2"/>
      <c r="H37" s="154" t="s">
        <v>26</v>
      </c>
      <c r="I37" s="155" t="s">
        <v>30</v>
      </c>
      <c r="J37" s="2"/>
      <c r="K37" s="2"/>
      <c r="L37" s="2"/>
    </row>
    <row r="38" spans="6:12" ht="12.75">
      <c r="F38" s="2"/>
      <c r="G38" s="2"/>
      <c r="H38" s="154" t="s">
        <v>5</v>
      </c>
      <c r="I38" s="155" t="s">
        <v>31</v>
      </c>
      <c r="J38" s="2"/>
      <c r="K38" s="2"/>
      <c r="L38" s="2"/>
    </row>
    <row r="39" spans="4:12" ht="12.75">
      <c r="D39" s="5" t="s">
        <v>653</v>
      </c>
      <c r="F39" s="2"/>
      <c r="G39" s="2"/>
      <c r="H39" s="42"/>
      <c r="I39" s="31"/>
      <c r="J39" s="9"/>
      <c r="K39" s="2"/>
      <c r="L39" s="2"/>
    </row>
    <row r="40" spans="4:12" ht="12.75">
      <c r="D40" s="5" t="s">
        <v>654</v>
      </c>
      <c r="F40" s="2"/>
      <c r="G40" s="2"/>
      <c r="H40" s="42"/>
      <c r="I40" s="31"/>
      <c r="J40" s="9"/>
      <c r="K40" s="2"/>
      <c r="L40" s="2"/>
    </row>
    <row r="41" spans="3:12" ht="12.75">
      <c r="C41" t="s">
        <v>32</v>
      </c>
      <c r="F41" s="2"/>
      <c r="G41" s="2"/>
      <c r="H41" s="47">
        <f>(H39*7/12)+(H40*5/12)</f>
        <v>0</v>
      </c>
      <c r="I41" s="47">
        <f>(I39*7/12)+(I40*5/12)</f>
        <v>0</v>
      </c>
      <c r="J41" s="2"/>
      <c r="K41" s="2"/>
      <c r="L41" s="2"/>
    </row>
    <row r="42" spans="6:12" ht="12.75">
      <c r="F42" s="2"/>
      <c r="G42" s="2"/>
      <c r="H42" s="41"/>
      <c r="I42" s="2"/>
      <c r="J42" s="2"/>
      <c r="K42" s="2"/>
      <c r="L42" s="2"/>
    </row>
    <row r="43" spans="3:12" ht="12.75">
      <c r="C43" t="s">
        <v>33</v>
      </c>
      <c r="F43" s="2"/>
      <c r="G43" s="2"/>
      <c r="H43" s="41"/>
      <c r="I43" s="2"/>
      <c r="J43" s="31"/>
      <c r="K43" s="2"/>
      <c r="L43" s="2"/>
    </row>
    <row r="44" spans="6:12" ht="12.75">
      <c r="F44" s="2"/>
      <c r="G44" s="2"/>
      <c r="H44" s="41"/>
      <c r="I44" s="2"/>
      <c r="J44" s="2"/>
      <c r="K44" s="2"/>
      <c r="L44" s="2"/>
    </row>
    <row r="45" spans="6:12" ht="12.75">
      <c r="F45" s="2"/>
      <c r="G45" s="2"/>
      <c r="H45" s="41"/>
      <c r="I45" s="2"/>
      <c r="J45" s="2"/>
      <c r="K45" s="2"/>
      <c r="L45" s="2"/>
    </row>
    <row r="46" spans="3:12" ht="12.75">
      <c r="C46" s="5" t="s">
        <v>34</v>
      </c>
      <c r="F46" s="2"/>
      <c r="G46" s="2"/>
      <c r="H46" s="41"/>
      <c r="I46" s="2"/>
      <c r="J46" s="48">
        <f>I28*(H39*7/12+H40*5/12)</f>
        <v>0</v>
      </c>
      <c r="K46" s="2"/>
      <c r="L46" s="2"/>
    </row>
    <row r="47" spans="3:12" ht="12.75">
      <c r="C47" s="5" t="s">
        <v>35</v>
      </c>
      <c r="F47" s="2"/>
      <c r="G47" s="2"/>
      <c r="H47" s="41"/>
      <c r="I47" s="2"/>
      <c r="J47" s="48">
        <f>I29*(I39*7/12+I40*5/12)</f>
        <v>0</v>
      </c>
      <c r="K47" s="2"/>
      <c r="L47" s="2"/>
    </row>
    <row r="48" spans="3:12" ht="12.75">
      <c r="C48" s="5" t="s">
        <v>36</v>
      </c>
      <c r="F48" s="2"/>
      <c r="G48" s="2"/>
      <c r="H48" s="41"/>
      <c r="I48" s="2"/>
      <c r="J48" s="48">
        <f>I29*J43</f>
        <v>0</v>
      </c>
      <c r="K48" s="2"/>
      <c r="L48" s="2"/>
    </row>
    <row r="49" spans="3:12" ht="12.75">
      <c r="C49" s="5"/>
      <c r="F49" s="2"/>
      <c r="G49" s="2"/>
      <c r="H49" s="41"/>
      <c r="I49" s="2"/>
      <c r="J49" s="48"/>
      <c r="K49" s="2"/>
      <c r="L49" s="2"/>
    </row>
    <row r="50" spans="2:12" ht="12.75">
      <c r="B50" s="57" t="s">
        <v>37</v>
      </c>
      <c r="L50" s="2"/>
    </row>
    <row r="51" spans="2:12" ht="12.75">
      <c r="B51" s="57" t="s">
        <v>69</v>
      </c>
      <c r="L51" s="2"/>
    </row>
    <row r="52" ht="12.75">
      <c r="B52" s="57" t="s">
        <v>38</v>
      </c>
    </row>
    <row r="53" spans="3:11" ht="12.75">
      <c r="C53" s="5"/>
      <c r="F53" s="2"/>
      <c r="G53" s="2"/>
      <c r="H53" s="41"/>
      <c r="I53" s="2"/>
      <c r="J53" s="48"/>
      <c r="K53" s="2"/>
    </row>
    <row r="54" spans="2:11" ht="12.75">
      <c r="B54" s="84" t="s">
        <v>420</v>
      </c>
      <c r="C54" s="85"/>
      <c r="D54" s="85"/>
      <c r="E54" s="104"/>
      <c r="F54" s="85"/>
      <c r="G54" s="85"/>
      <c r="H54" s="156"/>
      <c r="I54" s="85"/>
      <c r="J54" s="86">
        <f>SUM(J46:J48)</f>
        <v>0</v>
      </c>
      <c r="K54" s="2"/>
    </row>
    <row r="55" spans="6:10" ht="12.75">
      <c r="F55" s="2"/>
      <c r="G55" s="2"/>
      <c r="H55" s="41"/>
      <c r="I55" s="2"/>
      <c r="J55" s="2"/>
    </row>
  </sheetData>
  <sheetProtection/>
  <protectedRanges>
    <protectedRange sqref="J43" name="Alue5_1"/>
    <protectedRange sqref="H39:I40" name="Alue4_1"/>
    <protectedRange sqref="J26" name="Alue3_1"/>
    <protectedRange sqref="I18:I19" name="Alue2_1"/>
    <protectedRange sqref="H13:H14" name="Alue1_1"/>
  </protectedRanges>
  <mergeCells count="1">
    <mergeCell ref="B3:J3"/>
  </mergeCells>
  <printOptions/>
  <pageMargins left="0.75" right="0.75" top="1" bottom="1" header="0.4921259845" footer="0.4921259845"/>
  <pageSetup fitToHeight="0"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1"/>
    <pageSetUpPr fitToPage="1"/>
  </sheetPr>
  <dimension ref="A1:N19"/>
  <sheetViews>
    <sheetView workbookViewId="0" topLeftCell="A1">
      <selection activeCell="O11" sqref="O11"/>
    </sheetView>
  </sheetViews>
  <sheetFormatPr defaultColWidth="9.140625" defaultRowHeight="12.75"/>
  <cols>
    <col min="9" max="9" width="13.28125" style="0" customWidth="1"/>
    <col min="11" max="11" width="10.8515625" style="0" customWidth="1"/>
    <col min="12" max="12" width="3.57421875" style="0" customWidth="1"/>
    <col min="13" max="13" width="1.421875" style="0" customWidth="1"/>
  </cols>
  <sheetData>
    <row r="1" spans="1:12" ht="12.75">
      <c r="A1" s="64"/>
      <c r="L1" s="64"/>
    </row>
    <row r="2" spans="1:12" ht="12.75">
      <c r="A2" s="64"/>
      <c r="L2" s="64"/>
    </row>
    <row r="11" spans="1:14" ht="12.75">
      <c r="A11" s="5"/>
      <c r="B11" s="5"/>
      <c r="C11" s="5"/>
      <c r="D11" s="5"/>
      <c r="E11" s="5"/>
      <c r="F11" s="5"/>
      <c r="G11" s="5"/>
      <c r="H11" s="5"/>
      <c r="I11" s="5"/>
      <c r="L11" s="5"/>
      <c r="M11" s="5"/>
      <c r="N11" s="5"/>
    </row>
    <row r="12" spans="1:14" ht="12.75">
      <c r="A12" s="5"/>
      <c r="B12" s="5"/>
      <c r="C12" s="5"/>
      <c r="D12" s="5"/>
      <c r="E12" s="5"/>
      <c r="F12" s="5"/>
      <c r="G12" s="5"/>
      <c r="H12" s="5"/>
      <c r="I12" s="5"/>
      <c r="L12" s="5"/>
      <c r="M12" s="5"/>
      <c r="N12" s="5"/>
    </row>
    <row r="13" spans="1:14" ht="12.75">
      <c r="A13" s="5"/>
      <c r="B13" s="5"/>
      <c r="C13" s="5"/>
      <c r="D13" s="5"/>
      <c r="E13" s="5"/>
      <c r="F13" s="5"/>
      <c r="G13" s="5"/>
      <c r="H13" s="5"/>
      <c r="I13" s="5"/>
      <c r="L13" s="5"/>
      <c r="M13" s="5"/>
      <c r="N13" s="5"/>
    </row>
    <row r="14" spans="1:14" ht="12.75">
      <c r="A14" s="5"/>
      <c r="B14" s="5"/>
      <c r="C14" s="5"/>
      <c r="D14" s="5"/>
      <c r="E14" s="5"/>
      <c r="F14" s="5"/>
      <c r="G14" s="5"/>
      <c r="H14" s="5"/>
      <c r="I14" s="5"/>
      <c r="L14" s="5"/>
      <c r="M14" s="5"/>
      <c r="N14" s="5"/>
    </row>
    <row r="15" spans="1:14" ht="12.75">
      <c r="A15" s="5"/>
      <c r="B15" s="5"/>
      <c r="C15" s="5"/>
      <c r="D15" s="5"/>
      <c r="E15" s="5"/>
      <c r="F15" s="5"/>
      <c r="G15" s="5"/>
      <c r="H15" s="5"/>
      <c r="I15" s="5"/>
      <c r="L15" s="5"/>
      <c r="M15" s="5"/>
      <c r="N15" s="5"/>
    </row>
    <row r="16" spans="1:14" ht="12.75">
      <c r="A16" s="5"/>
      <c r="B16" s="5"/>
      <c r="C16" s="5"/>
      <c r="D16" s="5"/>
      <c r="E16" s="5"/>
      <c r="F16" s="5"/>
      <c r="G16" s="5"/>
      <c r="H16" s="5"/>
      <c r="I16" s="5"/>
      <c r="L16" s="5"/>
      <c r="M16" s="5"/>
      <c r="N16" s="5"/>
    </row>
    <row r="17" spans="1:14" ht="12.75">
      <c r="A17" s="5"/>
      <c r="B17" s="5"/>
      <c r="C17" s="5"/>
      <c r="D17" s="5"/>
      <c r="E17" s="5"/>
      <c r="F17" s="5"/>
      <c r="G17" s="5"/>
      <c r="H17" s="5"/>
      <c r="I17" s="5"/>
      <c r="L17" s="5"/>
      <c r="M17" s="5"/>
      <c r="N17" s="5"/>
    </row>
    <row r="19" spans="1:12" ht="12.75">
      <c r="A19" s="65"/>
      <c r="L19" s="65"/>
    </row>
  </sheetData>
  <sheetProtection sheet="1"/>
  <printOptions/>
  <pageMargins left="0.25" right="0.25" top="0.75" bottom="0.75" header="0.3" footer="0.3"/>
  <pageSetup fitToHeight="0"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BM99"/>
  <sheetViews>
    <sheetView tabSelected="1" zoomScaleSheetLayoutView="100" zoomScalePageLayoutView="0" workbookViewId="0" topLeftCell="A1">
      <selection activeCell="Q20" sqref="Q20"/>
    </sheetView>
  </sheetViews>
  <sheetFormatPr defaultColWidth="9.140625" defaultRowHeight="12.75"/>
  <cols>
    <col min="1" max="1" width="1.8515625" style="0" customWidth="1"/>
    <col min="2" max="2" width="2.8515625" style="0" customWidth="1"/>
    <col min="3" max="3" width="2.140625" style="0" customWidth="1"/>
    <col min="4" max="5" width="1.8515625" style="0" customWidth="1"/>
    <col min="6" max="6" width="8.7109375" style="0" customWidth="1"/>
    <col min="7" max="7" width="10.140625" style="0" customWidth="1"/>
    <col min="8" max="8" width="12.140625" style="0" customWidth="1"/>
    <col min="9" max="9" width="12.57421875" style="0" customWidth="1"/>
    <col min="10" max="10" width="9.57421875" style="0" customWidth="1"/>
    <col min="11" max="11" width="11.8515625" style="0" customWidth="1"/>
    <col min="12" max="12" width="14.140625" style="0" customWidth="1"/>
    <col min="13" max="13" width="13.00390625" style="0" customWidth="1"/>
    <col min="14" max="14" width="2.00390625" style="0" customWidth="1"/>
    <col min="15" max="15" width="9.28125" style="0" bestFit="1" customWidth="1"/>
    <col min="16" max="16" width="14.00390625" style="0" customWidth="1"/>
    <col min="17" max="43" width="9.28125" style="0" bestFit="1" customWidth="1"/>
    <col min="44" max="44" width="10.57421875" style="0" bestFit="1" customWidth="1"/>
    <col min="45" max="64" width="9.28125" style="0" bestFit="1" customWidth="1"/>
  </cols>
  <sheetData>
    <row r="1" spans="1:5" ht="12.75">
      <c r="A1" s="82" t="s">
        <v>632</v>
      </c>
      <c r="C1" s="82"/>
      <c r="D1" s="82"/>
      <c r="E1" s="82"/>
    </row>
    <row r="2" spans="2:5" ht="12.75">
      <c r="B2" s="59"/>
      <c r="C2" s="59"/>
      <c r="D2" s="59"/>
      <c r="E2" s="59"/>
    </row>
    <row r="3" spans="2:13" ht="18">
      <c r="B3" s="268" t="s">
        <v>626</v>
      </c>
      <c r="C3" s="269"/>
      <c r="D3" s="269"/>
      <c r="E3" s="269"/>
      <c r="F3" s="269"/>
      <c r="G3" s="269"/>
      <c r="H3" s="269"/>
      <c r="I3" s="269"/>
      <c r="J3" s="269"/>
      <c r="K3" s="269"/>
      <c r="L3" s="269"/>
      <c r="M3" s="270"/>
    </row>
    <row r="5" spans="2:5" ht="12.75">
      <c r="B5" s="1" t="s">
        <v>52</v>
      </c>
      <c r="C5" s="1"/>
      <c r="D5" s="1"/>
      <c r="E5" s="1"/>
    </row>
    <row r="7" ht="12" customHeight="1">
      <c r="F7" s="159" t="s">
        <v>428</v>
      </c>
    </row>
    <row r="8" spans="6:7" ht="12" customHeight="1">
      <c r="F8" s="160"/>
      <c r="G8" s="67" t="s">
        <v>431</v>
      </c>
    </row>
    <row r="9" spans="6:7" ht="12" customHeight="1">
      <c r="F9" s="79"/>
      <c r="G9" s="67" t="s">
        <v>432</v>
      </c>
    </row>
    <row r="12" spans="2:9" ht="20.25" customHeight="1">
      <c r="B12" s="1" t="s">
        <v>0</v>
      </c>
      <c r="F12" s="163" t="e">
        <f>INDEX(#REF!,MATCH(G12,#REF!,0),1,1)</f>
        <v>#REF!</v>
      </c>
      <c r="G12" s="271" t="s">
        <v>79</v>
      </c>
      <c r="H12" s="272"/>
      <c r="I12" s="68" t="s">
        <v>424</v>
      </c>
    </row>
    <row r="13" spans="2:9" ht="20.25" customHeight="1">
      <c r="B13" s="1" t="s">
        <v>627</v>
      </c>
      <c r="H13" s="162">
        <f>INDEX(vosC,MATCH($G$12,kunta,0),1,1)</f>
        <v>10171</v>
      </c>
      <c r="I13" s="68" t="s">
        <v>426</v>
      </c>
    </row>
    <row r="14" spans="2:13" ht="14.25">
      <c r="B14" s="49"/>
      <c r="C14" s="49"/>
      <c r="D14" s="49"/>
      <c r="E14" s="49"/>
      <c r="M14" s="3"/>
    </row>
    <row r="15" spans="12:13" ht="12.75">
      <c r="L15" s="68"/>
      <c r="M15" s="69"/>
    </row>
    <row r="16" spans="2:13" ht="12.75">
      <c r="B16" s="1" t="s">
        <v>380</v>
      </c>
      <c r="C16" s="1"/>
      <c r="D16" s="1"/>
      <c r="E16" s="1"/>
      <c r="L16" s="68" t="s">
        <v>386</v>
      </c>
      <c r="M16" s="68" t="s">
        <v>429</v>
      </c>
    </row>
    <row r="18" spans="4:13" ht="12.75">
      <c r="D18" s="5" t="s">
        <v>390</v>
      </c>
      <c r="E18" s="5"/>
      <c r="F18" s="5"/>
      <c r="L18" s="81">
        <f>'3.Ikärakenne'!I24</f>
        <v>40314791.24</v>
      </c>
      <c r="M18" s="164">
        <f>L18/$H$13</f>
        <v>3963.699856454626</v>
      </c>
    </row>
    <row r="19" ht="12.75">
      <c r="M19" s="164"/>
    </row>
    <row r="20" spans="4:13" ht="12.75">
      <c r="D20" s="5" t="s">
        <v>528</v>
      </c>
      <c r="E20" s="5"/>
      <c r="F20" s="5"/>
      <c r="L20" s="81">
        <f>'4.Muut lask. kustannukset'!J16</f>
        <v>16960891.216789857</v>
      </c>
      <c r="M20" s="164">
        <f>L20/$H$13</f>
        <v>1667.5736128984227</v>
      </c>
    </row>
    <row r="21" ht="12.75">
      <c r="M21" s="164"/>
    </row>
    <row r="22" spans="4:13" ht="12.75">
      <c r="D22" s="5" t="s">
        <v>529</v>
      </c>
      <c r="J22" s="33"/>
      <c r="K22" s="3"/>
      <c r="L22" s="80">
        <f>'4.Muut lask. kustannukset'!J75</f>
        <v>2282156.4264230384</v>
      </c>
      <c r="M22" s="164">
        <f>L22/$H$13</f>
        <v>224.37876574801282</v>
      </c>
    </row>
    <row r="23" ht="12.75">
      <c r="M23" s="164"/>
    </row>
    <row r="24" spans="4:13" ht="12.75">
      <c r="D24" s="5" t="s">
        <v>530</v>
      </c>
      <c r="E24" s="5"/>
      <c r="F24" s="5"/>
      <c r="L24" s="80">
        <f>'5.Lisäosat'!J35</f>
        <v>334253.0451559387</v>
      </c>
      <c r="M24" s="164">
        <f>L24/$H$13</f>
        <v>32.86334137802957</v>
      </c>
    </row>
    <row r="25" ht="12.75">
      <c r="M25" s="164"/>
    </row>
    <row r="26" spans="4:13" ht="12.75">
      <c r="D26" t="s">
        <v>62</v>
      </c>
      <c r="L26" s="80">
        <f>'6.Vähennykset ja lisäykset'!I60</f>
        <v>3073222.5171255195</v>
      </c>
      <c r="M26" s="164">
        <f>L26/$H$13</f>
        <v>302.15539446716343</v>
      </c>
    </row>
    <row r="27" ht="12.75">
      <c r="M27" s="164"/>
    </row>
    <row r="28" spans="4:13" ht="12.75">
      <c r="D28" s="5" t="s">
        <v>640</v>
      </c>
      <c r="L28" s="80">
        <f>'7.Järjestelmämuutos 2015'!J25</f>
        <v>0</v>
      </c>
      <c r="M28" s="164">
        <f>L28/$H$13</f>
        <v>0</v>
      </c>
    </row>
    <row r="29" ht="12.75">
      <c r="M29" s="164"/>
    </row>
    <row r="30" spans="4:16" ht="12.75">
      <c r="D30" s="5" t="s">
        <v>378</v>
      </c>
      <c r="E30" s="5"/>
      <c r="J30" s="168">
        <f>tiedot!$H$2*(-1)</f>
        <v>-3642.26</v>
      </c>
      <c r="K30" s="68" t="s">
        <v>1</v>
      </c>
      <c r="L30" s="80">
        <f>J30*H13</f>
        <v>-37045426.46</v>
      </c>
      <c r="M30" s="164">
        <f>L30/$H$13</f>
        <v>-3642.26</v>
      </c>
      <c r="P30" s="66"/>
    </row>
    <row r="31" spans="2:13" ht="12.75">
      <c r="B31" s="55"/>
      <c r="C31" s="166"/>
      <c r="D31" s="166"/>
      <c r="E31" s="166"/>
      <c r="F31" s="166"/>
      <c r="G31" s="166"/>
      <c r="H31" s="166"/>
      <c r="I31" s="166"/>
      <c r="J31" s="166"/>
      <c r="K31" s="166"/>
      <c r="L31" s="166"/>
      <c r="M31" s="167"/>
    </row>
    <row r="32" spans="3:13" ht="12.75">
      <c r="C32" s="1" t="s">
        <v>379</v>
      </c>
      <c r="D32" s="1"/>
      <c r="E32" s="1"/>
      <c r="L32" s="60">
        <f>SUM(L18:L30)</f>
        <v>25919887.985494353</v>
      </c>
      <c r="M32" s="165">
        <f>L32/$H$13</f>
        <v>2548.4109709462546</v>
      </c>
    </row>
    <row r="34" spans="3:13" ht="12.75">
      <c r="C34" s="5" t="s">
        <v>381</v>
      </c>
      <c r="D34" s="5"/>
      <c r="E34" s="5"/>
      <c r="L34" s="161">
        <f>INDEX(tasa_1,MATCH($G$12,kunta,0),1,1)</f>
        <v>10286541.171428574</v>
      </c>
      <c r="M34" s="164">
        <f>L34/$H$13</f>
        <v>1011.359863477394</v>
      </c>
    </row>
    <row r="35" spans="2:13" ht="13.5" thickBot="1">
      <c r="B35" s="113"/>
      <c r="C35" s="113"/>
      <c r="D35" s="113"/>
      <c r="E35" s="113"/>
      <c r="F35" s="113"/>
      <c r="G35" s="113"/>
      <c r="H35" s="113"/>
      <c r="I35" s="113"/>
      <c r="J35" s="113"/>
      <c r="K35" s="113"/>
      <c r="L35" s="113"/>
      <c r="M35" s="169"/>
    </row>
    <row r="36" spans="2:16" ht="13.5" thickTop="1">
      <c r="B36" s="1" t="s">
        <v>382</v>
      </c>
      <c r="C36" s="1"/>
      <c r="D36" s="1"/>
      <c r="E36" s="1"/>
      <c r="L36" s="60">
        <f>L32+L34</f>
        <v>36206429.15692293</v>
      </c>
      <c r="M36" s="164">
        <f>L36/$H$13</f>
        <v>3559.7708344236485</v>
      </c>
      <c r="P36" s="66"/>
    </row>
    <row r="37" ht="12.75">
      <c r="M37" s="164"/>
    </row>
    <row r="38" spans="2:13" ht="12.75">
      <c r="B38" s="1" t="s">
        <v>659</v>
      </c>
      <c r="C38" s="1"/>
      <c r="D38" s="1"/>
      <c r="E38" s="1"/>
      <c r="L38" s="83">
        <f>'9.Opetus ja kulttuuri, muu vos'!K92</f>
        <v>-2994708.556</v>
      </c>
      <c r="M38" s="164">
        <f>L38/$H$13</f>
        <v>-294.436</v>
      </c>
    </row>
    <row r="39" spans="2:13" s="68" customFormat="1" ht="12.75">
      <c r="B39" s="266" t="s">
        <v>658</v>
      </c>
      <c r="C39" s="266"/>
      <c r="D39" s="266"/>
      <c r="E39" s="266"/>
      <c r="F39" s="266"/>
      <c r="G39" s="266"/>
      <c r="H39" s="266"/>
      <c r="I39" s="266"/>
      <c r="J39" s="266"/>
      <c r="L39" s="267">
        <f>INDEX(okm,MATCH($G$12,kunta,0),1,1)</f>
        <v>387012</v>
      </c>
      <c r="M39" s="265">
        <f>L39/$H$13</f>
        <v>38.05053583718415</v>
      </c>
    </row>
    <row r="41" spans="1:13" ht="12.75">
      <c r="A41" s="84" t="s">
        <v>628</v>
      </c>
      <c r="B41" s="85"/>
      <c r="C41" s="104"/>
      <c r="D41" s="104"/>
      <c r="E41" s="104"/>
      <c r="F41" s="85"/>
      <c r="G41" s="85"/>
      <c r="H41" s="85"/>
      <c r="I41" s="85"/>
      <c r="J41" s="85"/>
      <c r="K41" s="85"/>
      <c r="L41" s="170">
        <f>L36+L38</f>
        <v>33211720.600922927</v>
      </c>
      <c r="M41" s="171">
        <f>L41/$H$13</f>
        <v>3265.3348344236483</v>
      </c>
    </row>
    <row r="42" ht="12.75">
      <c r="M42" s="164"/>
    </row>
    <row r="43" spans="2:13" ht="12.75" hidden="1">
      <c r="B43" s="1" t="s">
        <v>68</v>
      </c>
      <c r="C43" s="1"/>
      <c r="D43" s="1"/>
      <c r="E43" s="1"/>
      <c r="M43" s="164"/>
    </row>
    <row r="44" spans="6:13" ht="12.75" hidden="1">
      <c r="F44" t="s">
        <v>384</v>
      </c>
      <c r="L44" s="81">
        <f>'8.Kotikuntakorvaukset'!H47*(-1)</f>
        <v>0</v>
      </c>
      <c r="M44" s="164"/>
    </row>
    <row r="45" spans="6:13" ht="13.5" hidden="1" thickBot="1">
      <c r="F45" s="113" t="s">
        <v>383</v>
      </c>
      <c r="G45" s="113"/>
      <c r="H45" s="113"/>
      <c r="I45" s="113"/>
      <c r="J45" s="113"/>
      <c r="K45" s="113"/>
      <c r="L45" s="248">
        <f>'8.Kotikuntakorvaukset'!H40</f>
        <v>0</v>
      </c>
      <c r="M45" s="164"/>
    </row>
    <row r="46" spans="5:13" ht="13.5" hidden="1" thickTop="1">
      <c r="E46" s="5" t="s">
        <v>615</v>
      </c>
      <c r="F46" s="5"/>
      <c r="L46" s="249">
        <f>'8.Kotikuntakorvaukset'!H50</f>
        <v>4798415.522800001</v>
      </c>
      <c r="M46" s="164"/>
    </row>
    <row r="47" ht="12.75" hidden="1"/>
    <row r="48" spans="1:13" ht="18" customHeight="1" hidden="1">
      <c r="A48" s="144" t="s">
        <v>436</v>
      </c>
      <c r="B48" s="174"/>
      <c r="C48" s="145"/>
      <c r="D48" s="145"/>
      <c r="E48" s="145"/>
      <c r="F48" s="174"/>
      <c r="G48" s="174"/>
      <c r="H48" s="174"/>
      <c r="I48" s="174"/>
      <c r="J48" s="174"/>
      <c r="K48" s="174"/>
      <c r="L48" s="199" t="s">
        <v>386</v>
      </c>
      <c r="M48" s="200" t="s">
        <v>429</v>
      </c>
    </row>
    <row r="49" spans="1:13" ht="18" customHeight="1" hidden="1">
      <c r="A49" s="178"/>
      <c r="B49" s="179" t="s">
        <v>531</v>
      </c>
      <c r="C49" s="172"/>
      <c r="D49" s="172"/>
      <c r="E49" s="172"/>
      <c r="F49" s="173"/>
      <c r="G49" s="173"/>
      <c r="H49" s="173"/>
      <c r="I49" s="173"/>
      <c r="J49" s="173"/>
      <c r="K49" s="173"/>
      <c r="L49" s="255">
        <f>INDEX(vos_maks,MATCH($G$12,kunta,0),1,1)</f>
        <v>0</v>
      </c>
      <c r="M49" s="256">
        <f>L49/H13</f>
        <v>0</v>
      </c>
    </row>
    <row r="50" spans="1:13" ht="18" customHeight="1" hidden="1">
      <c r="A50" s="175"/>
      <c r="B50" s="176" t="s">
        <v>430</v>
      </c>
      <c r="C50" s="177"/>
      <c r="D50" s="177"/>
      <c r="E50" s="177"/>
      <c r="F50" s="177"/>
      <c r="G50" s="177"/>
      <c r="H50" s="177"/>
      <c r="I50" s="177"/>
      <c r="J50" s="177"/>
      <c r="K50" s="177"/>
      <c r="L50" s="254">
        <f>L49/12</f>
        <v>0</v>
      </c>
      <c r="M50" s="257">
        <f>L50/H13</f>
        <v>0</v>
      </c>
    </row>
    <row r="51" ht="12.75" hidden="1"/>
    <row r="52" spans="2:13" ht="12.75">
      <c r="B52" s="5" t="s">
        <v>645</v>
      </c>
      <c r="L52" s="258">
        <f>INDEX(kkk_1,MATCH($G$12,kunta,0),1,1)</f>
        <v>4798415.522800001</v>
      </c>
      <c r="M52" s="164">
        <f>L52/$H$13</f>
        <v>471.7742132337038</v>
      </c>
    </row>
    <row r="54" spans="1:13" ht="12.75">
      <c r="A54" s="259" t="s">
        <v>646</v>
      </c>
      <c r="B54" s="260"/>
      <c r="C54" s="260"/>
      <c r="D54" s="260"/>
      <c r="E54" s="260"/>
      <c r="F54" s="260"/>
      <c r="G54" s="260"/>
      <c r="H54" s="260"/>
      <c r="I54" s="260"/>
      <c r="J54" s="260"/>
      <c r="K54" s="260"/>
      <c r="L54" s="261">
        <f>L41+L52</f>
        <v>38010136.123722926</v>
      </c>
      <c r="M54" s="262">
        <f>L54/$H$13</f>
        <v>3737.1090476573518</v>
      </c>
    </row>
    <row r="68" ht="12.75">
      <c r="BM68" s="192"/>
    </row>
    <row r="69" ht="12.75">
      <c r="BM69" s="192"/>
    </row>
    <row r="70" ht="12.75">
      <c r="BM70" s="192"/>
    </row>
    <row r="71" ht="12.75">
      <c r="BM71" s="192"/>
    </row>
    <row r="72" ht="12.75">
      <c r="BM72" s="192"/>
    </row>
    <row r="73" ht="12.75">
      <c r="BM73" s="192"/>
    </row>
    <row r="74" ht="12.75">
      <c r="BM74" s="192"/>
    </row>
    <row r="75" ht="12.75">
      <c r="BM75" s="192"/>
    </row>
    <row r="76" ht="12.75">
      <c r="BM76" s="192"/>
    </row>
    <row r="77" ht="12.75">
      <c r="BM77" s="192"/>
    </row>
    <row r="78" ht="12.75">
      <c r="BM78" s="192"/>
    </row>
    <row r="79" ht="12.75">
      <c r="BM79" s="192"/>
    </row>
    <row r="80" ht="12.75">
      <c r="BM80" s="192"/>
    </row>
    <row r="81" ht="12.75">
      <c r="BM81" s="192"/>
    </row>
    <row r="82" ht="12.75">
      <c r="BM82" s="192"/>
    </row>
    <row r="83" ht="12.75">
      <c r="BM83" s="192"/>
    </row>
    <row r="84" ht="12.75">
      <c r="BM84" s="192"/>
    </row>
    <row r="85" ht="12.75">
      <c r="BM85" s="192"/>
    </row>
    <row r="86" ht="12.75">
      <c r="BM86" s="192"/>
    </row>
    <row r="87" ht="12.75">
      <c r="BM87" s="192"/>
    </row>
    <row r="88" ht="12.75">
      <c r="BM88" s="192"/>
    </row>
    <row r="89" ht="12.75">
      <c r="BM89" s="192"/>
    </row>
    <row r="90" ht="12.75">
      <c r="BM90" s="192"/>
    </row>
    <row r="91" ht="12.75">
      <c r="BM91" s="192"/>
    </row>
    <row r="92" ht="12.75">
      <c r="BM92" s="192"/>
    </row>
    <row r="93" ht="12.75">
      <c r="BM93" s="192"/>
    </row>
    <row r="94" ht="12.75">
      <c r="BM94" s="192"/>
    </row>
    <row r="95" ht="12.75">
      <c r="BM95" s="192"/>
    </row>
    <row r="96" ht="12.75">
      <c r="BM96" s="192"/>
    </row>
    <row r="97" ht="12.75">
      <c r="BM97" s="192"/>
    </row>
    <row r="98" ht="12.75">
      <c r="BM98" s="192"/>
    </row>
    <row r="99" ht="12.75">
      <c r="BM99" s="192"/>
    </row>
  </sheetData>
  <sheetProtection/>
  <protectedRanges>
    <protectedRange sqref="G12:H12" name="Alue1"/>
    <protectedRange sqref="J30" name="Alue2"/>
    <protectedRange sqref="L34" name="Alue3"/>
  </protectedRanges>
  <mergeCells count="2">
    <mergeCell ref="B3:M3"/>
    <mergeCell ref="G12:H12"/>
  </mergeCells>
  <dataValidations count="1">
    <dataValidation type="list" allowBlank="1" showInputMessage="1" showErrorMessage="1" sqref="G12:H12">
      <formula1>kunta</formula1>
    </dataValidation>
  </dataValidations>
  <printOptions/>
  <pageMargins left="0.25" right="0.25" top="0.75" bottom="0.75" header="0.3" footer="0.3"/>
  <pageSetup fitToHeight="1" fitToWidth="1" horizontalDpi="600" verticalDpi="600" orientation="portrait" paperSize="9" scale="14"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I25"/>
  <sheetViews>
    <sheetView zoomScalePageLayoutView="0" workbookViewId="0" topLeftCell="A1">
      <selection activeCell="I22" sqref="I22"/>
    </sheetView>
  </sheetViews>
  <sheetFormatPr defaultColWidth="9.140625" defaultRowHeight="12.75"/>
  <cols>
    <col min="1" max="4" width="2.140625" style="5" customWidth="1"/>
    <col min="5" max="5" width="16.00390625" style="5" customWidth="1"/>
    <col min="6" max="7" width="17.00390625" style="5" customWidth="1"/>
    <col min="8" max="8" width="15.57421875" style="5" customWidth="1"/>
    <col min="9" max="9" width="19.28125" style="5" customWidth="1"/>
    <col min="10" max="13" width="9.140625" style="5" customWidth="1"/>
    <col min="14" max="14" width="15.57421875" style="5" bestFit="1" customWidth="1"/>
    <col min="15" max="16384" width="9.140625" style="5" customWidth="1"/>
  </cols>
  <sheetData>
    <row r="1" spans="1:9" ht="12.75">
      <c r="A1" s="82" t="str">
        <f>'2.Yhteenveto'!A1</f>
        <v>9.11.2015, Kuntaliitto / SL</v>
      </c>
      <c r="E1" s="97"/>
      <c r="F1" s="28"/>
      <c r="G1" s="28"/>
      <c r="H1" s="28"/>
      <c r="I1" s="28"/>
    </row>
    <row r="2" spans="5:9" ht="12.75">
      <c r="E2" s="97"/>
      <c r="F2" s="28"/>
      <c r="G2" s="28"/>
      <c r="H2" s="61"/>
      <c r="I2" s="61"/>
    </row>
    <row r="3" spans="1:9" ht="18">
      <c r="A3" s="268" t="s">
        <v>629</v>
      </c>
      <c r="B3" s="269"/>
      <c r="C3" s="269"/>
      <c r="D3" s="269"/>
      <c r="E3" s="269"/>
      <c r="F3" s="269"/>
      <c r="G3" s="269"/>
      <c r="H3" s="269"/>
      <c r="I3" s="270"/>
    </row>
    <row r="4" spans="1:9" ht="12.75">
      <c r="A4" s="28"/>
      <c r="B4" s="28"/>
      <c r="C4" s="28"/>
      <c r="D4" s="28"/>
      <c r="E4" s="28"/>
      <c r="F4" s="27"/>
      <c r="G4" s="28"/>
      <c r="H4" s="28"/>
      <c r="I4" s="28"/>
    </row>
    <row r="5" spans="1:9" ht="12.75">
      <c r="A5" s="28"/>
      <c r="B5" s="57" t="s">
        <v>53</v>
      </c>
      <c r="C5" s="28"/>
      <c r="D5" s="28"/>
      <c r="E5" s="42"/>
      <c r="F5" s="58" t="s">
        <v>434</v>
      </c>
      <c r="H5" s="67"/>
      <c r="I5" s="67"/>
    </row>
    <row r="6" spans="1:9" ht="12.75">
      <c r="A6" s="28"/>
      <c r="B6" s="28"/>
      <c r="C6" s="28"/>
      <c r="D6" s="28"/>
      <c r="E6" s="105"/>
      <c r="F6" s="58" t="s">
        <v>433</v>
      </c>
      <c r="H6" s="67"/>
      <c r="I6" s="67"/>
    </row>
    <row r="7" spans="1:9" ht="12.75">
      <c r="A7" s="28"/>
      <c r="B7" s="28"/>
      <c r="C7" s="28"/>
      <c r="D7" s="28"/>
      <c r="E7" s="28"/>
      <c r="F7" s="27"/>
      <c r="G7" s="28"/>
      <c r="H7" s="28"/>
      <c r="I7" s="28"/>
    </row>
    <row r="8" spans="2:9" ht="12.75">
      <c r="B8" s="87" t="s">
        <v>0</v>
      </c>
      <c r="F8" s="11" t="str">
        <f>'2.Yhteenveto'!G12</f>
        <v>Alajärvi</v>
      </c>
      <c r="G8" s="91"/>
      <c r="H8" s="28"/>
      <c r="I8" s="28"/>
    </row>
    <row r="9" spans="2:9" ht="12.75">
      <c r="B9" s="87" t="s">
        <v>627</v>
      </c>
      <c r="F9" s="158">
        <f>'2.Yhteenveto'!$H$13</f>
        <v>10171</v>
      </c>
      <c r="G9" s="91"/>
      <c r="H9" s="28"/>
      <c r="I9" s="28"/>
    </row>
    <row r="10" spans="5:9" ht="12.75">
      <c r="E10" s="27"/>
      <c r="F10" s="28"/>
      <c r="G10" s="28"/>
      <c r="H10" s="28"/>
      <c r="I10" s="157" t="s">
        <v>2</v>
      </c>
    </row>
    <row r="11" spans="2:9" ht="12.75">
      <c r="B11" s="27" t="s">
        <v>391</v>
      </c>
      <c r="F11" s="28"/>
      <c r="G11" s="28"/>
      <c r="H11" s="28"/>
      <c r="I11" s="157" t="s">
        <v>387</v>
      </c>
    </row>
    <row r="12" spans="3:9" ht="18" customHeight="1">
      <c r="C12" s="27" t="s">
        <v>390</v>
      </c>
      <c r="D12" s="27"/>
      <c r="F12" s="107" t="s">
        <v>5</v>
      </c>
      <c r="G12" s="107" t="s">
        <v>395</v>
      </c>
      <c r="H12" s="107" t="s">
        <v>6</v>
      </c>
      <c r="I12" s="103"/>
    </row>
    <row r="13" spans="5:9" ht="12.75">
      <c r="E13" s="28" t="s">
        <v>536</v>
      </c>
      <c r="F13" s="42">
        <f>INDEX(ikar_1,MATCH($F$8,kunta,0),1,1)</f>
        <v>708</v>
      </c>
      <c r="G13" s="99">
        <v>8635.07</v>
      </c>
      <c r="H13" s="88"/>
      <c r="I13" s="90">
        <f aca="true" t="shared" si="0" ref="I13:I21">F13*G13</f>
        <v>6113629.56</v>
      </c>
    </row>
    <row r="14" spans="5:9" ht="12.75">
      <c r="E14" s="28" t="s">
        <v>45</v>
      </c>
      <c r="F14" s="42">
        <f>INDEX(ikar_2,MATCH($F$8,kunta,0),1,1)</f>
        <v>131</v>
      </c>
      <c r="G14" s="99">
        <v>9155.51</v>
      </c>
      <c r="H14" s="88"/>
      <c r="I14" s="90">
        <f t="shared" si="0"/>
        <v>1199371.81</v>
      </c>
    </row>
    <row r="15" spans="5:9" ht="12.75">
      <c r="E15" s="28" t="s">
        <v>44</v>
      </c>
      <c r="F15" s="42">
        <f>INDEX(ikar_3,MATCH($F$8,kunta,0),1,1)</f>
        <v>736</v>
      </c>
      <c r="G15" s="99">
        <v>7509.81</v>
      </c>
      <c r="H15" s="88"/>
      <c r="I15" s="90">
        <f t="shared" si="0"/>
        <v>5527220.16</v>
      </c>
    </row>
    <row r="16" spans="5:9" ht="12.75">
      <c r="E16" s="28" t="s">
        <v>43</v>
      </c>
      <c r="F16" s="42">
        <f>INDEX(ikar_4,MATCH($F$8,kunta,0),1,1)</f>
        <v>425</v>
      </c>
      <c r="G16" s="99">
        <v>12889.31</v>
      </c>
      <c r="H16" s="88"/>
      <c r="I16" s="90">
        <f t="shared" si="0"/>
        <v>5477956.75</v>
      </c>
    </row>
    <row r="17" spans="5:9" ht="12.75">
      <c r="E17" s="28" t="s">
        <v>537</v>
      </c>
      <c r="F17" s="42">
        <f>INDEX(ikar_5,MATCH($F$8,kunta,0),1,1)</f>
        <v>403</v>
      </c>
      <c r="G17" s="99">
        <v>4111.74</v>
      </c>
      <c r="H17" s="88"/>
      <c r="I17" s="90">
        <f t="shared" si="0"/>
        <v>1657031.22</v>
      </c>
    </row>
    <row r="18" spans="5:9" ht="12.75">
      <c r="E18" s="28" t="s">
        <v>538</v>
      </c>
      <c r="F18" s="42">
        <f>INDEX(ikar_6,MATCH($F$8,kunta,0),1,1)</f>
        <v>5354</v>
      </c>
      <c r="G18" s="99">
        <v>1059.25</v>
      </c>
      <c r="H18" s="88"/>
      <c r="I18" s="90">
        <f t="shared" si="0"/>
        <v>5671224.5</v>
      </c>
    </row>
    <row r="19" spans="5:9" ht="12.75">
      <c r="E19" s="28" t="s">
        <v>392</v>
      </c>
      <c r="F19" s="42">
        <f>INDEX(ikar_7,MATCH($F$8,kunta,0),1,1)</f>
        <v>1223</v>
      </c>
      <c r="G19" s="99">
        <v>2174.09</v>
      </c>
      <c r="H19" s="88"/>
      <c r="I19" s="90">
        <f t="shared" si="0"/>
        <v>2658912.0700000003</v>
      </c>
    </row>
    <row r="20" spans="5:9" ht="12.75">
      <c r="E20" s="28" t="s">
        <v>393</v>
      </c>
      <c r="F20" s="42">
        <f>INDEX(ikar_8,MATCH($F$8,kunta,0),1,1)</f>
        <v>829</v>
      </c>
      <c r="G20" s="99">
        <v>5878.89</v>
      </c>
      <c r="H20" s="88"/>
      <c r="I20" s="90">
        <f t="shared" si="0"/>
        <v>4873599.8100000005</v>
      </c>
    </row>
    <row r="21" spans="3:9" ht="13.5" thickBot="1">
      <c r="C21" s="180"/>
      <c r="D21" s="180"/>
      <c r="E21" s="110" t="s">
        <v>394</v>
      </c>
      <c r="F21" s="181">
        <f>INDEX(ikar_9,MATCH($F$8,kunta,0),1,1)</f>
        <v>362</v>
      </c>
      <c r="G21" s="182">
        <v>19712.28</v>
      </c>
      <c r="H21" s="183"/>
      <c r="I21" s="184">
        <f t="shared" si="0"/>
        <v>7135845.359999999</v>
      </c>
    </row>
    <row r="22" spans="3:9" ht="13.5" thickTop="1">
      <c r="C22" s="16" t="s">
        <v>385</v>
      </c>
      <c r="D22" s="16"/>
      <c r="F22" s="14">
        <f>SUM(F13:F21)</f>
        <v>10171</v>
      </c>
      <c r="G22" s="89"/>
      <c r="H22" s="89"/>
      <c r="I22" s="22">
        <f>SUM(I13:I21)</f>
        <v>40314791.24</v>
      </c>
    </row>
    <row r="23" spans="5:9" ht="12.75">
      <c r="E23" s="28"/>
      <c r="F23" s="28"/>
      <c r="G23" s="88"/>
      <c r="H23" s="28"/>
      <c r="I23" s="28"/>
    </row>
    <row r="24" spans="1:9" ht="12.75">
      <c r="A24" s="95" t="s">
        <v>539</v>
      </c>
      <c r="B24" s="106"/>
      <c r="C24" s="106"/>
      <c r="D24" s="106"/>
      <c r="E24" s="106"/>
      <c r="F24" s="96"/>
      <c r="G24" s="98"/>
      <c r="H24" s="96"/>
      <c r="I24" s="102">
        <f>I22</f>
        <v>40314791.24</v>
      </c>
    </row>
    <row r="25" ht="12.75">
      <c r="I25" s="140" t="s">
        <v>435</v>
      </c>
    </row>
  </sheetData>
  <sheetProtection/>
  <protectedRanges>
    <protectedRange sqref="F13:F21" name="Alue1"/>
    <protectedRange sqref="H13:H17" name="Alue2"/>
    <protectedRange sqref="G13:G21" name="Alue6"/>
  </protectedRanges>
  <mergeCells count="1">
    <mergeCell ref="A3:I3"/>
  </mergeCells>
  <printOptions/>
  <pageMargins left="0.75" right="0.75" top="1" bottom="1" header="0.4921259845" footer="0.4921259845"/>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J79"/>
  <sheetViews>
    <sheetView zoomScalePageLayoutView="0" workbookViewId="0" topLeftCell="A1">
      <selection activeCell="H61" sqref="H61"/>
    </sheetView>
  </sheetViews>
  <sheetFormatPr defaultColWidth="9.140625" defaultRowHeight="12.75"/>
  <cols>
    <col min="1" max="2" width="2.00390625" style="0" customWidth="1"/>
    <col min="3" max="3" width="3.140625" style="0" customWidth="1"/>
    <col min="4" max="4" width="3.8515625" style="0" customWidth="1"/>
    <col min="5" max="5" width="16.8515625" style="0" customWidth="1"/>
    <col min="6" max="6" width="14.28125" style="0" customWidth="1"/>
    <col min="7" max="7" width="16.00390625" style="0" customWidth="1"/>
    <col min="8" max="8" width="11.140625" style="0" customWidth="1"/>
    <col min="9" max="9" width="6.140625" style="0" customWidth="1"/>
    <col min="10" max="10" width="13.7109375" style="0" bestFit="1" customWidth="1"/>
  </cols>
  <sheetData>
    <row r="1" spans="1:10" ht="12.75">
      <c r="A1" s="82" t="str">
        <f>'2.Yhteenveto'!A1</f>
        <v>9.11.2015, Kuntaliitto / SL</v>
      </c>
      <c r="F1" s="97"/>
      <c r="G1" s="6"/>
      <c r="H1" s="6"/>
      <c r="I1" s="6"/>
      <c r="J1" s="6"/>
    </row>
    <row r="2" spans="6:10" ht="12.75">
      <c r="F2" s="97"/>
      <c r="G2" s="6"/>
      <c r="H2" s="6"/>
      <c r="I2" s="6"/>
      <c r="J2" s="6"/>
    </row>
    <row r="3" spans="1:10" ht="15.75">
      <c r="A3" s="273" t="s">
        <v>540</v>
      </c>
      <c r="B3" s="274"/>
      <c r="C3" s="274"/>
      <c r="D3" s="274"/>
      <c r="E3" s="274"/>
      <c r="F3" s="274"/>
      <c r="G3" s="274"/>
      <c r="H3" s="274"/>
      <c r="I3" s="274"/>
      <c r="J3" s="275"/>
    </row>
    <row r="4" spans="1:10" ht="15.75">
      <c r="A4" s="276" t="s">
        <v>630</v>
      </c>
      <c r="B4" s="277"/>
      <c r="C4" s="277"/>
      <c r="D4" s="277"/>
      <c r="E4" s="277"/>
      <c r="F4" s="277"/>
      <c r="G4" s="277"/>
      <c r="H4" s="277"/>
      <c r="I4" s="277"/>
      <c r="J4" s="278"/>
    </row>
    <row r="5" spans="6:10" ht="12.75">
      <c r="F5" s="8"/>
      <c r="G5" s="8"/>
      <c r="H5" s="6"/>
      <c r="I5" s="6"/>
      <c r="J5" s="6"/>
    </row>
    <row r="6" spans="3:10" ht="12.75">
      <c r="C6" s="57" t="s">
        <v>53</v>
      </c>
      <c r="D6" s="28"/>
      <c r="E6" s="42"/>
      <c r="F6" s="58" t="s">
        <v>434</v>
      </c>
      <c r="I6" s="6"/>
      <c r="J6" s="6"/>
    </row>
    <row r="7" spans="3:10" ht="12.75">
      <c r="C7" s="28"/>
      <c r="D7" s="28"/>
      <c r="E7" s="105"/>
      <c r="F7" s="58" t="s">
        <v>433</v>
      </c>
      <c r="I7" s="6"/>
      <c r="J7" s="6"/>
    </row>
    <row r="8" spans="6:10" ht="12.75">
      <c r="F8" s="8"/>
      <c r="G8" s="8"/>
      <c r="H8" s="6"/>
      <c r="I8" s="6"/>
      <c r="J8" s="6"/>
    </row>
    <row r="9" spans="2:10" ht="15.75" customHeight="1">
      <c r="B9" s="87" t="s">
        <v>0</v>
      </c>
      <c r="E9" s="9"/>
      <c r="F9" s="158" t="str">
        <f>'2.Yhteenveto'!G12</f>
        <v>Alajärvi</v>
      </c>
      <c r="H9" s="6"/>
      <c r="I9" s="6"/>
      <c r="J9" s="6"/>
    </row>
    <row r="10" spans="2:10" ht="15.75" customHeight="1">
      <c r="B10" s="87" t="s">
        <v>627</v>
      </c>
      <c r="E10" s="8"/>
      <c r="F10" s="158">
        <f>'2.Yhteenveto'!$H$13</f>
        <v>10171</v>
      </c>
      <c r="H10" s="6"/>
      <c r="I10" s="6"/>
      <c r="J10" s="6"/>
    </row>
    <row r="11" spans="2:10" ht="15.75" customHeight="1">
      <c r="B11" s="87"/>
      <c r="E11" s="8"/>
      <c r="G11" s="8"/>
      <c r="H11" s="6"/>
      <c r="I11" s="6"/>
      <c r="J11" s="6"/>
    </row>
    <row r="12" spans="2:10" ht="15.75" customHeight="1">
      <c r="B12" s="27" t="s">
        <v>528</v>
      </c>
      <c r="G12" s="8"/>
      <c r="H12" s="236" t="s">
        <v>609</v>
      </c>
      <c r="I12" s="6"/>
      <c r="J12" s="188" t="s">
        <v>386</v>
      </c>
    </row>
    <row r="13" spans="2:10" ht="15.75" customHeight="1">
      <c r="B13" s="27"/>
      <c r="D13" s="5" t="s">
        <v>603</v>
      </c>
      <c r="G13" s="8"/>
      <c r="H13" s="234">
        <v>693.69</v>
      </c>
      <c r="I13" s="6"/>
      <c r="J13" s="188">
        <f>INDEX(sair_2,MATCH($F$9,kunta,0),1,1)</f>
        <v>9420410.597764682</v>
      </c>
    </row>
    <row r="14" spans="2:10" ht="15.75" customHeight="1">
      <c r="B14" s="27"/>
      <c r="D14" s="5" t="s">
        <v>604</v>
      </c>
      <c r="G14" s="8"/>
      <c r="H14" s="234">
        <v>1599.53</v>
      </c>
      <c r="I14" s="6"/>
      <c r="J14" s="188">
        <f>INDEX(sair_3,MATCH($F$9,kunta,0),1,1)</f>
        <v>5629819.496069645</v>
      </c>
    </row>
    <row r="15" spans="2:10" ht="15.75" customHeight="1" thickBot="1">
      <c r="B15" s="27"/>
      <c r="C15" s="113"/>
      <c r="D15" s="180" t="s">
        <v>605</v>
      </c>
      <c r="E15" s="113"/>
      <c r="F15" s="113"/>
      <c r="G15" s="226"/>
      <c r="H15" s="235">
        <v>149.85</v>
      </c>
      <c r="I15" s="226"/>
      <c r="J15" s="223">
        <f>INDEX(sair_4,MATCH($F$9,kunta,0),1,1)</f>
        <v>1910661.1229555327</v>
      </c>
    </row>
    <row r="16" spans="3:10" ht="15.75" customHeight="1" thickTop="1">
      <c r="C16" s="5" t="s">
        <v>541</v>
      </c>
      <c r="E16" s="8"/>
      <c r="G16" s="6"/>
      <c r="I16" s="15"/>
      <c r="J16" s="22">
        <f>INDEX(sair_1,MATCH($F$9,kunta,0),1,1)</f>
        <v>16960891.216789857</v>
      </c>
    </row>
    <row r="17" spans="3:10" ht="15.75" customHeight="1">
      <c r="C17" s="5"/>
      <c r="E17" s="8"/>
      <c r="G17" s="15"/>
      <c r="I17" s="15"/>
      <c r="J17" s="6"/>
    </row>
    <row r="18" spans="2:10" ht="15.75" customHeight="1">
      <c r="B18" s="27" t="s">
        <v>542</v>
      </c>
      <c r="C18" s="5"/>
      <c r="E18" s="8"/>
      <c r="G18" s="15"/>
      <c r="I18" s="15"/>
      <c r="J18" s="6"/>
    </row>
    <row r="19" spans="3:9" ht="15.75" customHeight="1">
      <c r="C19" s="1"/>
      <c r="G19" s="112"/>
      <c r="H19" s="15"/>
      <c r="I19" s="15"/>
    </row>
    <row r="20" spans="3:10" ht="15.75" customHeight="1">
      <c r="C20" s="12" t="s">
        <v>543</v>
      </c>
      <c r="F20" s="126" t="str">
        <f>$F$9</f>
        <v>Alajärvi</v>
      </c>
      <c r="G20" s="140" t="s">
        <v>547</v>
      </c>
      <c r="H20" s="24"/>
      <c r="I20" s="24"/>
      <c r="J20" s="25"/>
    </row>
    <row r="21" spans="4:10" ht="15.75" customHeight="1">
      <c r="D21" s="5" t="s">
        <v>544</v>
      </c>
      <c r="F21" s="30">
        <f>INDEX(muutla_1,MATCH($F$9,kunta,0),1,1)</f>
        <v>465</v>
      </c>
      <c r="G21" s="66">
        <f>SUM(muutla_1)</f>
        <v>324964</v>
      </c>
      <c r="H21" s="17"/>
      <c r="I21" s="18" t="e">
        <f>IF(F22&lt;=40,0.1*(LN(40)-LN(F22)),0)*#REF!</f>
        <v>#REF!</v>
      </c>
      <c r="J21" s="19"/>
    </row>
    <row r="22" spans="4:10" ht="15.75" customHeight="1" thickBot="1">
      <c r="D22" s="180" t="s">
        <v>546</v>
      </c>
      <c r="E22" s="210"/>
      <c r="F22" s="208">
        <f>INDEX(muutla_2,MATCH($F$9,kunta,0),1,1)</f>
        <v>4264</v>
      </c>
      <c r="G22" s="194">
        <f>SUM(muutla_2)</f>
        <v>2606835</v>
      </c>
      <c r="H22" s="17"/>
      <c r="I22" s="18"/>
      <c r="J22" s="19"/>
    </row>
    <row r="23" spans="4:9" ht="15.75" customHeight="1" thickTop="1">
      <c r="D23" s="5" t="s">
        <v>545</v>
      </c>
      <c r="F23" s="205">
        <f>F21/F22</f>
        <v>0.10905253283302063</v>
      </c>
      <c r="G23" s="204">
        <f>G21/G22</f>
        <v>0.12465844596992139</v>
      </c>
      <c r="H23" s="207">
        <f>F23/G23</f>
        <v>0.8748106234160317</v>
      </c>
      <c r="I23" s="18"/>
    </row>
    <row r="24" spans="3:10" ht="15.75" customHeight="1" thickBot="1">
      <c r="C24" s="113"/>
      <c r="D24" s="180" t="s">
        <v>437</v>
      </c>
      <c r="E24" s="113"/>
      <c r="F24" s="221"/>
      <c r="G24" s="113"/>
      <c r="H24" s="222">
        <v>90.33</v>
      </c>
      <c r="I24" s="220"/>
      <c r="J24" s="223" t="s">
        <v>386</v>
      </c>
    </row>
    <row r="25" spans="3:10" ht="15.75" customHeight="1" thickTop="1">
      <c r="C25" s="68" t="s">
        <v>567</v>
      </c>
      <c r="D25" s="15"/>
      <c r="H25" s="17"/>
      <c r="I25" s="18"/>
      <c r="J25" s="16">
        <f>H24*$F$10*H23</f>
        <v>803729.1371895535</v>
      </c>
    </row>
    <row r="26" spans="4:10" ht="15.75" customHeight="1">
      <c r="D26" s="15"/>
      <c r="H26" s="17"/>
      <c r="I26" s="18"/>
      <c r="J26" s="19"/>
    </row>
    <row r="27" spans="3:10" ht="15.75" customHeight="1">
      <c r="C27" s="12" t="s">
        <v>548</v>
      </c>
      <c r="D27" s="5"/>
      <c r="F27" s="126" t="str">
        <f>$F$9</f>
        <v>Alajärvi</v>
      </c>
      <c r="G27" s="140" t="s">
        <v>547</v>
      </c>
      <c r="H27" s="24"/>
      <c r="I27" s="24"/>
      <c r="J27" s="25"/>
    </row>
    <row r="28" spans="4:10" ht="15.75" customHeight="1">
      <c r="D28" s="5" t="s">
        <v>549</v>
      </c>
      <c r="F28" s="30">
        <f>INDEX(muutla_4,MATCH($F$9,kunta,0),1,1)</f>
        <v>248</v>
      </c>
      <c r="G28" s="66">
        <f>SUM(muutla_4)</f>
        <v>308320</v>
      </c>
      <c r="H28" s="17"/>
      <c r="I28" s="18" t="e">
        <f>IF(F29&lt;=40,0.1*(LN(40)-LN(F29)),0)*#REF!</f>
        <v>#REF!</v>
      </c>
      <c r="J28" s="19"/>
    </row>
    <row r="29" spans="4:10" ht="15.75" customHeight="1">
      <c r="D29" s="217" t="s">
        <v>550</v>
      </c>
      <c r="E29" s="56"/>
      <c r="F29" s="207">
        <f>F28/$F$10</f>
        <v>0.024383049847605937</v>
      </c>
      <c r="G29" s="212">
        <f>SUM(muutla_4)/SUM(vosC)</f>
        <v>0.056646928798345424</v>
      </c>
      <c r="H29" s="17"/>
      <c r="I29" s="18"/>
      <c r="J29" s="19"/>
    </row>
    <row r="30" spans="4:10" ht="15.75" customHeight="1" thickBot="1">
      <c r="D30" s="218" t="s">
        <v>551</v>
      </c>
      <c r="E30" s="214"/>
      <c r="F30" s="215"/>
      <c r="G30" s="216">
        <f>MIN(muutla_5)</f>
        <v>0.001723543605653223</v>
      </c>
      <c r="H30" s="17"/>
      <c r="I30" s="18"/>
      <c r="J30" s="19"/>
    </row>
    <row r="31" spans="4:9" ht="15.75" customHeight="1" thickTop="1">
      <c r="D31" s="5" t="s">
        <v>552</v>
      </c>
      <c r="F31" s="205"/>
      <c r="G31" s="204"/>
      <c r="H31" s="207">
        <f>F29-G30</f>
        <v>0.022659506241952714</v>
      </c>
      <c r="I31" s="18"/>
    </row>
    <row r="32" spans="3:10" ht="15.75" customHeight="1" thickBot="1">
      <c r="C32" s="113"/>
      <c r="D32" s="180" t="s">
        <v>437</v>
      </c>
      <c r="E32" s="113"/>
      <c r="F32" s="221"/>
      <c r="G32" s="113"/>
      <c r="H32" s="224">
        <v>1956.49</v>
      </c>
      <c r="I32" s="220"/>
      <c r="J32" s="223" t="s">
        <v>386</v>
      </c>
    </row>
    <row r="33" spans="3:10" ht="15.75" customHeight="1" thickTop="1">
      <c r="C33" s="68" t="s">
        <v>568</v>
      </c>
      <c r="D33" s="15"/>
      <c r="H33" s="17"/>
      <c r="I33" s="18"/>
      <c r="J33" s="16">
        <f>H32*$F$10*H31</f>
        <v>450911.933322992</v>
      </c>
    </row>
    <row r="34" spans="4:9" ht="15.75" customHeight="1">
      <c r="D34" s="15"/>
      <c r="H34" s="17"/>
      <c r="I34" s="18"/>
    </row>
    <row r="35" spans="3:10" ht="15.75" customHeight="1">
      <c r="C35" s="12" t="s">
        <v>423</v>
      </c>
      <c r="D35" s="5"/>
      <c r="F35" s="202"/>
      <c r="G35" s="203"/>
      <c r="H35" s="24"/>
      <c r="I35" s="24"/>
      <c r="J35" s="25"/>
    </row>
    <row r="36" spans="4:10" ht="15.75" customHeight="1">
      <c r="D36" s="5" t="s">
        <v>553</v>
      </c>
      <c r="G36" s="30">
        <f>INDEX(muutla_7,MATCH($F$9,kunta,0),1,1)</f>
        <v>0</v>
      </c>
      <c r="H36" s="17"/>
      <c r="I36" s="18" t="e">
        <f>IF(#REF!&lt;=40,0.1*(LN(40)-LN(#REF!)),0)*#REF!</f>
        <v>#REF!</v>
      </c>
      <c r="J36" s="19"/>
    </row>
    <row r="37" spans="4:10" ht="15.75" customHeight="1">
      <c r="D37" s="5"/>
      <c r="E37" s="68" t="s">
        <v>554</v>
      </c>
      <c r="G37" s="17"/>
      <c r="H37" s="17"/>
      <c r="I37" s="18"/>
      <c r="J37" s="19"/>
    </row>
    <row r="38" spans="4:10" ht="15.75" customHeight="1">
      <c r="D38" s="5"/>
      <c r="E38" s="68" t="s">
        <v>555</v>
      </c>
      <c r="G38" s="17"/>
      <c r="H38" s="17"/>
      <c r="I38" s="18"/>
      <c r="J38" s="19"/>
    </row>
    <row r="39" spans="4:10" ht="15.75" customHeight="1">
      <c r="D39" s="5"/>
      <c r="E39" s="68" t="s">
        <v>556</v>
      </c>
      <c r="G39" s="17"/>
      <c r="H39" s="17"/>
      <c r="I39" s="18"/>
      <c r="J39" s="19"/>
    </row>
    <row r="40" spans="4:10" ht="15.75" customHeight="1">
      <c r="D40" s="5"/>
      <c r="E40" s="68" t="s">
        <v>557</v>
      </c>
      <c r="G40" s="17"/>
      <c r="H40" s="17"/>
      <c r="I40" s="18"/>
      <c r="J40" s="19"/>
    </row>
    <row r="41" spans="4:10" ht="15.75" customHeight="1">
      <c r="D41" s="5"/>
      <c r="E41" s="68"/>
      <c r="F41" s="126" t="str">
        <f>$F$9</f>
        <v>Alajärvi</v>
      </c>
      <c r="G41" s="140" t="s">
        <v>547</v>
      </c>
      <c r="H41" s="17"/>
      <c r="I41" s="18"/>
      <c r="J41" s="19"/>
    </row>
    <row r="42" spans="4:10" ht="15.75" customHeight="1">
      <c r="D42" s="5" t="s">
        <v>560</v>
      </c>
      <c r="E42" s="68"/>
      <c r="F42" s="30">
        <f>INDEX(muutla_8,MATCH($F$9,kunta,0),1,1)</f>
        <v>11</v>
      </c>
      <c r="G42" s="66">
        <f>SUM(muutla_8)</f>
        <v>265216</v>
      </c>
      <c r="H42" s="17"/>
      <c r="I42" s="18"/>
      <c r="J42" s="19"/>
    </row>
    <row r="43" spans="4:10" ht="15.75" customHeight="1">
      <c r="D43" s="5" t="s">
        <v>437</v>
      </c>
      <c r="F43" s="205"/>
      <c r="H43" s="101">
        <v>278.54</v>
      </c>
      <c r="I43" s="18"/>
      <c r="J43" s="188" t="s">
        <v>386</v>
      </c>
    </row>
    <row r="44" spans="4:10" ht="15.75" customHeight="1">
      <c r="D44" s="5" t="s">
        <v>558</v>
      </c>
      <c r="E44" s="68"/>
      <c r="G44" s="17"/>
      <c r="H44" s="17"/>
      <c r="I44" s="18"/>
      <c r="J44" s="19">
        <f>IF(OR($G$36=1,$G$36=3),$F$10*$H$43*0.07,0)</f>
        <v>0</v>
      </c>
    </row>
    <row r="45" spans="3:10" ht="15.75" customHeight="1" thickBot="1">
      <c r="C45" s="113"/>
      <c r="D45" s="180" t="s">
        <v>559</v>
      </c>
      <c r="E45" s="209"/>
      <c r="F45" s="113"/>
      <c r="G45" s="219"/>
      <c r="H45" s="219"/>
      <c r="I45" s="220"/>
      <c r="J45" s="114">
        <f>IF(OR($G$36=1,$G$36=3),$H$43*F42*0.93,0)</f>
        <v>0</v>
      </c>
    </row>
    <row r="46" spans="3:10" ht="15.75" customHeight="1" thickTop="1">
      <c r="C46" s="68" t="s">
        <v>569</v>
      </c>
      <c r="D46" s="5"/>
      <c r="E46" s="68"/>
      <c r="G46" s="17"/>
      <c r="H46" s="17"/>
      <c r="I46" s="18"/>
      <c r="J46" s="16">
        <f>SUM(J44:J45)</f>
        <v>0</v>
      </c>
    </row>
    <row r="47" spans="4:10" ht="15.75" customHeight="1">
      <c r="D47" s="68"/>
      <c r="E47" s="68"/>
      <c r="G47" s="17"/>
      <c r="H47" s="17"/>
      <c r="I47" s="18"/>
      <c r="J47" s="19"/>
    </row>
    <row r="48" spans="3:10" ht="15.75" customHeight="1">
      <c r="C48" s="12" t="s">
        <v>561</v>
      </c>
      <c r="D48" s="5"/>
      <c r="F48" s="202"/>
      <c r="G48" s="203"/>
      <c r="H48" s="24"/>
      <c r="I48" s="24"/>
      <c r="J48" s="25"/>
    </row>
    <row r="49" spans="4:10" ht="15.75" customHeight="1">
      <c r="D49" s="5" t="s">
        <v>562</v>
      </c>
      <c r="G49" s="30">
        <f>INDEX(muutla_10,MATCH($F$9,kunta,0),1,1)</f>
        <v>0</v>
      </c>
      <c r="H49" s="17"/>
      <c r="I49" s="18" t="e">
        <f>IF(#REF!&lt;=40,0.1*(LN(40)-LN(#REF!)),0)*#REF!</f>
        <v>#REF!</v>
      </c>
      <c r="J49" s="19"/>
    </row>
    <row r="50" spans="4:10" ht="15.75" customHeight="1">
      <c r="D50" s="5"/>
      <c r="E50" s="68" t="s">
        <v>563</v>
      </c>
      <c r="G50" s="17"/>
      <c r="H50" s="17"/>
      <c r="I50" s="18"/>
      <c r="J50" s="19"/>
    </row>
    <row r="51" spans="4:10" ht="15.75" customHeight="1">
      <c r="D51" s="5"/>
      <c r="E51" s="68" t="s">
        <v>564</v>
      </c>
      <c r="G51" s="17"/>
      <c r="H51" s="17"/>
      <c r="I51" s="18"/>
      <c r="J51" s="19"/>
    </row>
    <row r="52" spans="4:10" ht="15.75" customHeight="1">
      <c r="D52" s="5"/>
      <c r="E52" s="68" t="s">
        <v>565</v>
      </c>
      <c r="G52" s="17"/>
      <c r="H52" s="17"/>
      <c r="I52" s="18"/>
      <c r="J52" s="19"/>
    </row>
    <row r="53" spans="4:10" ht="15.75" customHeight="1">
      <c r="D53" s="5"/>
      <c r="E53" s="68" t="s">
        <v>566</v>
      </c>
      <c r="G53" s="17"/>
      <c r="H53" s="17"/>
      <c r="I53" s="18"/>
      <c r="J53" s="188"/>
    </row>
    <row r="54" spans="3:10" ht="15.75" customHeight="1" thickBot="1">
      <c r="C54" s="113"/>
      <c r="D54" s="180" t="s">
        <v>437</v>
      </c>
      <c r="E54" s="113"/>
      <c r="F54" s="221"/>
      <c r="G54" s="113"/>
      <c r="H54" s="224">
        <v>383.36</v>
      </c>
      <c r="I54" s="220"/>
      <c r="J54" s="223" t="s">
        <v>386</v>
      </c>
    </row>
    <row r="55" spans="3:10" ht="15.75" customHeight="1" thickTop="1">
      <c r="C55" s="68" t="s">
        <v>570</v>
      </c>
      <c r="D55" s="15"/>
      <c r="H55" s="17"/>
      <c r="I55" s="18"/>
      <c r="J55" s="16">
        <f>IF($G$49=3,3*$H$54*$F$10,IF($G$49=2,$H$54*$F$10,0))</f>
        <v>0</v>
      </c>
    </row>
    <row r="56" spans="4:10" ht="15.75" customHeight="1">
      <c r="D56" s="68"/>
      <c r="E56" s="68"/>
      <c r="G56" s="17"/>
      <c r="H56" s="17"/>
      <c r="I56" s="18"/>
      <c r="J56" s="19"/>
    </row>
    <row r="57" spans="3:10" ht="15.75" customHeight="1">
      <c r="C57" s="12" t="s">
        <v>535</v>
      </c>
      <c r="D57" s="5"/>
      <c r="F57" s="126" t="str">
        <f>$F$9</f>
        <v>Alajärvi</v>
      </c>
      <c r="G57" s="140" t="s">
        <v>547</v>
      </c>
      <c r="H57" s="24"/>
      <c r="I57" s="24"/>
      <c r="J57" s="25"/>
    </row>
    <row r="58" spans="4:10" ht="15.75" customHeight="1">
      <c r="D58" s="5" t="s">
        <v>571</v>
      </c>
      <c r="F58" s="30">
        <f>INDEX(muutla_11,MATCH($F$9,kunta,0),1,1)</f>
        <v>1008.74</v>
      </c>
      <c r="G58" s="66">
        <f>SUM(muutla_11)</f>
        <v>302338.65999999986</v>
      </c>
      <c r="H58" s="17"/>
      <c r="I58" s="18" t="e">
        <f>IF(F59&lt;=40,0.1*(LN(40)-LN(F59)),0)*#REF!</f>
        <v>#REF!</v>
      </c>
      <c r="J58" s="19"/>
    </row>
    <row r="59" spans="4:10" ht="15.75" customHeight="1">
      <c r="D59" s="217" t="s">
        <v>535</v>
      </c>
      <c r="E59" s="56"/>
      <c r="F59" s="54">
        <f>$F$10/F58</f>
        <v>10.082875666673276</v>
      </c>
      <c r="G59" s="225">
        <f>SUM(vosC)/G58</f>
        <v>18.00245129088024</v>
      </c>
      <c r="H59" s="17"/>
      <c r="I59" s="18"/>
      <c r="J59" s="19"/>
    </row>
    <row r="60" spans="4:9" ht="15.75" customHeight="1">
      <c r="D60" s="5" t="s">
        <v>573</v>
      </c>
      <c r="F60" s="205"/>
      <c r="G60" s="204"/>
      <c r="H60" s="54">
        <f>$G$59/$F$59</f>
        <v>1.7854481088548357</v>
      </c>
      <c r="I60" s="18"/>
    </row>
    <row r="61" spans="3:10" ht="15.75" customHeight="1" thickBot="1">
      <c r="C61" s="113"/>
      <c r="D61" s="180" t="s">
        <v>437</v>
      </c>
      <c r="E61" s="113"/>
      <c r="F61" s="221"/>
      <c r="G61" s="113"/>
      <c r="H61" s="224">
        <v>39.36</v>
      </c>
      <c r="I61" s="220"/>
      <c r="J61" s="223" t="s">
        <v>386</v>
      </c>
    </row>
    <row r="62" spans="3:10" ht="15.75" customHeight="1" thickTop="1">
      <c r="C62" s="68" t="s">
        <v>572</v>
      </c>
      <c r="D62" s="15"/>
      <c r="H62" s="17"/>
      <c r="I62" s="18"/>
      <c r="J62" s="16">
        <f>$H$61*$F$10*MIN(20,H60)</f>
        <v>714769.4412687974</v>
      </c>
    </row>
    <row r="63" spans="4:10" ht="15.75" customHeight="1">
      <c r="D63" s="68"/>
      <c r="E63" s="68"/>
      <c r="G63" s="17"/>
      <c r="H63" s="17"/>
      <c r="I63" s="18"/>
      <c r="J63" s="19"/>
    </row>
    <row r="64" spans="3:10" ht="15.75" customHeight="1">
      <c r="C64" s="12" t="s">
        <v>574</v>
      </c>
      <c r="D64" s="5"/>
      <c r="F64" s="126" t="str">
        <f>$F$9</f>
        <v>Alajärvi</v>
      </c>
      <c r="G64" s="140" t="s">
        <v>547</v>
      </c>
      <c r="H64" s="24"/>
      <c r="I64" s="24"/>
      <c r="J64" s="25"/>
    </row>
    <row r="65" spans="3:10" ht="15.75" customHeight="1">
      <c r="C65" s="12"/>
      <c r="D65" s="5" t="s">
        <v>575</v>
      </c>
      <c r="F65" s="126"/>
      <c r="G65" s="140"/>
      <c r="H65" s="24"/>
      <c r="I65" s="24"/>
      <c r="J65" s="25"/>
    </row>
    <row r="66" spans="6:10" ht="15.75" customHeight="1">
      <c r="F66" s="30">
        <f>INDEX(muutla_14,MATCH($F$9,kunta,0),1,1)</f>
        <v>375</v>
      </c>
      <c r="G66" s="66">
        <f>SUM(muutla_14)</f>
        <v>246287</v>
      </c>
      <c r="H66" s="17"/>
      <c r="I66" s="18" t="e">
        <f>IF(F67&lt;=40,0.1*(LN(40)-LN(F67)),0)*#REF!</f>
        <v>#REF!</v>
      </c>
      <c r="J66" s="19"/>
    </row>
    <row r="67" spans="4:10" ht="15.75" customHeight="1">
      <c r="D67" s="217" t="s">
        <v>576</v>
      </c>
      <c r="E67" s="56"/>
      <c r="F67" s="30">
        <f>INDEX(muutla_15,MATCH($F$9,kunta,0),1,1)</f>
        <v>2751</v>
      </c>
      <c r="G67" s="66">
        <f>SUM(muutla_15)</f>
        <v>1739888</v>
      </c>
      <c r="H67" s="17"/>
      <c r="I67" s="18"/>
      <c r="J67" s="19"/>
    </row>
    <row r="68" spans="4:10" ht="15.75" customHeight="1">
      <c r="D68" s="217"/>
      <c r="E68" s="55"/>
      <c r="F68" s="207">
        <f>F66/F67</f>
        <v>0.13631406761177753</v>
      </c>
      <c r="G68" s="212">
        <f>G66/G67</f>
        <v>0.14155336435448718</v>
      </c>
      <c r="H68" s="17"/>
      <c r="I68" s="18"/>
      <c r="J68" s="19"/>
    </row>
    <row r="69" spans="4:10" ht="15.75" customHeight="1" thickBot="1">
      <c r="D69" s="218" t="s">
        <v>551</v>
      </c>
      <c r="E69" s="113"/>
      <c r="F69" s="211"/>
      <c r="G69" s="211">
        <f>MIN(muutla_16)</f>
        <v>0.06368885869565218</v>
      </c>
      <c r="H69" s="17"/>
      <c r="I69" s="18"/>
      <c r="J69" s="19"/>
    </row>
    <row r="70" spans="4:9" ht="15.75" customHeight="1" thickTop="1">
      <c r="D70" s="5" t="s">
        <v>578</v>
      </c>
      <c r="F70" s="205"/>
      <c r="G70" s="204"/>
      <c r="H70" s="206">
        <f>F68-G69</f>
        <v>0.07262520891612535</v>
      </c>
      <c r="I70" s="18"/>
    </row>
    <row r="71" spans="3:10" ht="15.75" customHeight="1" thickBot="1">
      <c r="C71" s="113"/>
      <c r="D71" s="180" t="s">
        <v>437</v>
      </c>
      <c r="E71" s="113"/>
      <c r="F71" s="221"/>
      <c r="G71" s="113"/>
      <c r="H71" s="224">
        <v>423.39</v>
      </c>
      <c r="I71" s="220"/>
      <c r="J71" s="223" t="s">
        <v>386</v>
      </c>
    </row>
    <row r="72" spans="3:10" ht="15.75" customHeight="1" thickTop="1">
      <c r="C72" s="68" t="s">
        <v>572</v>
      </c>
      <c r="D72" s="15"/>
      <c r="H72" s="17"/>
      <c r="I72" s="18"/>
      <c r="J72" s="16">
        <f>$H$71*$F$10*H70</f>
        <v>312745.9146416958</v>
      </c>
    </row>
    <row r="73" spans="4:10" ht="15.75" customHeight="1">
      <c r="D73" s="68"/>
      <c r="E73" s="68"/>
      <c r="G73" s="17"/>
      <c r="H73" s="17"/>
      <c r="I73" s="18"/>
      <c r="J73" s="19"/>
    </row>
    <row r="74" spans="3:10" ht="12.75" customHeight="1">
      <c r="C74" s="12"/>
      <c r="G74" s="9"/>
      <c r="H74" s="20"/>
      <c r="I74" s="20"/>
      <c r="J74" s="22"/>
    </row>
    <row r="75" spans="2:10" ht="15.75" customHeight="1">
      <c r="B75" s="84" t="s">
        <v>579</v>
      </c>
      <c r="C75" s="85"/>
      <c r="D75" s="85"/>
      <c r="E75" s="96"/>
      <c r="F75" s="85"/>
      <c r="G75" s="135"/>
      <c r="H75" s="187"/>
      <c r="I75" s="187"/>
      <c r="J75" s="102">
        <f>J25+J33+J46+J55+J62+J72</f>
        <v>2282156.4264230384</v>
      </c>
    </row>
    <row r="76" spans="5:10" ht="12" customHeight="1">
      <c r="E76" s="13"/>
      <c r="G76" s="23"/>
      <c r="H76" s="8"/>
      <c r="I76" s="8"/>
      <c r="J76" s="8"/>
    </row>
    <row r="77" spans="7:10" ht="12" customHeight="1">
      <c r="G77" s="27"/>
      <c r="H77" s="27"/>
      <c r="I77" s="27"/>
      <c r="J77" s="27"/>
    </row>
    <row r="78" spans="1:10" ht="15.75" customHeight="1">
      <c r="A78" s="95" t="s">
        <v>580</v>
      </c>
      <c r="B78" s="85"/>
      <c r="C78" s="85"/>
      <c r="D78" s="85"/>
      <c r="E78" s="85"/>
      <c r="F78" s="85"/>
      <c r="G78" s="96"/>
      <c r="H78" s="96"/>
      <c r="I78" s="96"/>
      <c r="J78" s="102">
        <f>J16+J75</f>
        <v>19243047.643212896</v>
      </c>
    </row>
    <row r="79" spans="6:10" ht="15.75" customHeight="1">
      <c r="F79" s="12"/>
      <c r="G79" s="27"/>
      <c r="H79" s="27"/>
      <c r="I79" s="27"/>
      <c r="J79" s="140" t="s">
        <v>435</v>
      </c>
    </row>
    <row r="80" ht="15.75" customHeight="1"/>
    <row r="81" ht="15.75" customHeight="1"/>
    <row r="82" ht="15.75" customHeight="1"/>
  </sheetData>
  <sheetProtection/>
  <protectedRanges>
    <protectedRange sqref="H71 H32 H24 H43 H54 H61" name="Alue5"/>
    <protectedRange sqref="G44:G47 F28:F32 G25:G26 F21:F24 G36:G40 F42:F43 G49:G53 G33:G34 F54 G55:G56 G62:G63 F58:F61 G72:G73 F66:F71" name="Alue3"/>
    <protectedRange sqref="G16"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J36"/>
  <sheetViews>
    <sheetView zoomScalePageLayoutView="0" workbookViewId="0" topLeftCell="A1">
      <selection activeCell="J35" sqref="J35"/>
    </sheetView>
  </sheetViews>
  <sheetFormatPr defaultColWidth="9.140625" defaultRowHeight="12.75"/>
  <cols>
    <col min="1" max="2" width="2.28125" style="8" customWidth="1"/>
    <col min="3" max="4" width="3.8515625" style="8" customWidth="1"/>
    <col min="5" max="5" width="24.28125" style="8" customWidth="1"/>
    <col min="6" max="6" width="26.421875" style="8" customWidth="1"/>
    <col min="7" max="7" width="10.8515625" style="8" bestFit="1" customWidth="1"/>
    <col min="8" max="8" width="10.8515625" style="8" customWidth="1"/>
    <col min="9" max="9" width="12.8515625" style="26" customWidth="1"/>
    <col min="10" max="10" width="12.140625" style="19" customWidth="1"/>
    <col min="11" max="16384" width="9.140625" style="8" customWidth="1"/>
  </cols>
  <sheetData>
    <row r="1" spans="1:6" ht="15.75">
      <c r="A1" s="82" t="str">
        <f>'2.Yhteenveto'!A1</f>
        <v>9.11.2015, Kuntaliitto / SL</v>
      </c>
      <c r="E1" s="50"/>
      <c r="F1" s="50"/>
    </row>
    <row r="2" spans="5:6" ht="15.75">
      <c r="E2" s="50"/>
      <c r="F2" s="50"/>
    </row>
    <row r="3" spans="1:10" ht="18">
      <c r="A3" s="268" t="s">
        <v>631</v>
      </c>
      <c r="B3" s="269"/>
      <c r="C3" s="269"/>
      <c r="D3" s="269"/>
      <c r="E3" s="269"/>
      <c r="F3" s="269"/>
      <c r="G3" s="269"/>
      <c r="H3" s="269"/>
      <c r="I3" s="269"/>
      <c r="J3" s="270"/>
    </row>
    <row r="4" spans="5:6" ht="12.75">
      <c r="E4" s="7"/>
      <c r="F4" s="7"/>
    </row>
    <row r="5" spans="3:6" ht="12.75">
      <c r="C5" s="57" t="s">
        <v>53</v>
      </c>
      <c r="D5" s="28"/>
      <c r="E5" s="42"/>
      <c r="F5" s="58" t="s">
        <v>434</v>
      </c>
    </row>
    <row r="6" spans="3:6" ht="12.75">
      <c r="C6" s="28"/>
      <c r="D6" s="28"/>
      <c r="E6" s="105"/>
      <c r="F6" s="58" t="s">
        <v>438</v>
      </c>
    </row>
    <row r="7" spans="5:6" ht="12.75">
      <c r="E7" s="7"/>
      <c r="F7" s="7"/>
    </row>
    <row r="8" spans="2:6" ht="12.75">
      <c r="B8" s="87" t="s">
        <v>0</v>
      </c>
      <c r="E8" s="12"/>
      <c r="F8" s="189" t="str">
        <f>'2.Yhteenveto'!G12</f>
        <v>Alajärvi</v>
      </c>
    </row>
    <row r="9" spans="2:6" ht="12.75">
      <c r="B9" s="87" t="s">
        <v>627</v>
      </c>
      <c r="E9" s="7"/>
      <c r="F9" s="158">
        <f>'2.Yhteenveto'!$H$13</f>
        <v>10171</v>
      </c>
    </row>
    <row r="10" ht="12.75">
      <c r="H10" s="52"/>
    </row>
    <row r="11" spans="3:10" ht="12.75">
      <c r="C11" s="27" t="s">
        <v>425</v>
      </c>
      <c r="G11" s="10"/>
      <c r="H11" s="11"/>
      <c r="I11" s="71"/>
      <c r="J11" s="70"/>
    </row>
    <row r="12" spans="3:10" ht="12.75">
      <c r="C12" s="28"/>
      <c r="D12" s="5" t="s">
        <v>437</v>
      </c>
      <c r="E12"/>
      <c r="F12" s="205"/>
      <c r="G12"/>
      <c r="H12" s="101">
        <v>208.16</v>
      </c>
      <c r="I12" s="71"/>
      <c r="J12" s="70"/>
    </row>
    <row r="13" spans="3:10" ht="12.75">
      <c r="C13" s="28"/>
      <c r="D13" s="28" t="s">
        <v>581</v>
      </c>
      <c r="G13" s="30">
        <f>INDEX(lo_1,MATCH($F$8,kunta,0),1,1)</f>
        <v>0</v>
      </c>
      <c r="H13" s="11"/>
      <c r="I13" s="71"/>
      <c r="J13" s="70"/>
    </row>
    <row r="14" spans="4:9" ht="12.75">
      <c r="D14" s="28" t="s">
        <v>584</v>
      </c>
      <c r="G14" s="31"/>
      <c r="H14" s="119" t="s">
        <v>439</v>
      </c>
      <c r="I14" s="186">
        <v>1</v>
      </c>
    </row>
    <row r="15" spans="4:9" ht="12.75">
      <c r="D15" s="28" t="s">
        <v>583</v>
      </c>
      <c r="G15" s="31"/>
      <c r="H15" s="119" t="s">
        <v>439</v>
      </c>
      <c r="I15" s="185">
        <v>1.5</v>
      </c>
    </row>
    <row r="16" spans="3:10" ht="13.5" thickBot="1">
      <c r="C16" s="226"/>
      <c r="D16" s="227" t="s">
        <v>582</v>
      </c>
      <c r="E16" s="226"/>
      <c r="F16" s="226"/>
      <c r="G16" s="111"/>
      <c r="H16" s="228" t="s">
        <v>439</v>
      </c>
      <c r="I16" s="229">
        <v>3</v>
      </c>
      <c r="J16" s="223" t="s">
        <v>386</v>
      </c>
    </row>
    <row r="17" spans="3:10" ht="13.5" thickTop="1">
      <c r="C17" s="120" t="s">
        <v>585</v>
      </c>
      <c r="D17" s="36"/>
      <c r="H17" s="119"/>
      <c r="I17" s="186"/>
      <c r="J17" s="19">
        <f>IF(G13&gt;=1.5,3*($H$12*$F$9*G13),IF(G13&gt;=1,1.5*($H$12*$F$9*G13),($H$12*$F$9*G13)))</f>
        <v>0</v>
      </c>
    </row>
    <row r="18" spans="4:9" ht="12.75">
      <c r="D18" s="36"/>
      <c r="H18" s="119"/>
      <c r="I18" s="186"/>
    </row>
    <row r="19" spans="3:9" ht="12.75">
      <c r="C19" s="27" t="s">
        <v>586</v>
      </c>
      <c r="F19" s="126" t="str">
        <f>$F$8</f>
        <v>Alajärvi</v>
      </c>
      <c r="G19" s="140" t="s">
        <v>547</v>
      </c>
      <c r="H19" s="119"/>
      <c r="I19" s="186"/>
    </row>
    <row r="20" spans="4:10" ht="15.75" customHeight="1">
      <c r="D20" s="5" t="s">
        <v>587</v>
      </c>
      <c r="F20" s="30">
        <f>INDEX(lo_2,MATCH($F$8,kunta,0),1,1)</f>
        <v>3430</v>
      </c>
      <c r="G20" s="66">
        <f>SUM(lo_2)</f>
        <v>2286406</v>
      </c>
      <c r="H20" s="17"/>
      <c r="I20" s="18" t="e">
        <f>IF(F21&lt;=40,0.1*(LN(40)-LN(F21)),0)*#REF!</f>
        <v>#REF!</v>
      </c>
      <c r="J20" s="19"/>
    </row>
    <row r="21" spans="4:9" ht="15.75" customHeight="1">
      <c r="D21" s="217" t="s">
        <v>588</v>
      </c>
      <c r="E21" s="56"/>
      <c r="F21" s="30">
        <f>INDEX(lo_3,MATCH($F$8,kunta,0),1,1)</f>
        <v>3611</v>
      </c>
      <c r="G21" s="230">
        <f>SUM(lo_3)</f>
        <v>2287823</v>
      </c>
      <c r="H21" s="17"/>
      <c r="I21" s="18"/>
    </row>
    <row r="22" spans="4:9" ht="15.75" customHeight="1">
      <c r="D22" s="5" t="s">
        <v>577</v>
      </c>
      <c r="F22" s="205">
        <f>F20/F21</f>
        <v>0.9498753807809471</v>
      </c>
      <c r="G22" s="204">
        <f>G20/G21</f>
        <v>0.9993806339039341</v>
      </c>
      <c r="I22" s="18"/>
    </row>
    <row r="23" spans="4:9" ht="15.75" customHeight="1">
      <c r="D23" s="5" t="s">
        <v>551</v>
      </c>
      <c r="F23" s="205"/>
      <c r="G23" s="204"/>
      <c r="H23" s="207">
        <f>MIN(lo_4)</f>
        <v>0.42963885429638854</v>
      </c>
      <c r="I23" s="18"/>
    </row>
    <row r="24" spans="4:9" ht="15.75" customHeight="1">
      <c r="D24" s="5" t="s">
        <v>589</v>
      </c>
      <c r="F24" s="205"/>
      <c r="G24" s="204"/>
      <c r="H24" s="213">
        <f>F22-H23</f>
        <v>0.5202365264845585</v>
      </c>
      <c r="I24" s="18"/>
    </row>
    <row r="25" spans="3:10" ht="15.75" customHeight="1" thickBot="1">
      <c r="C25" s="113"/>
      <c r="D25" s="180" t="s">
        <v>437</v>
      </c>
      <c r="E25" s="113"/>
      <c r="F25" s="221"/>
      <c r="G25" s="113"/>
      <c r="H25" s="222">
        <v>63.17</v>
      </c>
      <c r="I25" s="220"/>
      <c r="J25" s="223" t="s">
        <v>386</v>
      </c>
    </row>
    <row r="26" spans="3:10" ht="15.75" customHeight="1" thickTop="1">
      <c r="C26" s="68" t="s">
        <v>567</v>
      </c>
      <c r="D26" s="15"/>
      <c r="H26" s="17"/>
      <c r="I26" s="18"/>
      <c r="J26" s="16">
        <f>$F$9*$H$25*H24</f>
        <v>334253.0451559387</v>
      </c>
    </row>
    <row r="27" ht="12.75">
      <c r="H27" s="119"/>
    </row>
    <row r="28" spans="3:8" ht="12.75">
      <c r="C28" s="27" t="s">
        <v>590</v>
      </c>
      <c r="H28" s="119"/>
    </row>
    <row r="29" spans="3:8" ht="12.75">
      <c r="C29" s="27"/>
      <c r="D29" s="28" t="s">
        <v>591</v>
      </c>
      <c r="G29" s="31">
        <f>INDEX(lo_6,MATCH($F$8,kunta,0),1,1)</f>
        <v>0</v>
      </c>
      <c r="H29" s="119"/>
    </row>
    <row r="30" spans="4:10" ht="15.75" customHeight="1">
      <c r="D30" s="5" t="s">
        <v>592</v>
      </c>
      <c r="F30" s="30">
        <f>INDEX(lo_7,MATCH($F$8,kunta,0),1,1)</f>
        <v>0</v>
      </c>
      <c r="G30" s="66">
        <f>SUM(lo_7)</f>
        <v>1949</v>
      </c>
      <c r="H30" s="17"/>
      <c r="I30" s="18" t="e">
        <f>IF(#REF!&lt;=40,0.1*(LN(40)-LN(#REF!)),0)*#REF!</f>
        <v>#REF!</v>
      </c>
      <c r="J30" s="19"/>
    </row>
    <row r="31" spans="3:10" ht="15.75" customHeight="1" thickBot="1">
      <c r="C31" s="113"/>
      <c r="D31" s="180" t="s">
        <v>437</v>
      </c>
      <c r="E31" s="113"/>
      <c r="F31" s="221"/>
      <c r="G31" s="113"/>
      <c r="H31" s="222">
        <v>2643.84</v>
      </c>
      <c r="I31" s="220"/>
      <c r="J31" s="223" t="s">
        <v>386</v>
      </c>
    </row>
    <row r="32" spans="3:10" ht="13.5" thickTop="1">
      <c r="C32" s="27"/>
      <c r="D32" s="28"/>
      <c r="G32" s="26"/>
      <c r="H32" s="119"/>
      <c r="J32" s="19">
        <f>IF(G29=1,$H$31*$F$9*(F30/F9),0)</f>
        <v>0</v>
      </c>
    </row>
    <row r="33" spans="3:8" ht="12.75">
      <c r="C33" s="27"/>
      <c r="D33" s="28"/>
      <c r="G33" s="26"/>
      <c r="H33" s="119"/>
    </row>
    <row r="35" spans="2:10" ht="15.75" customHeight="1">
      <c r="B35" s="95" t="s">
        <v>593</v>
      </c>
      <c r="C35" s="135"/>
      <c r="D35" s="135"/>
      <c r="E35" s="135"/>
      <c r="F35" s="96"/>
      <c r="G35" s="135"/>
      <c r="H35" s="135"/>
      <c r="I35" s="187"/>
      <c r="J35" s="102">
        <f>SUM(J14:J33)</f>
        <v>334253.0451559387</v>
      </c>
    </row>
    <row r="36" ht="12.75">
      <c r="J36" s="140" t="s">
        <v>435</v>
      </c>
    </row>
  </sheetData>
  <sheetProtection/>
  <protectedRanges>
    <protectedRange sqref="G14:G18 G27:G29 G32:G33" name="Alue2"/>
    <protectedRange sqref="G13" name="Alue3"/>
    <protectedRange sqref="H12" name="Alue5"/>
    <protectedRange sqref="F12" name="Alue3_1"/>
    <protectedRange sqref="H25 H31" name="Alue5_1"/>
    <protectedRange sqref="G26 F20:F25 F30:F31" name="Alue3_2"/>
  </protectedRanges>
  <mergeCells count="1">
    <mergeCell ref="A3:J3"/>
  </mergeCells>
  <printOptions/>
  <pageMargins left="0.75" right="0.75" top="1" bottom="1" header="0.4921259845" footer="0.4921259845"/>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V74"/>
  <sheetViews>
    <sheetView zoomScalePageLayoutView="0" workbookViewId="0" topLeftCell="A1">
      <selection activeCell="I62" sqref="I62"/>
    </sheetView>
  </sheetViews>
  <sheetFormatPr defaultColWidth="9.140625" defaultRowHeight="12.75"/>
  <cols>
    <col min="1" max="4" width="2.57421875" style="0" customWidth="1"/>
    <col min="5" max="5" width="14.421875" style="0" customWidth="1"/>
    <col min="6" max="6" width="24.140625" style="0" customWidth="1"/>
    <col min="7" max="7" width="10.7109375" style="0" customWidth="1"/>
    <col min="8" max="8" width="11.28125" style="0" customWidth="1"/>
    <col min="9" max="9" width="14.421875" style="0" customWidth="1"/>
    <col min="10" max="10" width="9.57421875" style="0" bestFit="1"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5.75">
      <c r="A1" s="82" t="str">
        <f>'2.Yhteenveto'!A1</f>
        <v>9.11.2015, Kuntaliitto / SL</v>
      </c>
      <c r="F1" s="50"/>
      <c r="G1" s="50"/>
      <c r="H1" s="72"/>
      <c r="I1" s="66"/>
    </row>
    <row r="2" spans="6:9" ht="12.75">
      <c r="F2" s="63"/>
      <c r="G2" s="63"/>
      <c r="H2" s="72"/>
      <c r="I2" s="66"/>
    </row>
    <row r="3" spans="1:9" ht="18">
      <c r="A3" s="268" t="s">
        <v>633</v>
      </c>
      <c r="B3" s="269"/>
      <c r="C3" s="269"/>
      <c r="D3" s="269"/>
      <c r="E3" s="269"/>
      <c r="F3" s="269"/>
      <c r="G3" s="269"/>
      <c r="H3" s="269"/>
      <c r="I3" s="270"/>
    </row>
    <row r="4" spans="8:9" ht="12.75">
      <c r="H4" s="72"/>
      <c r="I4" s="66"/>
    </row>
    <row r="5" spans="2:9" ht="12.75">
      <c r="B5" s="57" t="s">
        <v>53</v>
      </c>
      <c r="C5" s="28"/>
      <c r="D5" s="28"/>
      <c r="E5" s="42"/>
      <c r="F5" s="58" t="s">
        <v>434</v>
      </c>
      <c r="G5" s="58"/>
      <c r="I5" s="66"/>
    </row>
    <row r="6" spans="2:9" ht="12.75">
      <c r="B6" s="28"/>
      <c r="C6" s="28"/>
      <c r="D6" s="28"/>
      <c r="E6" s="105"/>
      <c r="F6" s="58" t="s">
        <v>433</v>
      </c>
      <c r="G6" s="58"/>
      <c r="I6" s="66"/>
    </row>
    <row r="7" spans="8:9" ht="12.75">
      <c r="H7" s="72"/>
      <c r="I7" s="66"/>
    </row>
    <row r="8" spans="2:9" ht="12.75">
      <c r="B8" s="87" t="s">
        <v>0</v>
      </c>
      <c r="F8" s="190" t="str">
        <f>'2.Yhteenveto'!G12</f>
        <v>Alajärvi</v>
      </c>
      <c r="I8" s="66"/>
    </row>
    <row r="9" spans="2:9" ht="12.75">
      <c r="B9" s="87" t="s">
        <v>627</v>
      </c>
      <c r="F9" s="191">
        <f>'2.Yhteenveto'!H13</f>
        <v>10171</v>
      </c>
      <c r="I9" s="66"/>
    </row>
    <row r="10" spans="8:9" ht="12.75">
      <c r="H10" s="72"/>
      <c r="I10" s="66"/>
    </row>
    <row r="11" spans="2:9" ht="12.75">
      <c r="B11" s="1" t="s">
        <v>63</v>
      </c>
      <c r="H11" s="125" t="s">
        <v>1</v>
      </c>
      <c r="I11" s="126" t="s">
        <v>386</v>
      </c>
    </row>
    <row r="12" spans="8:9" ht="12.75">
      <c r="H12" s="72"/>
      <c r="I12" s="66"/>
    </row>
    <row r="13" spans="3:9" ht="12.75">
      <c r="C13" s="5" t="s">
        <v>440</v>
      </c>
      <c r="H13" s="122">
        <v>0.1</v>
      </c>
      <c r="I13" s="66">
        <f>$F$9*-H13</f>
        <v>-1017.1</v>
      </c>
    </row>
    <row r="14" spans="8:9" ht="12.75">
      <c r="H14" s="73"/>
      <c r="I14" s="66"/>
    </row>
    <row r="15" spans="3:9" ht="12.75">
      <c r="C15" s="5" t="s">
        <v>449</v>
      </c>
      <c r="H15" s="122">
        <v>0.24</v>
      </c>
      <c r="I15" s="66">
        <f>$F$9*-H15</f>
        <v>-2441.04</v>
      </c>
    </row>
    <row r="16" spans="8:9" ht="12.75">
      <c r="H16" s="73"/>
      <c r="I16" s="66"/>
    </row>
    <row r="17" spans="3:9" ht="12.75">
      <c r="C17" s="5" t="s">
        <v>451</v>
      </c>
      <c r="H17" s="122">
        <v>4.1</v>
      </c>
      <c r="I17" s="66">
        <f>$F$9*-H17</f>
        <v>-41701.1</v>
      </c>
    </row>
    <row r="18" spans="8:9" ht="12.75">
      <c r="H18" s="72"/>
      <c r="I18" s="66"/>
    </row>
    <row r="19" spans="3:9" ht="12.75">
      <c r="C19" s="5" t="s">
        <v>450</v>
      </c>
      <c r="H19" s="122">
        <v>0.37</v>
      </c>
      <c r="I19" s="66">
        <f>$F$9*-H19</f>
        <v>-3763.27</v>
      </c>
    </row>
    <row r="20" spans="8:9" ht="12.75">
      <c r="H20" s="72"/>
      <c r="I20" s="66"/>
    </row>
    <row r="21" spans="3:9" ht="12.75">
      <c r="C21" s="5" t="s">
        <v>594</v>
      </c>
      <c r="H21" s="122">
        <v>5.33</v>
      </c>
      <c r="I21" s="66">
        <f>$F$9*-H21</f>
        <v>-54211.43</v>
      </c>
    </row>
    <row r="22" spans="8:9" ht="12.75">
      <c r="H22" s="73"/>
      <c r="I22" s="66"/>
    </row>
    <row r="23" spans="3:9" ht="12.75">
      <c r="C23" s="5" t="s">
        <v>595</v>
      </c>
      <c r="H23" s="73"/>
      <c r="I23" s="66"/>
    </row>
    <row r="24" spans="4:9" ht="12.75">
      <c r="D24" s="5" t="s">
        <v>596</v>
      </c>
      <c r="H24" s="122">
        <v>0.12</v>
      </c>
      <c r="I24" s="66">
        <f>$F$9*-H24</f>
        <v>-1220.52</v>
      </c>
    </row>
    <row r="25" spans="8:9" ht="12.75">
      <c r="H25" s="72"/>
      <c r="I25" s="66"/>
    </row>
    <row r="26" spans="3:9" ht="12.75">
      <c r="C26" s="5" t="s">
        <v>634</v>
      </c>
      <c r="H26" s="122">
        <v>6.32</v>
      </c>
      <c r="I26" s="66">
        <f>$F$9*-H26</f>
        <v>-64280.72</v>
      </c>
    </row>
    <row r="27" spans="8:9" ht="12.75">
      <c r="H27" s="73"/>
      <c r="I27" s="66"/>
    </row>
    <row r="28" spans="3:9" ht="12.75">
      <c r="C28" s="5" t="s">
        <v>635</v>
      </c>
      <c r="H28" s="122">
        <v>2.35</v>
      </c>
      <c r="I28" s="66">
        <f>$F$9*-H28</f>
        <v>-23901.850000000002</v>
      </c>
    </row>
    <row r="29" spans="8:9" ht="12.75">
      <c r="H29" s="72"/>
      <c r="I29" s="66"/>
    </row>
    <row r="30" spans="2:9" ht="12.75">
      <c r="B30" s="92" t="s">
        <v>67</v>
      </c>
      <c r="C30" s="93"/>
      <c r="D30" s="93"/>
      <c r="E30" s="93"/>
      <c r="F30" s="93"/>
      <c r="G30" s="93"/>
      <c r="H30" s="123"/>
      <c r="I30" s="94">
        <f>SUM(I13:I28)</f>
        <v>-192537.03</v>
      </c>
    </row>
    <row r="31" spans="8:9" ht="12.75">
      <c r="H31" s="72"/>
      <c r="I31" s="66"/>
    </row>
    <row r="32" spans="8:9" ht="12.75">
      <c r="H32" s="72"/>
      <c r="I32" s="66"/>
    </row>
    <row r="33" spans="2:9" ht="12.75">
      <c r="B33" s="1" t="s">
        <v>64</v>
      </c>
      <c r="H33" s="125" t="s">
        <v>1</v>
      </c>
      <c r="I33" s="126" t="s">
        <v>386</v>
      </c>
    </row>
    <row r="34" spans="2:9" ht="12.75">
      <c r="B34" s="1"/>
      <c r="H34" s="72"/>
      <c r="I34" s="66"/>
    </row>
    <row r="35" spans="3:9" ht="12.75">
      <c r="C35" s="5" t="s">
        <v>445</v>
      </c>
      <c r="H35" s="72"/>
      <c r="I35" s="30">
        <f>INDEX(vl_7,MATCH($F$8,kunta,0),1,1)</f>
        <v>-188872</v>
      </c>
    </row>
    <row r="36" spans="8:9" ht="12.75">
      <c r="H36" s="72"/>
      <c r="I36" s="66"/>
    </row>
    <row r="37" spans="3:9" ht="12.75">
      <c r="C37" s="5" t="s">
        <v>599</v>
      </c>
      <c r="H37" s="72"/>
      <c r="I37" s="30">
        <f>INDEX(vl_8,MATCH($F$8,kunta,0),1,1)</f>
        <v>191146.63372095674</v>
      </c>
    </row>
    <row r="38" spans="8:9" ht="12.75">
      <c r="H38" s="72"/>
      <c r="I38" s="66"/>
    </row>
    <row r="39" spans="3:9" ht="12.75">
      <c r="C39" s="5" t="s">
        <v>441</v>
      </c>
      <c r="H39" s="72"/>
      <c r="I39" s="30">
        <f>INDEX(vl_9,MATCH($F$8,kunta,0),1,1)</f>
        <v>982443</v>
      </c>
    </row>
    <row r="40" spans="8:9" ht="12.75">
      <c r="H40" s="72"/>
      <c r="I40" s="66"/>
    </row>
    <row r="41" spans="3:9" ht="12.75">
      <c r="C41" s="5" t="s">
        <v>442</v>
      </c>
      <c r="H41" s="72"/>
      <c r="I41" s="30">
        <f>INDEX(vl_10,MATCH($F$8,kunta,0),1,1)</f>
        <v>316760</v>
      </c>
    </row>
    <row r="42" spans="8:9" ht="12.75">
      <c r="H42" s="72"/>
      <c r="I42" s="66"/>
    </row>
    <row r="43" spans="3:9" ht="12.75">
      <c r="C43" s="5" t="s">
        <v>443</v>
      </c>
      <c r="H43" s="72"/>
      <c r="I43" s="30">
        <f>INDEX(vl_11,MATCH($F$8,kunta,0),1,1)</f>
        <v>854672.9711615616</v>
      </c>
    </row>
    <row r="44" spans="8:9" ht="12.75">
      <c r="H44" s="72"/>
      <c r="I44" s="66"/>
    </row>
    <row r="45" spans="3:9" ht="12.75">
      <c r="C45" s="5" t="s">
        <v>444</v>
      </c>
      <c r="H45" s="72"/>
      <c r="I45" s="30">
        <f>INDEX(vl_12,MATCH($F$8,kunta,0),1,1)</f>
        <v>45846.99735082741</v>
      </c>
    </row>
    <row r="46" spans="8:9" ht="12.75">
      <c r="H46" s="72"/>
      <c r="I46" s="66"/>
    </row>
    <row r="47" spans="3:9" ht="12.75">
      <c r="C47" s="5" t="s">
        <v>597</v>
      </c>
      <c r="H47" s="72"/>
      <c r="I47" s="30">
        <f>INDEX(vl_13,MATCH($F$8,kunta,0),1,1)</f>
        <v>104017.12567895393</v>
      </c>
    </row>
    <row r="48" spans="8:9" ht="12.75">
      <c r="H48" s="72"/>
      <c r="I48" s="66"/>
    </row>
    <row r="49" spans="3:9" ht="12.75">
      <c r="C49" s="5" t="s">
        <v>598</v>
      </c>
      <c r="H49" s="72"/>
      <c r="I49" s="30">
        <f>INDEX(vl_14,MATCH($F$8,kunta,0),1,1)</f>
        <v>405909.5598663371</v>
      </c>
    </row>
    <row r="50" spans="3:8" ht="12.75">
      <c r="C50" s="5"/>
      <c r="H50" s="72"/>
    </row>
    <row r="51" spans="3:9" ht="12.75">
      <c r="C51" s="5" t="s">
        <v>636</v>
      </c>
      <c r="H51" s="72"/>
      <c r="I51" s="30">
        <f>INDEX(vl_19,MATCH($F$8,kunta,0),1,1)</f>
        <v>564026.4577365128</v>
      </c>
    </row>
    <row r="52" spans="3:8" ht="12.75">
      <c r="C52" s="5"/>
      <c r="H52" s="72"/>
    </row>
    <row r="53" spans="3:9" ht="12.75">
      <c r="C53" s="5" t="s">
        <v>448</v>
      </c>
      <c r="H53" s="122">
        <v>0.09</v>
      </c>
      <c r="I53" s="66">
        <f>$F$9*H53</f>
        <v>915.39</v>
      </c>
    </row>
    <row r="54" spans="3:9" ht="12.75">
      <c r="C54" s="5"/>
      <c r="I54" s="66"/>
    </row>
    <row r="55" spans="3:9" ht="12.75">
      <c r="C55" s="5" t="s">
        <v>625</v>
      </c>
      <c r="H55" s="72"/>
      <c r="I55" s="30">
        <f>INDEX(vl_16,MATCH($F$8,kunta,0),1,1)</f>
        <v>-11106.588389629876</v>
      </c>
    </row>
    <row r="56" spans="3:8" ht="12.75">
      <c r="C56" s="5"/>
      <c r="H56" s="72"/>
    </row>
    <row r="57" spans="8:9" ht="12.75">
      <c r="H57" s="72"/>
      <c r="I57" s="66"/>
    </row>
    <row r="58" spans="2:9" ht="12.75">
      <c r="B58" s="92" t="s">
        <v>65</v>
      </c>
      <c r="C58" s="93"/>
      <c r="D58" s="93"/>
      <c r="E58" s="93"/>
      <c r="F58" s="93"/>
      <c r="G58" s="93"/>
      <c r="H58" s="123"/>
      <c r="I58" s="231">
        <f>INDEX(vl_17,MATCH($F$8,kunta,0),1,1)</f>
        <v>3265759.5471255193</v>
      </c>
    </row>
    <row r="59" spans="8:9" ht="12.75">
      <c r="H59" s="72"/>
      <c r="I59" s="66"/>
    </row>
    <row r="60" spans="1:9" ht="12.75">
      <c r="A60" s="84" t="s">
        <v>66</v>
      </c>
      <c r="B60" s="85"/>
      <c r="C60" s="85"/>
      <c r="D60" s="85"/>
      <c r="E60" s="85"/>
      <c r="F60" s="85"/>
      <c r="G60" s="85"/>
      <c r="H60" s="124"/>
      <c r="I60" s="86">
        <f>I30+I58</f>
        <v>3073222.5171255195</v>
      </c>
    </row>
    <row r="61" ht="12.75">
      <c r="I61" s="140" t="s">
        <v>435</v>
      </c>
    </row>
    <row r="74" spans="5:22" ht="12.75">
      <c r="E74" s="193"/>
      <c r="F74" s="193"/>
      <c r="G74" s="193"/>
      <c r="H74" s="193"/>
      <c r="I74" s="193"/>
      <c r="J74" s="193"/>
      <c r="K74" s="193"/>
      <c r="L74" s="193"/>
      <c r="M74" s="193"/>
      <c r="N74" s="193"/>
      <c r="O74" s="193"/>
      <c r="P74" s="193"/>
      <c r="Q74" s="193"/>
      <c r="R74" s="193"/>
      <c r="S74" s="193"/>
      <c r="T74" s="193"/>
      <c r="U74" s="193"/>
      <c r="V74" s="193"/>
    </row>
  </sheetData>
  <sheetProtection/>
  <protectedRanges>
    <protectedRange sqref="H21:H24 H13:H16 H26:H28" name="Alue1"/>
    <protectedRange sqref="I55:I56 I58 I35:I52" name="Alue2"/>
    <protectedRange sqref="H53:H54" name="Alue3"/>
    <protectedRange sqref="H19" name="Alue1_2"/>
  </protectedRanges>
  <mergeCells count="1">
    <mergeCell ref="A3:I3"/>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J26"/>
  <sheetViews>
    <sheetView zoomScalePageLayoutView="0" workbookViewId="0" topLeftCell="A1">
      <selection activeCell="J23" sqref="J23"/>
    </sheetView>
  </sheetViews>
  <sheetFormatPr defaultColWidth="9.140625" defaultRowHeight="12.75"/>
  <cols>
    <col min="1" max="2" width="2.00390625" style="0" customWidth="1"/>
    <col min="3" max="3" width="3.140625" style="0" customWidth="1"/>
    <col min="4" max="4" width="3.8515625" style="0" customWidth="1"/>
    <col min="5" max="5" width="13.57421875" style="0" customWidth="1"/>
    <col min="6" max="6" width="21.421875" style="0" customWidth="1"/>
    <col min="7" max="7" width="16.7109375" style="0" customWidth="1"/>
    <col min="8" max="8" width="8.421875" style="0" customWidth="1"/>
    <col min="9" max="9" width="6.140625" style="0" customWidth="1"/>
    <col min="10" max="10" width="13.7109375" style="0" bestFit="1" customWidth="1"/>
  </cols>
  <sheetData>
    <row r="1" spans="1:10" ht="12.75">
      <c r="A1" s="82" t="str">
        <f>'2.Yhteenveto'!A1</f>
        <v>9.11.2015, Kuntaliitto / SL</v>
      </c>
      <c r="F1" s="97"/>
      <c r="G1" s="6"/>
      <c r="H1" s="6"/>
      <c r="I1" s="6"/>
      <c r="J1" s="6"/>
    </row>
    <row r="2" spans="6:10" ht="12.75">
      <c r="F2" s="97"/>
      <c r="G2" s="6"/>
      <c r="H2" s="6"/>
      <c r="I2" s="6"/>
      <c r="J2" s="6"/>
    </row>
    <row r="3" spans="1:10" ht="15.75">
      <c r="A3" s="279" t="s">
        <v>638</v>
      </c>
      <c r="B3" s="280"/>
      <c r="C3" s="280"/>
      <c r="D3" s="280"/>
      <c r="E3" s="280"/>
      <c r="F3" s="280"/>
      <c r="G3" s="280"/>
      <c r="H3" s="280"/>
      <c r="I3" s="280"/>
      <c r="J3" s="281"/>
    </row>
    <row r="4" spans="6:10" ht="12.75">
      <c r="F4" s="8"/>
      <c r="G4" s="8"/>
      <c r="H4" s="6"/>
      <c r="I4" s="6"/>
      <c r="J4" s="6"/>
    </row>
    <row r="5" spans="3:10" ht="12.75">
      <c r="C5" s="57" t="s">
        <v>53</v>
      </c>
      <c r="D5" s="28"/>
      <c r="E5" s="42"/>
      <c r="F5" s="58" t="s">
        <v>434</v>
      </c>
      <c r="I5" s="6"/>
      <c r="J5" s="6"/>
    </row>
    <row r="6" spans="6:10" ht="12.75">
      <c r="F6" s="8"/>
      <c r="G6" s="8"/>
      <c r="H6" s="6"/>
      <c r="I6" s="6"/>
      <c r="J6" s="6"/>
    </row>
    <row r="7" spans="2:10" ht="12.75">
      <c r="B7" s="87" t="s">
        <v>0</v>
      </c>
      <c r="E7" s="9"/>
      <c r="F7" s="158" t="str">
        <f>'2.Yhteenveto'!G12</f>
        <v>Alajärvi</v>
      </c>
      <c r="H7" s="6"/>
      <c r="I7" s="6"/>
      <c r="J7" s="6"/>
    </row>
    <row r="8" spans="2:10" ht="12.75">
      <c r="B8" s="87" t="s">
        <v>627</v>
      </c>
      <c r="E8" s="8"/>
      <c r="F8" s="158">
        <f>'2.Yhteenveto'!$H$13</f>
        <v>10171</v>
      </c>
      <c r="H8" s="6"/>
      <c r="I8" s="6"/>
      <c r="J8" s="6"/>
    </row>
    <row r="9" spans="2:10" ht="12.75">
      <c r="B9" s="87"/>
      <c r="E9" s="8"/>
      <c r="G9" s="8"/>
      <c r="H9" s="6"/>
      <c r="I9" s="6"/>
      <c r="J9" s="6"/>
    </row>
    <row r="10" spans="2:10" ht="12.75">
      <c r="B10" s="87"/>
      <c r="E10" s="8"/>
      <c r="G10" s="8"/>
      <c r="H10" s="6"/>
      <c r="I10" s="6"/>
      <c r="J10" s="6"/>
    </row>
    <row r="11" spans="2:10" ht="12.75">
      <c r="B11" s="87"/>
      <c r="E11" s="8"/>
      <c r="G11" s="8"/>
      <c r="H11" s="6"/>
      <c r="I11" s="6"/>
      <c r="J11" s="6"/>
    </row>
    <row r="12" spans="2:10" ht="12.75">
      <c r="B12" s="87"/>
      <c r="E12" s="8"/>
      <c r="G12" s="8"/>
      <c r="H12" s="6"/>
      <c r="I12" s="6"/>
      <c r="J12" s="6"/>
    </row>
    <row r="13" spans="2:10" ht="12.75">
      <c r="B13" s="87"/>
      <c r="E13" s="8"/>
      <c r="G13" s="8"/>
      <c r="H13" s="6"/>
      <c r="I13" s="6"/>
      <c r="J13" s="6"/>
    </row>
    <row r="14" spans="2:10" ht="12.75">
      <c r="B14" s="87"/>
      <c r="E14" s="8"/>
      <c r="G14" s="8"/>
      <c r="H14" s="6"/>
      <c r="I14" s="6"/>
      <c r="J14" s="6"/>
    </row>
    <row r="15" spans="2:10" ht="12.75">
      <c r="B15" s="87"/>
      <c r="E15" s="8"/>
      <c r="G15" s="8"/>
      <c r="H15" s="6"/>
      <c r="I15" s="6"/>
      <c r="J15" s="6"/>
    </row>
    <row r="16" spans="2:10" ht="12.75">
      <c r="B16" s="87"/>
      <c r="E16" s="8"/>
      <c r="G16" s="8"/>
      <c r="H16" s="6"/>
      <c r="I16" s="6"/>
      <c r="J16" s="6"/>
    </row>
    <row r="17" spans="2:10" ht="12.75">
      <c r="B17" s="87"/>
      <c r="E17" s="8"/>
      <c r="G17" s="8"/>
      <c r="H17" s="6"/>
      <c r="I17" s="6"/>
      <c r="J17" s="6"/>
    </row>
    <row r="18" spans="2:10" ht="12.75">
      <c r="B18" s="87"/>
      <c r="E18" s="8"/>
      <c r="G18" s="8"/>
      <c r="H18" s="6"/>
      <c r="I18" s="6"/>
      <c r="J18" s="6"/>
    </row>
    <row r="19" spans="2:10" ht="12.75">
      <c r="B19" s="87"/>
      <c r="E19" s="8"/>
      <c r="G19" s="8"/>
      <c r="H19" s="6"/>
      <c r="I19" s="6"/>
      <c r="J19" s="6"/>
    </row>
    <row r="20" spans="2:10" ht="12.75">
      <c r="B20" s="87"/>
      <c r="E20" s="8"/>
      <c r="G20" s="8"/>
      <c r="H20" s="6"/>
      <c r="I20" s="6"/>
      <c r="J20" s="6"/>
    </row>
    <row r="21" spans="5:9" ht="12.75">
      <c r="E21" s="8"/>
      <c r="G21" s="8"/>
      <c r="H21" s="6"/>
      <c r="I21" s="6"/>
    </row>
    <row r="22" spans="2:10" ht="12.75">
      <c r="B22" s="28" t="s">
        <v>639</v>
      </c>
      <c r="H22" s="6"/>
      <c r="I22" s="6"/>
      <c r="J22" s="54">
        <f>INDEX(jm_1,MATCH($F$7,kunta,0),1,1)</f>
        <v>0</v>
      </c>
    </row>
    <row r="23" spans="3:10" ht="12.75">
      <c r="C23" s="5"/>
      <c r="E23" s="8"/>
      <c r="I23" s="15"/>
      <c r="J23" s="21"/>
    </row>
    <row r="24" spans="7:10" ht="12.75">
      <c r="G24" s="27"/>
      <c r="H24" s="27"/>
      <c r="I24" s="27"/>
      <c r="J24" s="27"/>
    </row>
    <row r="25" spans="1:10" ht="12.75">
      <c r="A25" s="95" t="s">
        <v>600</v>
      </c>
      <c r="B25" s="85"/>
      <c r="C25" s="85"/>
      <c r="D25" s="85"/>
      <c r="E25" s="85"/>
      <c r="F25" s="85"/>
      <c r="G25" s="96"/>
      <c r="H25" s="96"/>
      <c r="I25" s="96"/>
      <c r="J25" s="102">
        <f>J22</f>
        <v>0</v>
      </c>
    </row>
    <row r="26" spans="6:10" ht="12.75">
      <c r="F26" s="12"/>
      <c r="G26" s="27"/>
      <c r="H26" s="27"/>
      <c r="I26" s="27"/>
      <c r="J26" s="140" t="s">
        <v>435</v>
      </c>
    </row>
  </sheetData>
  <sheetProtection/>
  <protectedRanges>
    <protectedRange sqref="J21:J22" name="Alue1"/>
  </protectedRanges>
  <mergeCells count="1">
    <mergeCell ref="A3:J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R421"/>
  <sheetViews>
    <sheetView zoomScalePageLayoutView="0" workbookViewId="0" topLeftCell="A1">
      <selection activeCell="A2" sqref="A2"/>
    </sheetView>
  </sheetViews>
  <sheetFormatPr defaultColWidth="9.140625" defaultRowHeight="12.75"/>
  <cols>
    <col min="1" max="4" width="2.57421875" style="0" customWidth="1"/>
    <col min="5" max="5" width="14.140625" style="0" customWidth="1"/>
    <col min="6" max="6" width="13.00390625" style="0" customWidth="1"/>
    <col min="7" max="7" width="10.57421875" style="0" customWidth="1"/>
    <col min="8" max="8" width="13.421875" style="0" customWidth="1"/>
    <col min="9" max="9" width="12.28125" style="0" customWidth="1"/>
    <col min="10" max="10" width="7.140625" style="0" customWidth="1"/>
    <col min="11" max="11" width="3.8515625" style="0" customWidth="1"/>
    <col min="15" max="15" width="15.421875" style="0" customWidth="1"/>
    <col min="16" max="16" width="13.00390625" style="0" customWidth="1"/>
  </cols>
  <sheetData>
    <row r="1" ht="12.75">
      <c r="A1" s="82" t="s">
        <v>632</v>
      </c>
    </row>
    <row r="3" spans="1:11" ht="25.5" customHeight="1">
      <c r="A3" s="268" t="s">
        <v>641</v>
      </c>
      <c r="B3" s="269"/>
      <c r="C3" s="269"/>
      <c r="D3" s="269"/>
      <c r="E3" s="269"/>
      <c r="F3" s="269"/>
      <c r="G3" s="269"/>
      <c r="H3" s="269"/>
      <c r="I3" s="269"/>
      <c r="J3" s="270"/>
      <c r="K3" s="198"/>
    </row>
    <row r="5" spans="2:16" ht="18" customHeight="1">
      <c r="B5" s="57" t="s">
        <v>53</v>
      </c>
      <c r="C5" s="28"/>
      <c r="D5" s="28"/>
      <c r="E5" s="42"/>
      <c r="F5" s="58" t="s">
        <v>434</v>
      </c>
      <c r="P5" s="76"/>
    </row>
    <row r="6" spans="2:16" ht="18">
      <c r="B6" s="28"/>
      <c r="C6" s="28"/>
      <c r="D6" s="28"/>
      <c r="E6" s="105"/>
      <c r="F6" s="58" t="s">
        <v>433</v>
      </c>
      <c r="P6" s="76"/>
    </row>
    <row r="7" spans="15:16" ht="14.25">
      <c r="O7" s="77"/>
      <c r="P7" s="77"/>
    </row>
    <row r="8" spans="1:16" ht="14.25">
      <c r="A8" s="87" t="s">
        <v>0</v>
      </c>
      <c r="G8" s="190" t="str">
        <f>'2.Yhteenveto'!G12</f>
        <v>Alajärvi</v>
      </c>
      <c r="O8" s="78"/>
      <c r="P8" s="78"/>
    </row>
    <row r="9" spans="1:7" ht="12.75">
      <c r="A9" s="87" t="s">
        <v>627</v>
      </c>
      <c r="G9" s="191">
        <f>'2.Yhteenveto'!H13</f>
        <v>10171</v>
      </c>
    </row>
    <row r="10" ht="12.75">
      <c r="E10" s="1"/>
    </row>
    <row r="11" spans="1:5" ht="12.75">
      <c r="A11" s="68"/>
      <c r="E11" s="1"/>
    </row>
    <row r="12" spans="2:7" ht="12.75">
      <c r="B12" s="1" t="s">
        <v>644</v>
      </c>
      <c r="E12" s="1"/>
      <c r="F12" s="30">
        <f>INDEX(kkk_1,MATCH($G$8,kunta,0),1,1)</f>
        <v>4798415.522800001</v>
      </c>
      <c r="G12" s="5" t="s">
        <v>386</v>
      </c>
    </row>
    <row r="13" ht="12.75">
      <c r="E13" s="1"/>
    </row>
    <row r="14" ht="12.75">
      <c r="E14" s="1"/>
    </row>
    <row r="15" spans="2:5" ht="12.75">
      <c r="B15" s="1" t="s">
        <v>74</v>
      </c>
      <c r="E15" s="1"/>
    </row>
    <row r="16" spans="2:5" ht="12.75">
      <c r="B16" s="1" t="s">
        <v>642</v>
      </c>
      <c r="E16" s="1"/>
    </row>
    <row r="17" spans="5:6" ht="12.75">
      <c r="E17" s="130"/>
      <c r="F17" s="240" t="s">
        <v>75</v>
      </c>
    </row>
    <row r="18" spans="5:18" ht="12.75">
      <c r="E18" s="131"/>
      <c r="F18" s="241" t="s">
        <v>76</v>
      </c>
      <c r="R18" s="66"/>
    </row>
    <row r="19" spans="5:18" ht="12.75">
      <c r="E19" s="132"/>
      <c r="F19" s="242" t="s">
        <v>77</v>
      </c>
      <c r="O19" s="66"/>
      <c r="P19" s="66"/>
      <c r="R19" s="66"/>
    </row>
    <row r="20" spans="5:18" ht="12.75">
      <c r="E20" s="237" t="s">
        <v>643</v>
      </c>
      <c r="F20" s="238">
        <v>6693.89</v>
      </c>
      <c r="O20" s="66"/>
      <c r="P20" s="66"/>
      <c r="R20" s="66"/>
    </row>
    <row r="21" spans="15:18" ht="12.75">
      <c r="O21" s="66"/>
      <c r="P21" s="66"/>
      <c r="R21" s="66"/>
    </row>
    <row r="22" spans="15:18" ht="12.75">
      <c r="O22" s="66"/>
      <c r="P22" s="66"/>
      <c r="R22" s="66"/>
    </row>
    <row r="23" spans="2:18" ht="12.75">
      <c r="B23" s="1" t="s">
        <v>398</v>
      </c>
      <c r="O23" s="66"/>
      <c r="P23" s="66"/>
      <c r="R23" s="66"/>
    </row>
    <row r="24" spans="2:18" ht="12.75">
      <c r="B24" s="1"/>
      <c r="O24" s="66"/>
      <c r="P24" s="66"/>
      <c r="R24" s="66"/>
    </row>
    <row r="25" spans="4:15" ht="12.75">
      <c r="D25" s="243" t="s">
        <v>613</v>
      </c>
      <c r="O25" s="66"/>
    </row>
    <row r="26" spans="6:15" ht="12.75">
      <c r="F26" s="3" t="s">
        <v>42</v>
      </c>
      <c r="G26" s="3" t="s">
        <v>46</v>
      </c>
      <c r="H26" s="3" t="s">
        <v>47</v>
      </c>
      <c r="O26" s="66"/>
    </row>
    <row r="27" spans="5:15" ht="12.75">
      <c r="E27" s="51" t="s">
        <v>45</v>
      </c>
      <c r="F27" s="31"/>
      <c r="G27" s="53">
        <f>$F$20*0.61</f>
        <v>4083.2729</v>
      </c>
      <c r="H27" s="46">
        <f>F27*G27</f>
        <v>0</v>
      </c>
      <c r="O27" s="66"/>
    </row>
    <row r="28" spans="5:15" ht="12.75">
      <c r="E28" s="51" t="s">
        <v>44</v>
      </c>
      <c r="F28" s="31"/>
      <c r="G28" s="53">
        <f>$F$20*1</f>
        <v>6693.89</v>
      </c>
      <c r="H28" s="46">
        <f>F28*G28</f>
        <v>0</v>
      </c>
      <c r="O28" s="66"/>
    </row>
    <row r="29" spans="5:15" ht="13.5" thickBot="1">
      <c r="E29" t="s">
        <v>43</v>
      </c>
      <c r="F29" s="111"/>
      <c r="G29" s="239">
        <f>$F$20*1.6</f>
        <v>10710.224000000002</v>
      </c>
      <c r="H29" s="133">
        <f>F29*G29</f>
        <v>0</v>
      </c>
      <c r="O29" s="66"/>
    </row>
    <row r="30" spans="1:15" s="5" customFormat="1" ht="13.5" thickTop="1">
      <c r="A30" s="217"/>
      <c r="D30" s="217" t="s">
        <v>397</v>
      </c>
      <c r="E30" s="217"/>
      <c r="F30" s="217"/>
      <c r="G30" s="244"/>
      <c r="H30" s="244">
        <f>SUM(H27:H29)</f>
        <v>0</v>
      </c>
      <c r="I30" s="129"/>
      <c r="O30" s="245"/>
    </row>
    <row r="31" spans="1:15" ht="12.75">
      <c r="A31" s="55"/>
      <c r="B31" s="127"/>
      <c r="D31" s="55"/>
      <c r="E31" s="127"/>
      <c r="F31" s="127"/>
      <c r="G31" s="128"/>
      <c r="H31" s="128"/>
      <c r="I31" s="129"/>
      <c r="O31" s="66"/>
    </row>
    <row r="32" spans="1:15" ht="12.75">
      <c r="A32" s="55"/>
      <c r="B32" s="127"/>
      <c r="D32" s="55"/>
      <c r="E32" s="127"/>
      <c r="F32" s="127"/>
      <c r="G32" s="128"/>
      <c r="H32" s="128"/>
      <c r="I32" s="129"/>
      <c r="O32" s="66"/>
    </row>
    <row r="33" spans="1:15" ht="12.75">
      <c r="A33" s="55"/>
      <c r="D33" s="243" t="s">
        <v>612</v>
      </c>
      <c r="E33" s="127"/>
      <c r="F33" s="127"/>
      <c r="G33" s="128"/>
      <c r="H33" s="128"/>
      <c r="I33" s="129"/>
      <c r="O33" s="66"/>
    </row>
    <row r="34" spans="6:15" ht="12.75">
      <c r="F34" s="3" t="s">
        <v>42</v>
      </c>
      <c r="G34" s="3" t="s">
        <v>46</v>
      </c>
      <c r="H34" s="3" t="s">
        <v>47</v>
      </c>
      <c r="O34" s="66"/>
    </row>
    <row r="35" spans="5:15" ht="12.75">
      <c r="E35" s="51" t="s">
        <v>45</v>
      </c>
      <c r="F35" s="31"/>
      <c r="G35" s="53">
        <f>$F$20*0.61*0.94</f>
        <v>3838.2765259999996</v>
      </c>
      <c r="H35" s="46">
        <f>F35*G35</f>
        <v>0</v>
      </c>
      <c r="O35" s="66"/>
    </row>
    <row r="36" spans="5:15" ht="12.75">
      <c r="E36" s="51" t="s">
        <v>44</v>
      </c>
      <c r="F36" s="31"/>
      <c r="G36" s="53">
        <f>$F$20*1*0.94</f>
        <v>6292.2566</v>
      </c>
      <c r="H36" s="46">
        <f>F36*G36</f>
        <v>0</v>
      </c>
      <c r="O36" s="66"/>
    </row>
    <row r="37" spans="5:15" ht="13.5" thickBot="1">
      <c r="E37" t="s">
        <v>43</v>
      </c>
      <c r="F37" s="111"/>
      <c r="G37" s="239">
        <f>$F$20*1.6*0.94</f>
        <v>10067.610560000001</v>
      </c>
      <c r="H37" s="133">
        <f>F37*G37</f>
        <v>0</v>
      </c>
      <c r="O37" s="66"/>
    </row>
    <row r="38" spans="1:15" s="5" customFormat="1" ht="13.5" thickTop="1">
      <c r="A38" s="217"/>
      <c r="D38" s="217" t="s">
        <v>397</v>
      </c>
      <c r="E38" s="217"/>
      <c r="F38" s="217"/>
      <c r="G38" s="244"/>
      <c r="H38" s="244">
        <f>SUM(H35:H37)</f>
        <v>0</v>
      </c>
      <c r="I38" s="129"/>
      <c r="O38" s="245"/>
    </row>
    <row r="39" spans="1:15" ht="13.5" thickBot="1">
      <c r="A39" s="55"/>
      <c r="C39" s="246"/>
      <c r="D39" s="113"/>
      <c r="E39" s="246"/>
      <c r="F39" s="246"/>
      <c r="G39" s="247"/>
      <c r="H39" s="247"/>
      <c r="I39" s="129"/>
      <c r="O39" s="66"/>
    </row>
    <row r="40" spans="1:15" ht="13.5" thickTop="1">
      <c r="A40" s="55"/>
      <c r="C40" s="127" t="s">
        <v>397</v>
      </c>
      <c r="D40" s="55"/>
      <c r="E40" s="127"/>
      <c r="F40" s="127"/>
      <c r="G40" s="128"/>
      <c r="H40" s="253">
        <f>H30+H38</f>
        <v>0</v>
      </c>
      <c r="I40" s="129"/>
      <c r="O40" s="66"/>
    </row>
    <row r="41" ht="12.75">
      <c r="O41" s="66"/>
    </row>
    <row r="42" spans="1:15" ht="12.75">
      <c r="A42" s="55"/>
      <c r="B42" s="127" t="s">
        <v>396</v>
      </c>
      <c r="C42" s="55"/>
      <c r="D42" s="55"/>
      <c r="E42" s="127"/>
      <c r="F42" s="55"/>
      <c r="G42" s="55"/>
      <c r="H42" s="128"/>
      <c r="I42" s="129"/>
      <c r="O42" s="66"/>
    </row>
    <row r="43" spans="6:15" ht="12.75">
      <c r="F43" s="3" t="s">
        <v>42</v>
      </c>
      <c r="G43" s="3" t="s">
        <v>46</v>
      </c>
      <c r="H43" s="3" t="s">
        <v>47</v>
      </c>
      <c r="O43" s="66"/>
    </row>
    <row r="44" spans="5:15" ht="12.75">
      <c r="E44" s="51" t="s">
        <v>45</v>
      </c>
      <c r="F44" s="31"/>
      <c r="G44" s="53">
        <f>$F$20*0.61</f>
        <v>4083.2729</v>
      </c>
      <c r="H44" s="46">
        <f>F44*G44</f>
        <v>0</v>
      </c>
      <c r="O44" s="66"/>
    </row>
    <row r="45" spans="5:15" ht="12.75">
      <c r="E45" s="51" t="s">
        <v>44</v>
      </c>
      <c r="F45" s="31"/>
      <c r="G45" s="53">
        <f>$F$20*1</f>
        <v>6693.89</v>
      </c>
      <c r="H45" s="46">
        <f>F45*G45</f>
        <v>0</v>
      </c>
      <c r="O45" s="66"/>
    </row>
    <row r="46" spans="5:15" ht="13.5" thickBot="1">
      <c r="E46" t="s">
        <v>43</v>
      </c>
      <c r="F46" s="111"/>
      <c r="G46" s="239">
        <f>$F$20*1.6</f>
        <v>10710.224000000002</v>
      </c>
      <c r="H46" s="133">
        <f>F46*G46</f>
        <v>0</v>
      </c>
      <c r="O46" s="66"/>
    </row>
    <row r="47" spans="1:15" ht="13.5" thickTop="1">
      <c r="A47" s="55"/>
      <c r="B47" s="127" t="s">
        <v>614</v>
      </c>
      <c r="C47" s="55"/>
      <c r="D47" s="55"/>
      <c r="E47" s="127"/>
      <c r="F47" s="127"/>
      <c r="G47" s="128"/>
      <c r="H47" s="253">
        <f>SUM(H44:H46)</f>
        <v>0</v>
      </c>
      <c r="I47" s="129"/>
      <c r="O47" s="66"/>
    </row>
    <row r="48" spans="1:15" ht="12.75">
      <c r="A48" s="55"/>
      <c r="B48" s="127"/>
      <c r="C48" s="55"/>
      <c r="D48" s="55"/>
      <c r="E48" s="127"/>
      <c r="F48" s="127"/>
      <c r="G48" s="128"/>
      <c r="H48" s="253"/>
      <c r="I48" s="129"/>
      <c r="O48" s="66"/>
    </row>
    <row r="49" spans="1:15" ht="12.75">
      <c r="A49" s="55"/>
      <c r="B49" s="127"/>
      <c r="C49" s="55"/>
      <c r="D49" s="55"/>
      <c r="E49" s="127"/>
      <c r="F49" s="127"/>
      <c r="G49" s="128"/>
      <c r="H49" s="128"/>
      <c r="I49" s="129"/>
      <c r="O49" s="66"/>
    </row>
    <row r="50" spans="1:15" ht="12.75">
      <c r="A50" s="55"/>
      <c r="B50" s="127" t="s">
        <v>611</v>
      </c>
      <c r="C50" s="55"/>
      <c r="D50" s="55"/>
      <c r="E50" s="127"/>
      <c r="F50" s="127"/>
      <c r="G50" s="128"/>
      <c r="H50" s="253">
        <f>F12</f>
        <v>4798415.522800001</v>
      </c>
      <c r="I50" s="129"/>
      <c r="O50" s="66"/>
    </row>
    <row r="51" spans="1:15" ht="12.75">
      <c r="A51" s="55"/>
      <c r="B51" s="127"/>
      <c r="C51" s="55"/>
      <c r="D51" s="55"/>
      <c r="E51" s="127"/>
      <c r="F51" s="127"/>
      <c r="G51" s="128"/>
      <c r="H51" s="140" t="s">
        <v>435</v>
      </c>
      <c r="I51" s="129"/>
      <c r="O51" s="66"/>
    </row>
    <row r="52" ht="12.75">
      <c r="O52" s="66"/>
    </row>
    <row r="53" ht="12.75">
      <c r="O53" s="66"/>
    </row>
    <row r="54" ht="12.75">
      <c r="O54" s="66"/>
    </row>
    <row r="55" ht="12.75">
      <c r="O55" s="66"/>
    </row>
    <row r="56" ht="12.75">
      <c r="O56" s="66"/>
    </row>
    <row r="57" ht="12.75">
      <c r="O57" s="66"/>
    </row>
    <row r="58" ht="12.75">
      <c r="O58" s="66"/>
    </row>
    <row r="59" ht="12.75">
      <c r="O59" s="66"/>
    </row>
    <row r="60" ht="12.75">
      <c r="O60" s="66"/>
    </row>
    <row r="61" ht="12.75">
      <c r="O61" s="66"/>
    </row>
    <row r="62" ht="12.75">
      <c r="O62" s="66"/>
    </row>
    <row r="63" ht="12.75">
      <c r="O63" s="66"/>
    </row>
    <row r="64" ht="12.75">
      <c r="O64" s="66"/>
    </row>
    <row r="65" ht="12.75">
      <c r="O65" s="66"/>
    </row>
    <row r="66" ht="12.75">
      <c r="O66" s="66"/>
    </row>
    <row r="67" ht="12.75">
      <c r="O67" s="66"/>
    </row>
    <row r="68" ht="12.75">
      <c r="O68" s="66"/>
    </row>
    <row r="69" ht="12.75">
      <c r="O69" s="66"/>
    </row>
    <row r="70" ht="12.75">
      <c r="O70" s="66"/>
    </row>
    <row r="71" ht="12.75">
      <c r="O71" s="66"/>
    </row>
    <row r="72" ht="12.75">
      <c r="O72" s="66"/>
    </row>
    <row r="73" ht="12.75">
      <c r="O73" s="66"/>
    </row>
    <row r="74" ht="12.75">
      <c r="O74" s="66"/>
    </row>
    <row r="75" ht="12.75">
      <c r="O75" s="66"/>
    </row>
    <row r="76" ht="12.75">
      <c r="O76" s="66"/>
    </row>
    <row r="77" ht="12.75">
      <c r="O77" s="66"/>
    </row>
    <row r="78" ht="12.75">
      <c r="O78" s="66"/>
    </row>
    <row r="79" ht="12.75">
      <c r="O79" s="66"/>
    </row>
    <row r="80" ht="12.75">
      <c r="O80" s="66"/>
    </row>
    <row r="81" ht="12.75">
      <c r="O81" s="66"/>
    </row>
    <row r="82" ht="12.75">
      <c r="O82" s="66"/>
    </row>
    <row r="83" ht="12.75">
      <c r="O83" s="66"/>
    </row>
    <row r="84" ht="12.75">
      <c r="O84" s="66"/>
    </row>
    <row r="85" ht="12.75">
      <c r="O85" s="66"/>
    </row>
    <row r="86" ht="12.75">
      <c r="O86" s="66"/>
    </row>
    <row r="87" ht="12.75">
      <c r="O87" s="66"/>
    </row>
    <row r="88" ht="12.75">
      <c r="O88" s="66"/>
    </row>
    <row r="89" ht="12.75">
      <c r="O89" s="66"/>
    </row>
    <row r="90" ht="12.75">
      <c r="O90" s="66"/>
    </row>
    <row r="91" ht="12.75">
      <c r="O91" s="66"/>
    </row>
    <row r="92" ht="12.75">
      <c r="O92" s="66"/>
    </row>
    <row r="93" ht="12.75">
      <c r="O93" s="66"/>
    </row>
    <row r="94" ht="12.75">
      <c r="O94" s="66"/>
    </row>
    <row r="95" ht="12.75">
      <c r="O95" s="66"/>
    </row>
    <row r="96" ht="12.75">
      <c r="O96" s="66"/>
    </row>
    <row r="97" ht="12.75">
      <c r="O97" s="66"/>
    </row>
    <row r="98" ht="12.75">
      <c r="O98" s="66"/>
    </row>
    <row r="99" ht="12.75">
      <c r="O99" s="66"/>
    </row>
    <row r="100" ht="12.75">
      <c r="O100" s="66"/>
    </row>
    <row r="101" ht="12.75">
      <c r="O101" s="66"/>
    </row>
    <row r="102" ht="12.75">
      <c r="O102" s="66"/>
    </row>
    <row r="103" ht="12.75">
      <c r="O103" s="66"/>
    </row>
    <row r="104" ht="12.75">
      <c r="O104" s="66"/>
    </row>
    <row r="105" ht="12.75">
      <c r="O105" s="66"/>
    </row>
    <row r="106" ht="12.75">
      <c r="O106" s="66"/>
    </row>
    <row r="107" ht="12.75">
      <c r="O107" s="66"/>
    </row>
    <row r="108" ht="12.75">
      <c r="O108" s="66"/>
    </row>
    <row r="109" ht="12.75">
      <c r="O109" s="66"/>
    </row>
    <row r="110" ht="12.75">
      <c r="O110" s="66"/>
    </row>
    <row r="111" ht="12.75">
      <c r="O111" s="66"/>
    </row>
    <row r="112" ht="12.75">
      <c r="O112" s="66"/>
    </row>
    <row r="113" ht="12.75">
      <c r="O113" s="66"/>
    </row>
    <row r="114" ht="12.75">
      <c r="O114" s="66"/>
    </row>
    <row r="115" ht="12.75">
      <c r="O115" s="66"/>
    </row>
    <row r="116" ht="12.75">
      <c r="O116" s="66"/>
    </row>
    <row r="117" ht="12.75">
      <c r="O117" s="66"/>
    </row>
    <row r="118" ht="12.75">
      <c r="O118" s="66"/>
    </row>
    <row r="119" ht="12.75">
      <c r="O119" s="66"/>
    </row>
    <row r="120" ht="12.75">
      <c r="O120" s="66"/>
    </row>
    <row r="121" ht="12.75">
      <c r="O121" s="66"/>
    </row>
    <row r="122" ht="12.75">
      <c r="O122" s="66"/>
    </row>
    <row r="123" ht="12.75">
      <c r="O123" s="66"/>
    </row>
    <row r="124" ht="12.75">
      <c r="O124" s="66"/>
    </row>
    <row r="125" ht="12.75">
      <c r="O125" s="66"/>
    </row>
    <row r="126" ht="12.75">
      <c r="O126" s="66"/>
    </row>
    <row r="127" ht="12.75">
      <c r="O127" s="66"/>
    </row>
    <row r="128" ht="12.75">
      <c r="O128" s="66"/>
    </row>
    <row r="129" ht="12.75">
      <c r="O129" s="66"/>
    </row>
    <row r="130" ht="12.75">
      <c r="O130" s="66"/>
    </row>
    <row r="131" ht="12.75">
      <c r="O131" s="66"/>
    </row>
    <row r="132" ht="12.75">
      <c r="O132" s="66"/>
    </row>
    <row r="133" ht="12.75">
      <c r="O133" s="66"/>
    </row>
    <row r="134" ht="12.75">
      <c r="O134" s="66"/>
    </row>
    <row r="135" ht="12.75">
      <c r="O135" s="66"/>
    </row>
    <row r="136" ht="12.75">
      <c r="O136" s="66"/>
    </row>
    <row r="137" ht="12.75">
      <c r="O137" s="66"/>
    </row>
    <row r="138" ht="12.75">
      <c r="O138" s="66"/>
    </row>
    <row r="139" ht="12.75">
      <c r="O139" s="66"/>
    </row>
    <row r="140" ht="12.75">
      <c r="O140" s="66"/>
    </row>
    <row r="141" ht="12.75">
      <c r="O141" s="66"/>
    </row>
    <row r="142" ht="12.75">
      <c r="O142" s="66"/>
    </row>
    <row r="143" ht="12.75">
      <c r="O143" s="66"/>
    </row>
    <row r="144" ht="12.75">
      <c r="O144" s="66"/>
    </row>
    <row r="145" ht="12.75">
      <c r="O145" s="66"/>
    </row>
    <row r="146" ht="12.75">
      <c r="O146" s="66"/>
    </row>
    <row r="147" ht="12.75">
      <c r="O147" s="66"/>
    </row>
    <row r="148" ht="12.75">
      <c r="O148" s="66"/>
    </row>
    <row r="149" ht="12.75">
      <c r="O149" s="66"/>
    </row>
    <row r="150" ht="12.75">
      <c r="O150" s="66"/>
    </row>
    <row r="151" ht="12.75">
      <c r="O151" s="66"/>
    </row>
    <row r="152" ht="12.75">
      <c r="O152" s="66"/>
    </row>
    <row r="153" ht="12.75">
      <c r="O153" s="66"/>
    </row>
    <row r="154" ht="12.75">
      <c r="O154" s="66"/>
    </row>
    <row r="155" ht="12.75">
      <c r="O155" s="66"/>
    </row>
    <row r="156" ht="12.75">
      <c r="O156" s="66"/>
    </row>
    <row r="157" ht="12.75">
      <c r="O157" s="66"/>
    </row>
    <row r="158" ht="12.75">
      <c r="O158" s="66"/>
    </row>
    <row r="159" ht="12.75">
      <c r="O159" s="66"/>
    </row>
    <row r="160" ht="12.75">
      <c r="O160" s="66"/>
    </row>
    <row r="161" ht="12.75">
      <c r="O161" s="66"/>
    </row>
    <row r="162" ht="12.75">
      <c r="O162" s="66"/>
    </row>
    <row r="163" ht="12.75">
      <c r="O163" s="66"/>
    </row>
    <row r="164" ht="12.75">
      <c r="O164" s="66"/>
    </row>
    <row r="165" ht="12.75">
      <c r="O165" s="66"/>
    </row>
    <row r="166" ht="12.75">
      <c r="O166" s="66"/>
    </row>
    <row r="167" ht="12.75">
      <c r="O167" s="66"/>
    </row>
    <row r="168" ht="12.75">
      <c r="O168" s="66"/>
    </row>
    <row r="169" ht="12.75">
      <c r="O169" s="66"/>
    </row>
    <row r="170" ht="12.75">
      <c r="O170" s="66"/>
    </row>
    <row r="171" ht="12.75">
      <c r="O171" s="66"/>
    </row>
    <row r="172" ht="12.75">
      <c r="O172" s="66"/>
    </row>
    <row r="173" ht="12.75">
      <c r="O173" s="66"/>
    </row>
    <row r="174" ht="12.75">
      <c r="O174" s="66"/>
    </row>
    <row r="175" ht="12.75">
      <c r="O175" s="66"/>
    </row>
    <row r="176" ht="12.75">
      <c r="O176" s="66"/>
    </row>
    <row r="177" ht="12.75">
      <c r="O177" s="66"/>
    </row>
    <row r="178" ht="12.75">
      <c r="O178" s="66"/>
    </row>
    <row r="179" ht="12.75">
      <c r="O179" s="66"/>
    </row>
    <row r="180" ht="12.75">
      <c r="O180" s="66"/>
    </row>
    <row r="181" ht="12.75">
      <c r="O181" s="66"/>
    </row>
    <row r="182" ht="12.75">
      <c r="O182" s="66"/>
    </row>
    <row r="183" ht="12.75">
      <c r="O183" s="66"/>
    </row>
    <row r="184" ht="12.75">
      <c r="O184" s="66"/>
    </row>
    <row r="185" ht="12.75">
      <c r="O185" s="66"/>
    </row>
    <row r="186" ht="12.75">
      <c r="O186" s="66"/>
    </row>
    <row r="187" ht="12.75">
      <c r="O187" s="66"/>
    </row>
    <row r="188" ht="12.75">
      <c r="O188" s="66"/>
    </row>
    <row r="189" ht="12.75">
      <c r="O189" s="66"/>
    </row>
    <row r="190" ht="12.75">
      <c r="O190" s="66"/>
    </row>
    <row r="191" ht="12.75">
      <c r="O191" s="66"/>
    </row>
    <row r="192" ht="12.75">
      <c r="O192" s="66"/>
    </row>
    <row r="193" ht="12.75">
      <c r="O193" s="66"/>
    </row>
    <row r="194" ht="12.75">
      <c r="O194" s="66"/>
    </row>
    <row r="195" ht="12.75">
      <c r="O195" s="66"/>
    </row>
    <row r="326" ht="12.75">
      <c r="R326">
        <v>629984.6681482845</v>
      </c>
    </row>
    <row r="327" ht="12.75">
      <c r="R327">
        <v>533704.5170515766</v>
      </c>
    </row>
    <row r="328" ht="12.75">
      <c r="R328">
        <v>2948920.1810058244</v>
      </c>
    </row>
    <row r="329" ht="12.75">
      <c r="R329">
        <v>2609406.3443768644</v>
      </c>
    </row>
    <row r="330" ht="12.75">
      <c r="R330">
        <v>4229372.364863616</v>
      </c>
    </row>
    <row r="331" ht="12.75">
      <c r="R331">
        <v>4148131.5539559717</v>
      </c>
    </row>
    <row r="332" ht="12.75">
      <c r="R332">
        <v>5399482.551816998</v>
      </c>
    </row>
    <row r="333" ht="12.75">
      <c r="R333">
        <v>2639720.079790164</v>
      </c>
    </row>
    <row r="334" ht="12.75">
      <c r="R334">
        <v>9700.395332256001</v>
      </c>
    </row>
    <row r="335" ht="12.75">
      <c r="R335">
        <v>5466172.769726257</v>
      </c>
    </row>
    <row r="336" ht="12.75">
      <c r="R336">
        <v>264396.40027480264</v>
      </c>
    </row>
    <row r="337" ht="12.75">
      <c r="R337">
        <v>2473600.809725279</v>
      </c>
    </row>
    <row r="338" ht="12.75">
      <c r="R338">
        <v>1090445.6902872275</v>
      </c>
    </row>
    <row r="339" ht="12.75">
      <c r="R339">
        <v>385590.7144571758</v>
      </c>
    </row>
    <row r="340" ht="12.75">
      <c r="R340">
        <v>4560398.355576853</v>
      </c>
    </row>
    <row r="341" ht="12.75">
      <c r="R341">
        <v>2579092.6089635636</v>
      </c>
    </row>
    <row r="342" ht="12.75">
      <c r="R342">
        <v>2007981.8337769923</v>
      </c>
    </row>
    <row r="343" ht="12.75">
      <c r="R343">
        <v>3484867.023112968</v>
      </c>
    </row>
    <row r="344" ht="12.75">
      <c r="R344">
        <v>3970393.690028048</v>
      </c>
    </row>
    <row r="345" ht="12.75">
      <c r="R345">
        <v>200070.65372778007</v>
      </c>
    </row>
    <row r="346" ht="12.75">
      <c r="R346">
        <v>4848031.050914739</v>
      </c>
    </row>
    <row r="347" ht="12.75">
      <c r="R347">
        <v>2798564.053355856</v>
      </c>
    </row>
    <row r="348" ht="12.75">
      <c r="R348">
        <v>1577405.5359664788</v>
      </c>
    </row>
    <row r="349" ht="12.75">
      <c r="R349">
        <v>3627341.579555479</v>
      </c>
    </row>
    <row r="350" ht="12.75">
      <c r="R350">
        <v>4396704.184345033</v>
      </c>
    </row>
    <row r="351" ht="12.75">
      <c r="R351">
        <v>4597987.387489344</v>
      </c>
    </row>
    <row r="352" ht="12.75">
      <c r="R352">
        <v>9700.395332256001</v>
      </c>
    </row>
    <row r="353" ht="12.75">
      <c r="R353">
        <v>1666042.8983149678</v>
      </c>
    </row>
    <row r="354" ht="12.75">
      <c r="R354">
        <v>1551941.9982193066</v>
      </c>
    </row>
    <row r="355" ht="12.75">
      <c r="R355">
        <v>1603347.93907217</v>
      </c>
    </row>
    <row r="356" ht="12.75">
      <c r="R356">
        <v>1740729.8152081931</v>
      </c>
    </row>
    <row r="357" ht="12.75">
      <c r="R357">
        <v>1106330.0876437968</v>
      </c>
    </row>
    <row r="358" ht="12.75">
      <c r="R358">
        <v>1407875.8399696494</v>
      </c>
    </row>
    <row r="359" ht="12.75">
      <c r="R359">
        <v>1461061.4194502328</v>
      </c>
    </row>
    <row r="360" ht="12.75">
      <c r="R360">
        <v>1323861.4529696372</v>
      </c>
    </row>
    <row r="361" ht="12.75">
      <c r="R361">
        <v>830591.3294776846</v>
      </c>
    </row>
    <row r="362" ht="12.75">
      <c r="R362">
        <v>1558126.0002436198</v>
      </c>
    </row>
    <row r="363" ht="12.75">
      <c r="R363">
        <v>1116082.076058425</v>
      </c>
    </row>
    <row r="364" ht="12.75">
      <c r="R364">
        <v>608786.2706213386</v>
      </c>
    </row>
    <row r="365" ht="12.75">
      <c r="R365">
        <v>1068256.035964692</v>
      </c>
    </row>
    <row r="366" ht="12.75">
      <c r="R366">
        <v>1641791.9099843276</v>
      </c>
    </row>
    <row r="367" ht="12.75">
      <c r="R367">
        <v>1048273.1398771544</v>
      </c>
    </row>
    <row r="368" ht="12.75">
      <c r="R368">
        <v>414691.900453944</v>
      </c>
    </row>
    <row r="369" ht="12.75">
      <c r="R369">
        <v>1162410.4981584016</v>
      </c>
    </row>
    <row r="370" ht="12.75">
      <c r="R370">
        <v>482594.667779736</v>
      </c>
    </row>
    <row r="371" ht="12.75">
      <c r="R371">
        <v>1659357.4923391074</v>
      </c>
    </row>
    <row r="372" ht="12.75">
      <c r="R372">
        <v>59414.921410068004</v>
      </c>
    </row>
    <row r="373" ht="12.75">
      <c r="R373">
        <v>1230313.2654841938</v>
      </c>
    </row>
    <row r="374" ht="12.75">
      <c r="R374">
        <v>2869388.580070837</v>
      </c>
    </row>
    <row r="375" ht="12.75">
      <c r="R375">
        <v>575233.4432027808</v>
      </c>
    </row>
    <row r="376" ht="12.75">
      <c r="R376">
        <v>4674341.624248364</v>
      </c>
    </row>
    <row r="377" ht="12.75">
      <c r="R377">
        <v>1411407.520843248</v>
      </c>
    </row>
    <row r="378" ht="12.75">
      <c r="R378">
        <v>572868.9718405433</v>
      </c>
    </row>
    <row r="379" ht="12.75">
      <c r="R379">
        <v>623007.8902141416</v>
      </c>
    </row>
    <row r="380" ht="12.75">
      <c r="R380">
        <v>485565.41385023936</v>
      </c>
    </row>
    <row r="381" ht="12.75">
      <c r="R381">
        <v>1189510.977617892</v>
      </c>
    </row>
    <row r="382" ht="12.75">
      <c r="R382">
        <v>1247592.0946697746</v>
      </c>
    </row>
    <row r="383" ht="12.75">
      <c r="R383">
        <v>491082.51369545993</v>
      </c>
    </row>
    <row r="384" ht="12.75">
      <c r="R384">
        <v>369398.6296558954</v>
      </c>
    </row>
    <row r="385" ht="12.75">
      <c r="R385">
        <v>574869.6783778212</v>
      </c>
    </row>
    <row r="386" ht="12.75">
      <c r="R386">
        <v>412266.80162088</v>
      </c>
    </row>
    <row r="387" ht="12.75">
      <c r="R387">
        <v>77603.16265804801</v>
      </c>
    </row>
    <row r="388" ht="12.75">
      <c r="R388">
        <v>727105.2576234139</v>
      </c>
    </row>
    <row r="389" ht="12.75">
      <c r="R389">
        <v>206012.83648000003</v>
      </c>
    </row>
    <row r="390" ht="12.75">
      <c r="R390">
        <v>142804.35256000003</v>
      </c>
    </row>
    <row r="391" ht="12.75">
      <c r="R391">
        <v>168555.95712000006</v>
      </c>
    </row>
    <row r="392" ht="12.75">
      <c r="R392">
        <v>309019.25471999997</v>
      </c>
    </row>
    <row r="393" ht="12.75">
      <c r="R393">
        <v>112370.63808</v>
      </c>
    </row>
    <row r="394" ht="12.75">
      <c r="R394">
        <v>4410468.701402</v>
      </c>
    </row>
    <row r="395" ht="12.75">
      <c r="R395">
        <v>3928791.510475</v>
      </c>
    </row>
    <row r="396" ht="12.75">
      <c r="R396">
        <v>242474.76748200005</v>
      </c>
    </row>
    <row r="397" ht="12.75">
      <c r="R397">
        <v>36286.35188</v>
      </c>
    </row>
    <row r="398" ht="12.75">
      <c r="R398">
        <v>515032.09119999985</v>
      </c>
    </row>
    <row r="399" ht="12.75">
      <c r="R399">
        <v>255174.99064000006</v>
      </c>
    </row>
    <row r="400" ht="12.75">
      <c r="R400">
        <v>635713.4743880002</v>
      </c>
    </row>
    <row r="401" ht="12.75">
      <c r="R401">
        <v>959071.6907380007</v>
      </c>
    </row>
    <row r="402" ht="12.75">
      <c r="R402">
        <v>324236.11196</v>
      </c>
    </row>
    <row r="403" ht="12.75">
      <c r="R403">
        <v>1244621.8694839994</v>
      </c>
    </row>
    <row r="404" ht="12.75">
      <c r="R404">
        <v>2866466.8206816483</v>
      </c>
    </row>
    <row r="405" ht="12.75">
      <c r="R405">
        <v>5292171.928453915</v>
      </c>
    </row>
    <row r="406" ht="12.75">
      <c r="R406">
        <v>4225916.599026499</v>
      </c>
    </row>
    <row r="407" ht="12.75">
      <c r="R407">
        <v>2639783.5897832643</v>
      </c>
    </row>
    <row r="408" ht="12.75">
      <c r="R408">
        <v>5473508.693696276</v>
      </c>
    </row>
    <row r="409" ht="12.75">
      <c r="R409">
        <v>2488317.019898427</v>
      </c>
    </row>
    <row r="410" ht="12.75">
      <c r="R410">
        <v>5564510.527407001</v>
      </c>
    </row>
    <row r="411" ht="12.75">
      <c r="R411">
        <v>4865960.808542917</v>
      </c>
    </row>
    <row r="412" ht="12.75">
      <c r="R412">
        <v>4791995.294134463</v>
      </c>
    </row>
    <row r="413" ht="12.75">
      <c r="R413">
        <v>2512402.3910543043</v>
      </c>
    </row>
    <row r="414" ht="12.75">
      <c r="R414">
        <v>3317369.4268152765</v>
      </c>
    </row>
    <row r="415" ht="12.75">
      <c r="R415">
        <v>222458.74757400004</v>
      </c>
    </row>
    <row r="416" ht="12.75">
      <c r="R416">
        <v>18728.439680000003</v>
      </c>
    </row>
    <row r="417" ht="12.75">
      <c r="R417">
        <v>268167.845668</v>
      </c>
    </row>
    <row r="418" ht="12.75">
      <c r="R418">
        <v>103006.41824000001</v>
      </c>
    </row>
    <row r="419" ht="12.75">
      <c r="R419">
        <v>145835.72510500005</v>
      </c>
    </row>
    <row r="420" ht="12.75">
      <c r="R420">
        <v>195478.08916000003</v>
      </c>
    </row>
    <row r="421" ht="12.75">
      <c r="R421">
        <v>231822.96741400004</v>
      </c>
    </row>
  </sheetData>
  <sheetProtection/>
  <protectedRanges>
    <protectedRange sqref="F27:F29 F44:F46 F35:F37" name="Alue1"/>
  </protectedRanges>
  <mergeCells count="1">
    <mergeCell ref="A3:J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2016</dc:title>
  <dc:subject/>
  <dc:creator>Björkwall Jan</dc:creator>
  <cp:keywords>Valtionosuudet</cp:keywords>
  <dc:description/>
  <cp:lastModifiedBy>Lehtonen Sanna</cp:lastModifiedBy>
  <cp:lastPrinted>2015-01-27T09:08:13Z</cp:lastPrinted>
  <dcterms:created xsi:type="dcterms:W3CDTF">2009-11-13T07:40:31Z</dcterms:created>
  <dcterms:modified xsi:type="dcterms:W3CDTF">2015-11-09T12:56:24Z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G94TWSLYV3F3-12128-2</vt:lpwstr>
  </property>
  <property fmtid="{D5CDD505-2E9C-101B-9397-08002B2CF9AE}" pid="3" name="_dlc_DocIdItemGuid">
    <vt:lpwstr>a636c7d9-d50f-4ddc-9467-bd8aada43291</vt:lpwstr>
  </property>
  <property fmtid="{D5CDD505-2E9C-101B-9397-08002B2CF9AE}" pid="4" name="_dlc_DocIdUrl">
    <vt:lpwstr>http://www.kunnat.net/fi/asiantuntijapalvelut/kuntatalous/valtionosuudet/valtionosuuslaskelmat/valtionosuudet-2016/Voslaskuri-2016/_layouts/DocIdRedir.aspx?ID=G94TWSLYV3F3-12128-2, G94TWSLYV3F3-12128-2</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Valtionosuuslaskuri on julkaistu 9.11.2015.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2015-11-09T14:00:00Z</vt:lpwstr>
  </property>
  <property fmtid="{D5CDD505-2E9C-101B-9397-08002B2CF9AE}" pid="17" name="KN2Language">
    <vt:lpwstr/>
  </property>
</Properties>
</file>