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Syys 2025/Päivityksessä/"/>
    </mc:Choice>
  </mc:AlternateContent>
  <xr:revisionPtr revIDLastSave="99" documentId="8_{5315D37D-9C10-4891-97F1-4F7543C2FC21}" xr6:coauthVersionLast="47" xr6:coauthVersionMax="47" xr10:uidLastSave="{9D03B59E-6B73-436C-8807-E959D8E68E05}"/>
  <bookViews>
    <workbookView xWindow="-120" yWindow="-120" windowWidth="29040" windowHeight="15720" xr2:uid="{00000000-000D-0000-FFFF-FFFF00000000}"/>
  </bookViews>
  <sheets>
    <sheet name="yhteenveto" sheetId="2" r:id="rId1"/>
    <sheet name="perustaulukko kunnat ja kyt" sheetId="1" r:id="rId2"/>
  </sheets>
  <definedNames>
    <definedName name="_xlnm.Print_Area" localSheetId="0">yhteenveto!$A$1:$Y$43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19" i="1" l="1"/>
  <c r="CR19" i="1"/>
  <c r="CT18" i="1"/>
  <c r="CT17" i="1"/>
  <c r="U17" i="2" s="1"/>
  <c r="Y17" i="2" s="1"/>
  <c r="CT14" i="1"/>
  <c r="CT13" i="1"/>
  <c r="U13" i="2" s="1"/>
  <c r="Y13" i="2" s="1"/>
  <c r="CT12" i="1"/>
  <c r="U12" i="2" s="1"/>
  <c r="Y12" i="2" s="1"/>
  <c r="CT11" i="1"/>
  <c r="CT10" i="1"/>
  <c r="U10" i="2" s="1"/>
  <c r="CS9" i="1"/>
  <c r="CS15" i="1" s="1"/>
  <c r="CS21" i="1" s="1"/>
  <c r="CR9" i="1"/>
  <c r="CR15" i="1" s="1"/>
  <c r="CO17" i="1"/>
  <c r="T17" i="2" s="1"/>
  <c r="CO18" i="1"/>
  <c r="CQ18" i="1" s="1"/>
  <c r="CN19" i="1"/>
  <c r="CM19" i="1"/>
  <c r="CO14" i="1"/>
  <c r="CQ14" i="1" s="1"/>
  <c r="CO13" i="1"/>
  <c r="T13" i="2" s="1"/>
  <c r="CO12" i="1"/>
  <c r="CO11" i="1"/>
  <c r="CO10" i="1"/>
  <c r="T10" i="2" s="1"/>
  <c r="CN9" i="1"/>
  <c r="CN15" i="1" s="1"/>
  <c r="CM9" i="1"/>
  <c r="CM15" i="1" s="1"/>
  <c r="CI19" i="1"/>
  <c r="CH19" i="1"/>
  <c r="CJ18" i="1"/>
  <c r="CJ17" i="1"/>
  <c r="S17" i="2" s="1"/>
  <c r="CJ14" i="1"/>
  <c r="S14" i="2" s="1"/>
  <c r="CJ13" i="1"/>
  <c r="CJ12" i="1"/>
  <c r="CJ11" i="1"/>
  <c r="S11" i="2" s="1"/>
  <c r="CJ10" i="1"/>
  <c r="CI9" i="1"/>
  <c r="CI15" i="1" s="1"/>
  <c r="CH9" i="1"/>
  <c r="CH15" i="1" s="1"/>
  <c r="R17" i="2"/>
  <c r="R10" i="2"/>
  <c r="R11" i="2"/>
  <c r="R12" i="2"/>
  <c r="R13" i="2"/>
  <c r="CC9" i="1"/>
  <c r="CC15" i="1" s="1"/>
  <c r="CD19" i="1"/>
  <c r="CC19" i="1"/>
  <c r="CE18" i="1"/>
  <c r="CG18" i="1" s="1"/>
  <c r="CE17" i="1"/>
  <c r="CE14" i="1"/>
  <c r="CG14" i="1" s="1"/>
  <c r="CE13" i="1"/>
  <c r="CG13" i="1" s="1"/>
  <c r="CE12" i="1"/>
  <c r="CE11" i="1"/>
  <c r="CG11" i="1" s="1"/>
  <c r="CE10" i="1"/>
  <c r="CG10" i="1" s="1"/>
  <c r="CD9" i="1"/>
  <c r="CD15" i="1" s="1"/>
  <c r="Q9" i="2"/>
  <c r="Q21" i="2"/>
  <c r="Q39" i="2" s="1"/>
  <c r="Q19" i="2"/>
  <c r="Q18" i="2"/>
  <c r="Q17" i="2"/>
  <c r="Q15" i="2"/>
  <c r="Q14" i="2"/>
  <c r="Q13" i="2"/>
  <c r="Q12" i="2"/>
  <c r="Q11" i="2"/>
  <c r="Q10" i="2"/>
  <c r="BY19" i="1"/>
  <c r="BX19" i="1"/>
  <c r="BZ18" i="1"/>
  <c r="CB18" i="1" s="1"/>
  <c r="BZ17" i="1"/>
  <c r="CB17" i="1" s="1"/>
  <c r="BZ14" i="1"/>
  <c r="CB14" i="1" s="1"/>
  <c r="BZ13" i="1"/>
  <c r="CB13" i="1" s="1"/>
  <c r="BZ12" i="1"/>
  <c r="CB12" i="1" s="1"/>
  <c r="BZ11" i="1"/>
  <c r="CB11" i="1" s="1"/>
  <c r="BZ10" i="1"/>
  <c r="CB10" i="1" s="1"/>
  <c r="BY9" i="1"/>
  <c r="BY15" i="1" s="1"/>
  <c r="BY21" i="1" s="1"/>
  <c r="BX9" i="1"/>
  <c r="BX15" i="1" s="1"/>
  <c r="BU18" i="1"/>
  <c r="BU19" i="1" s="1"/>
  <c r="P19" i="2" s="1"/>
  <c r="BU17" i="1"/>
  <c r="BP18" i="1"/>
  <c r="BP17" i="1"/>
  <c r="BP19" i="1" s="1"/>
  <c r="O19" i="2" s="1"/>
  <c r="P17" i="2"/>
  <c r="P14" i="2"/>
  <c r="P12" i="2"/>
  <c r="P11" i="2"/>
  <c r="P10" i="2"/>
  <c r="O13" i="2"/>
  <c r="O12" i="2"/>
  <c r="O11" i="2"/>
  <c r="BT19" i="1"/>
  <c r="BS19" i="1"/>
  <c r="BU14" i="1"/>
  <c r="BW14" i="1" s="1"/>
  <c r="BU13" i="1"/>
  <c r="BW13" i="1" s="1"/>
  <c r="BU12" i="1"/>
  <c r="BU11" i="1"/>
  <c r="BU9" i="1" s="1"/>
  <c r="BU10" i="1"/>
  <c r="BT9" i="1"/>
  <c r="BT15" i="1" s="1"/>
  <c r="BS9" i="1"/>
  <c r="BS15" i="1" s="1"/>
  <c r="BO19" i="1"/>
  <c r="BN19" i="1"/>
  <c r="BP14" i="1"/>
  <c r="BR14" i="1" s="1"/>
  <c r="BP13" i="1"/>
  <c r="BR13" i="1" s="1"/>
  <c r="BP12" i="1"/>
  <c r="BR12" i="1" s="1"/>
  <c r="BP11" i="1"/>
  <c r="BR11" i="1" s="1"/>
  <c r="BP10" i="1"/>
  <c r="BR10" i="1" s="1"/>
  <c r="BP9" i="1"/>
  <c r="BO9" i="1"/>
  <c r="BO15" i="1" s="1"/>
  <c r="BN9" i="1"/>
  <c r="BN15" i="1" s="1"/>
  <c r="R18" i="2" l="1"/>
  <c r="CL18" i="1"/>
  <c r="CL13" i="1"/>
  <c r="CL12" i="1"/>
  <c r="CL10" i="1"/>
  <c r="S18" i="2"/>
  <c r="S13" i="2"/>
  <c r="CQ12" i="1"/>
  <c r="S12" i="2"/>
  <c r="S10" i="2"/>
  <c r="CV14" i="1"/>
  <c r="T14" i="2"/>
  <c r="CV18" i="1"/>
  <c r="T18" i="2"/>
  <c r="CQ17" i="1"/>
  <c r="T11" i="2"/>
  <c r="CQ11" i="1"/>
  <c r="CT9" i="1"/>
  <c r="U9" i="2" s="1"/>
  <c r="Y9" i="2" s="1"/>
  <c r="X10" i="2"/>
  <c r="U18" i="2"/>
  <c r="Y18" i="2" s="1"/>
  <c r="W17" i="2"/>
  <c r="CR21" i="1"/>
  <c r="X17" i="2"/>
  <c r="U14" i="2"/>
  <c r="X13" i="2"/>
  <c r="W13" i="2"/>
  <c r="CV13" i="1"/>
  <c r="T12" i="2"/>
  <c r="CV12" i="1"/>
  <c r="U11" i="2"/>
  <c r="X11" i="2"/>
  <c r="CV11" i="1"/>
  <c r="CV10" i="1"/>
  <c r="CT15" i="1"/>
  <c r="U15" i="2" s="1"/>
  <c r="CV17" i="1"/>
  <c r="CT19" i="1"/>
  <c r="U19" i="2" s="1"/>
  <c r="Y19" i="2" s="1"/>
  <c r="CN21" i="1"/>
  <c r="CM21" i="1"/>
  <c r="CQ10" i="1"/>
  <c r="CO19" i="1"/>
  <c r="T19" i="2" s="1"/>
  <c r="CQ13" i="1"/>
  <c r="CO9" i="1"/>
  <c r="T9" i="2" s="1"/>
  <c r="R14" i="2"/>
  <c r="CL14" i="1"/>
  <c r="CJ19" i="1"/>
  <c r="S19" i="2" s="1"/>
  <c r="CI21" i="1"/>
  <c r="CH21" i="1"/>
  <c r="CL11" i="1"/>
  <c r="CL17" i="1"/>
  <c r="CJ9" i="1"/>
  <c r="S9" i="2" s="1"/>
  <c r="CE19" i="1"/>
  <c r="CD21" i="1"/>
  <c r="CC21" i="1"/>
  <c r="CE9" i="1"/>
  <c r="CG17" i="1"/>
  <c r="CG12" i="1"/>
  <c r="Q28" i="2"/>
  <c r="Q32" i="2"/>
  <c r="Q33" i="2"/>
  <c r="Q31" i="2"/>
  <c r="Q30" i="2"/>
  <c r="Q36" i="2"/>
  <c r="Q27" i="2"/>
  <c r="Q35" i="2"/>
  <c r="Q29" i="2"/>
  <c r="Q37" i="2"/>
  <c r="BX21" i="1"/>
  <c r="BZ19" i="1"/>
  <c r="BZ9" i="1"/>
  <c r="O14" i="2"/>
  <c r="P18" i="2"/>
  <c r="BW18" i="1"/>
  <c r="BS21" i="1"/>
  <c r="BT21" i="1"/>
  <c r="O18" i="2"/>
  <c r="O17" i="2"/>
  <c r="BW17" i="1"/>
  <c r="BR17" i="1"/>
  <c r="BW19" i="1"/>
  <c r="P13" i="2"/>
  <c r="BP15" i="1"/>
  <c r="O15" i="2" s="1"/>
  <c r="P9" i="2"/>
  <c r="BU15" i="1"/>
  <c r="BU21" i="1" s="1"/>
  <c r="P21" i="2" s="1"/>
  <c r="BW11" i="1"/>
  <c r="BW9" i="1"/>
  <c r="BW10" i="1"/>
  <c r="O9" i="2"/>
  <c r="O10" i="2"/>
  <c r="BW12" i="1"/>
  <c r="BO21" i="1"/>
  <c r="BN21" i="1"/>
  <c r="BR19" i="1"/>
  <c r="BP21" i="1"/>
  <c r="BR18" i="1"/>
  <c r="BR9" i="1"/>
  <c r="CG19" i="1" l="1"/>
  <c r="R19" i="2"/>
  <c r="CE15" i="1"/>
  <c r="R9" i="2"/>
  <c r="CL19" i="1"/>
  <c r="X18" i="2"/>
  <c r="W18" i="2"/>
  <c r="X19" i="2"/>
  <c r="W19" i="2"/>
  <c r="Y14" i="2"/>
  <c r="X14" i="2"/>
  <c r="W14" i="2"/>
  <c r="X12" i="2"/>
  <c r="W12" i="2"/>
  <c r="Y15" i="2"/>
  <c r="CV9" i="1"/>
  <c r="X9" i="2"/>
  <c r="W9" i="2"/>
  <c r="CV19" i="1"/>
  <c r="CT21" i="1"/>
  <c r="U21" i="2" s="1"/>
  <c r="CQ9" i="1"/>
  <c r="CO15" i="1"/>
  <c r="T15" i="2" s="1"/>
  <c r="CQ19" i="1"/>
  <c r="CG15" i="1"/>
  <c r="R15" i="2"/>
  <c r="CJ15" i="1"/>
  <c r="S15" i="2" s="1"/>
  <c r="CL9" i="1"/>
  <c r="CE21" i="1"/>
  <c r="CF12" i="1" s="1"/>
  <c r="CG9" i="1"/>
  <c r="CF10" i="1"/>
  <c r="CF9" i="1"/>
  <c r="CF14" i="1"/>
  <c r="CF13" i="1"/>
  <c r="CF18" i="1"/>
  <c r="CF17" i="1"/>
  <c r="CG21" i="1"/>
  <c r="CF21" i="1"/>
  <c r="BZ15" i="1"/>
  <c r="CB9" i="1"/>
  <c r="CB19" i="1"/>
  <c r="BR15" i="1"/>
  <c r="BV14" i="1"/>
  <c r="BV18" i="1"/>
  <c r="BV12" i="1"/>
  <c r="BV15" i="1"/>
  <c r="P27" i="2"/>
  <c r="BV19" i="1"/>
  <c r="P39" i="2"/>
  <c r="BV17" i="1"/>
  <c r="P36" i="2"/>
  <c r="BV13" i="1"/>
  <c r="BV10" i="1"/>
  <c r="BV9" i="1"/>
  <c r="P31" i="2"/>
  <c r="P37" i="2"/>
  <c r="P32" i="2"/>
  <c r="BW15" i="1"/>
  <c r="P15" i="2"/>
  <c r="P30" i="2"/>
  <c r="BV21" i="1"/>
  <c r="BV11" i="1"/>
  <c r="P29" i="2"/>
  <c r="P35" i="2"/>
  <c r="P28" i="2"/>
  <c r="BQ9" i="1"/>
  <c r="O21" i="2"/>
  <c r="O28" i="2" s="1"/>
  <c r="BW21" i="1"/>
  <c r="BQ18" i="1"/>
  <c r="BQ11" i="1"/>
  <c r="BQ10" i="1"/>
  <c r="BQ13" i="1"/>
  <c r="BQ21" i="1"/>
  <c r="BQ17" i="1"/>
  <c r="BR21" i="1"/>
  <c r="BQ15" i="1"/>
  <c r="BQ12" i="1"/>
  <c r="BQ14" i="1"/>
  <c r="BQ19" i="1"/>
  <c r="U39" i="2" l="1"/>
  <c r="U37" i="2"/>
  <c r="U32" i="2"/>
  <c r="U36" i="2"/>
  <c r="U35" i="2"/>
  <c r="Y21" i="2"/>
  <c r="U31" i="2"/>
  <c r="U30" i="2"/>
  <c r="U27" i="2"/>
  <c r="U28" i="2"/>
  <c r="U29" i="2"/>
  <c r="U33" i="2"/>
  <c r="W15" i="2"/>
  <c r="X15" i="2"/>
  <c r="CV15" i="1"/>
  <c r="CU21" i="1"/>
  <c r="CU11" i="1"/>
  <c r="CU17" i="1"/>
  <c r="CU9" i="1"/>
  <c r="CU10" i="1"/>
  <c r="CU12" i="1"/>
  <c r="CU14" i="1"/>
  <c r="CU18" i="1"/>
  <c r="CU13" i="1"/>
  <c r="CU15" i="1"/>
  <c r="CU19" i="1"/>
  <c r="CO21" i="1"/>
  <c r="T21" i="2" s="1"/>
  <c r="T33" i="2" s="1"/>
  <c r="CQ15" i="1"/>
  <c r="CF15" i="1"/>
  <c r="R21" i="2"/>
  <c r="CF11" i="1"/>
  <c r="CJ21" i="1"/>
  <c r="CL15" i="1"/>
  <c r="CF19" i="1"/>
  <c r="BZ21" i="1"/>
  <c r="CA15" i="1" s="1"/>
  <c r="CB15" i="1"/>
  <c r="P33" i="2"/>
  <c r="O27" i="2"/>
  <c r="O32" i="2"/>
  <c r="O36" i="2"/>
  <c r="O39" i="2"/>
  <c r="O31" i="2"/>
  <c r="O35" i="2"/>
  <c r="O29" i="2"/>
  <c r="O30" i="2"/>
  <c r="O37" i="2"/>
  <c r="O33" i="2"/>
  <c r="N17" i="2"/>
  <c r="N12" i="2"/>
  <c r="N10" i="2"/>
  <c r="BJ9" i="1"/>
  <c r="BI9" i="1"/>
  <c r="BI15" i="1" s="1"/>
  <c r="BK18" i="1"/>
  <c r="BK17" i="1"/>
  <c r="BJ19" i="1"/>
  <c r="BI19" i="1"/>
  <c r="BK13" i="1"/>
  <c r="N13" i="2" s="1"/>
  <c r="BK12" i="1"/>
  <c r="BK10" i="1"/>
  <c r="CK15" i="1" l="1"/>
  <c r="S21" i="2"/>
  <c r="CV21" i="1"/>
  <c r="X21" i="2"/>
  <c r="T37" i="2"/>
  <c r="T39" i="2"/>
  <c r="T36" i="2"/>
  <c r="T35" i="2"/>
  <c r="T31" i="2"/>
  <c r="T30" i="2"/>
  <c r="T29" i="2"/>
  <c r="T32" i="2"/>
  <c r="T28" i="2"/>
  <c r="T27" i="2"/>
  <c r="R36" i="2"/>
  <c r="R39" i="2"/>
  <c r="R28" i="2"/>
  <c r="R27" i="2"/>
  <c r="R31" i="2"/>
  <c r="R35" i="2"/>
  <c r="R30" i="2"/>
  <c r="R32" i="2"/>
  <c r="R33" i="2"/>
  <c r="CQ21" i="1"/>
  <c r="CP21" i="1"/>
  <c r="CP10" i="1"/>
  <c r="CP13" i="1"/>
  <c r="CP14" i="1"/>
  <c r="CP17" i="1"/>
  <c r="CP18" i="1"/>
  <c r="CP12" i="1"/>
  <c r="CP11" i="1"/>
  <c r="CP9" i="1"/>
  <c r="CP19" i="1"/>
  <c r="CP15" i="1"/>
  <c r="R29" i="2"/>
  <c r="CK21" i="1"/>
  <c r="CK14" i="1"/>
  <c r="CL21" i="1"/>
  <c r="CK18" i="1"/>
  <c r="CK11" i="1"/>
  <c r="CK19" i="1"/>
  <c r="CK13" i="1"/>
  <c r="CK10" i="1"/>
  <c r="CK12" i="1"/>
  <c r="CK17" i="1"/>
  <c r="CK9" i="1"/>
  <c r="R37" i="2"/>
  <c r="CB21" i="1"/>
  <c r="CA21" i="1"/>
  <c r="CA13" i="1"/>
  <c r="CA17" i="1"/>
  <c r="CA14" i="1"/>
  <c r="CA12" i="1"/>
  <c r="CA18" i="1"/>
  <c r="CA10" i="1"/>
  <c r="CA11" i="1"/>
  <c r="CA9" i="1"/>
  <c r="CA19" i="1"/>
  <c r="BM18" i="1"/>
  <c r="N18" i="2"/>
  <c r="BI21" i="1"/>
  <c r="BK19" i="1"/>
  <c r="N19" i="2" s="1"/>
  <c r="BK11" i="1"/>
  <c r="N11" i="2" s="1"/>
  <c r="BM12" i="1"/>
  <c r="M39" i="2"/>
  <c r="M37" i="2"/>
  <c r="M36" i="2"/>
  <c r="M35" i="2"/>
  <c r="M33" i="2"/>
  <c r="M32" i="2"/>
  <c r="M31" i="2"/>
  <c r="M30" i="2"/>
  <c r="M29" i="2"/>
  <c r="M28" i="2"/>
  <c r="M27" i="2"/>
  <c r="BE17" i="1"/>
  <c r="BF17" i="1" s="1"/>
  <c r="BM17" i="1" s="1"/>
  <c r="BE14" i="1"/>
  <c r="BE13" i="1"/>
  <c r="BE11" i="1"/>
  <c r="BE9" i="1" s="1"/>
  <c r="BE10" i="1"/>
  <c r="BD17" i="1"/>
  <c r="BD19" i="1" s="1"/>
  <c r="BD14" i="1"/>
  <c r="BD13" i="1"/>
  <c r="BD11" i="1"/>
  <c r="BD10" i="1"/>
  <c r="BF18" i="1"/>
  <c r="BF12" i="1"/>
  <c r="S35" i="2" l="1"/>
  <c r="S36" i="2"/>
  <c r="S39" i="2"/>
  <c r="S37" i="2"/>
  <c r="S29" i="2"/>
  <c r="S31" i="2"/>
  <c r="S32" i="2"/>
  <c r="S28" i="2"/>
  <c r="S30" i="2"/>
  <c r="S27" i="2"/>
  <c r="S33" i="2"/>
  <c r="W21" i="2"/>
  <c r="W27" i="2" s="1"/>
  <c r="BF13" i="1"/>
  <c r="BM13" i="1" s="1"/>
  <c r="BF11" i="1"/>
  <c r="BM11" i="1" s="1"/>
  <c r="BM19" i="1"/>
  <c r="BK9" i="1"/>
  <c r="N9" i="2" s="1"/>
  <c r="BF14" i="1"/>
  <c r="BE15" i="1"/>
  <c r="BE19" i="1"/>
  <c r="BD9" i="1"/>
  <c r="BD15" i="1" s="1"/>
  <c r="BD21" i="1" s="1"/>
  <c r="BF19" i="1"/>
  <c r="BF10" i="1"/>
  <c r="BM10" i="1" s="1"/>
  <c r="BE21" i="1" l="1"/>
  <c r="BF9" i="1"/>
  <c r="BM9" i="1" s="1"/>
  <c r="L29" i="2"/>
  <c r="L28" i="2"/>
  <c r="L39" i="2"/>
  <c r="L37" i="2"/>
  <c r="L36" i="2"/>
  <c r="L35" i="2"/>
  <c r="L33" i="2"/>
  <c r="L32" i="2"/>
  <c r="L31" i="2"/>
  <c r="L30" i="2"/>
  <c r="L27" i="2"/>
  <c r="BF15" i="1" l="1"/>
  <c r="AZ17" i="1"/>
  <c r="AZ19" i="1" s="1"/>
  <c r="AY17" i="1"/>
  <c r="AY19" i="1" s="1"/>
  <c r="AZ14" i="1"/>
  <c r="AY14" i="1"/>
  <c r="AZ13" i="1"/>
  <c r="AY13" i="1"/>
  <c r="AZ11" i="1"/>
  <c r="AZ10" i="1"/>
  <c r="AY11" i="1"/>
  <c r="BA11" i="1" s="1"/>
  <c r="BH11" i="1" s="1"/>
  <c r="AY10" i="1"/>
  <c r="BA10" i="1" s="1"/>
  <c r="BA18" i="1"/>
  <c r="BA12" i="1"/>
  <c r="BH12" i="1" s="1"/>
  <c r="BH10" i="1" l="1"/>
  <c r="BA9" i="1"/>
  <c r="BH18" i="1"/>
  <c r="AY9" i="1"/>
  <c r="BF21" i="1"/>
  <c r="BG15" i="1" s="1"/>
  <c r="BA17" i="1"/>
  <c r="BA14" i="1"/>
  <c r="BA13" i="1"/>
  <c r="BH13" i="1" s="1"/>
  <c r="AZ9" i="1"/>
  <c r="AY15" i="1"/>
  <c r="AY21" i="1" s="1"/>
  <c r="AU18" i="1"/>
  <c r="AU17" i="1"/>
  <c r="AU14" i="1"/>
  <c r="AU13" i="1"/>
  <c r="AU12" i="1"/>
  <c r="AU9" i="1"/>
  <c r="AT18" i="1"/>
  <c r="AT17" i="1"/>
  <c r="AT19" i="1" s="1"/>
  <c r="AT14" i="1"/>
  <c r="AT13" i="1"/>
  <c r="AT12" i="1"/>
  <c r="AT9" i="1"/>
  <c r="I15" i="2"/>
  <c r="H15" i="2"/>
  <c r="G15" i="2"/>
  <c r="F15" i="2"/>
  <c r="E15" i="2"/>
  <c r="D15" i="2"/>
  <c r="C15" i="2"/>
  <c r="B15" i="2"/>
  <c r="AV17" i="1" l="1"/>
  <c r="AU15" i="1"/>
  <c r="AZ15" i="1"/>
  <c r="AZ21" i="1" s="1"/>
  <c r="AV12" i="1"/>
  <c r="BC12" i="1" s="1"/>
  <c r="BH14" i="1"/>
  <c r="BH9" i="1"/>
  <c r="BA15" i="1"/>
  <c r="BH15" i="1" s="1"/>
  <c r="BC17" i="1"/>
  <c r="BH17" i="1"/>
  <c r="BG17" i="1"/>
  <c r="BG21" i="1"/>
  <c r="BG14" i="1"/>
  <c r="BG13" i="1"/>
  <c r="BG11" i="1"/>
  <c r="BG18" i="1"/>
  <c r="BG12" i="1"/>
  <c r="BG10" i="1"/>
  <c r="BG19" i="1"/>
  <c r="BG9" i="1"/>
  <c r="BA19" i="1"/>
  <c r="BC13" i="1"/>
  <c r="AT15" i="1"/>
  <c r="AT21" i="1" s="1"/>
  <c r="AV14" i="1"/>
  <c r="BC14" i="1" s="1"/>
  <c r="AV18" i="1"/>
  <c r="AV13" i="1"/>
  <c r="AU19" i="1"/>
  <c r="AV9" i="1"/>
  <c r="J39" i="2"/>
  <c r="J37" i="2"/>
  <c r="J36" i="2"/>
  <c r="J35" i="2"/>
  <c r="J33" i="2"/>
  <c r="J32" i="2"/>
  <c r="J31" i="2"/>
  <c r="J30" i="2"/>
  <c r="J27" i="2"/>
  <c r="I39" i="2"/>
  <c r="I37" i="2"/>
  <c r="I36" i="2"/>
  <c r="I35" i="2"/>
  <c r="I33" i="2"/>
  <c r="I32" i="2"/>
  <c r="I31" i="2"/>
  <c r="I30" i="2"/>
  <c r="I27" i="2"/>
  <c r="H39" i="2"/>
  <c r="H37" i="2"/>
  <c r="H36" i="2"/>
  <c r="H35" i="2"/>
  <c r="H33" i="2"/>
  <c r="H32" i="2"/>
  <c r="H31" i="2"/>
  <c r="H30" i="2"/>
  <c r="H27" i="2"/>
  <c r="G39" i="2"/>
  <c r="G37" i="2"/>
  <c r="G36" i="2"/>
  <c r="G35" i="2"/>
  <c r="G33" i="2"/>
  <c r="G32" i="2"/>
  <c r="G31" i="2"/>
  <c r="G30" i="2"/>
  <c r="G27" i="2"/>
  <c r="F39" i="2"/>
  <c r="F37" i="2"/>
  <c r="F36" i="2"/>
  <c r="F35" i="2"/>
  <c r="F33" i="2"/>
  <c r="F32" i="2"/>
  <c r="F31" i="2"/>
  <c r="F30" i="2"/>
  <c r="F27" i="2"/>
  <c r="E39" i="2"/>
  <c r="E37" i="2"/>
  <c r="E36" i="2"/>
  <c r="E35" i="2"/>
  <c r="E33" i="2"/>
  <c r="E32" i="2"/>
  <c r="E31" i="2"/>
  <c r="E30" i="2"/>
  <c r="E27" i="2"/>
  <c r="D39" i="2"/>
  <c r="D37" i="2"/>
  <c r="D36" i="2"/>
  <c r="D35" i="2"/>
  <c r="D33" i="2"/>
  <c r="D32" i="2"/>
  <c r="D31" i="2"/>
  <c r="D30" i="2"/>
  <c r="D27" i="2"/>
  <c r="C39" i="2"/>
  <c r="C37" i="2"/>
  <c r="C36" i="2"/>
  <c r="C35" i="2"/>
  <c r="C33" i="2"/>
  <c r="C32" i="2"/>
  <c r="C31" i="2"/>
  <c r="C30" i="2"/>
  <c r="C27" i="2"/>
  <c r="B39" i="2"/>
  <c r="B37" i="2"/>
  <c r="B36" i="2"/>
  <c r="B35" i="2"/>
  <c r="B33" i="2"/>
  <c r="B32" i="2"/>
  <c r="B31" i="2"/>
  <c r="B30" i="2"/>
  <c r="B27" i="2"/>
  <c r="C18" i="1"/>
  <c r="C17" i="1"/>
  <c r="C14" i="1"/>
  <c r="C13" i="1"/>
  <c r="C12" i="1"/>
  <c r="C9" i="1"/>
  <c r="AV15" i="1" l="1"/>
  <c r="BA21" i="1"/>
  <c r="BB15" i="1" s="1"/>
  <c r="BH19" i="1"/>
  <c r="AV19" i="1"/>
  <c r="BC18" i="1"/>
  <c r="BC15" i="1"/>
  <c r="BC9" i="1"/>
  <c r="BC19" i="1"/>
  <c r="BB17" i="1"/>
  <c r="AU21" i="1"/>
  <c r="K36" i="2"/>
  <c r="BB9" i="1" l="1"/>
  <c r="BB19" i="1"/>
  <c r="BB21" i="1"/>
  <c r="BB10" i="1"/>
  <c r="BB11" i="1"/>
  <c r="BH21" i="1"/>
  <c r="BB12" i="1"/>
  <c r="BB13" i="1"/>
  <c r="BB18" i="1"/>
  <c r="BB14" i="1"/>
  <c r="AV21" i="1"/>
  <c r="K31" i="2"/>
  <c r="K39" i="2"/>
  <c r="K33" i="2"/>
  <c r="K27" i="2"/>
  <c r="K32" i="2"/>
  <c r="K35" i="2"/>
  <c r="K30" i="2"/>
  <c r="K37" i="2"/>
  <c r="B18" i="1"/>
  <c r="D18" i="1" s="1"/>
  <c r="B17" i="1"/>
  <c r="D17" i="1" s="1"/>
  <c r="B14" i="1"/>
  <c r="B13" i="1"/>
  <c r="D13" i="1" s="1"/>
  <c r="B12" i="1"/>
  <c r="D12" i="1" s="1"/>
  <c r="B9" i="1"/>
  <c r="D9" i="1" s="1"/>
  <c r="C19" i="1"/>
  <c r="D14" i="1"/>
  <c r="C15" i="1"/>
  <c r="F17" i="1"/>
  <c r="F14" i="1"/>
  <c r="F13" i="1"/>
  <c r="H13" i="1" s="1"/>
  <c r="F12" i="1"/>
  <c r="F9" i="1"/>
  <c r="F18" i="1"/>
  <c r="G18" i="1"/>
  <c r="G17" i="1"/>
  <c r="G14" i="1"/>
  <c r="G13" i="1"/>
  <c r="G12" i="1"/>
  <c r="G9" i="1"/>
  <c r="K14" i="1"/>
  <c r="M14" i="1" s="1"/>
  <c r="K13" i="1"/>
  <c r="K12" i="1"/>
  <c r="M12" i="1" s="1"/>
  <c r="K9" i="1"/>
  <c r="K18" i="1"/>
  <c r="K17" i="1"/>
  <c r="L18" i="1"/>
  <c r="L17" i="1"/>
  <c r="L14" i="1"/>
  <c r="L13" i="1"/>
  <c r="L12" i="1"/>
  <c r="L9" i="1"/>
  <c r="Q18" i="1"/>
  <c r="Q17" i="1"/>
  <c r="Q14" i="1"/>
  <c r="Q13" i="1"/>
  <c r="Q12" i="1"/>
  <c r="Q9" i="1"/>
  <c r="P18" i="1"/>
  <c r="P17" i="1"/>
  <c r="P14" i="1"/>
  <c r="P13" i="1"/>
  <c r="P12" i="1"/>
  <c r="P9" i="1"/>
  <c r="V18" i="1"/>
  <c r="V17" i="1"/>
  <c r="V14" i="1"/>
  <c r="V13" i="1"/>
  <c r="V12" i="1"/>
  <c r="V9" i="1"/>
  <c r="U18" i="1"/>
  <c r="U17" i="1"/>
  <c r="U14" i="1"/>
  <c r="U13" i="1"/>
  <c r="U12" i="1"/>
  <c r="U9" i="1"/>
  <c r="W9" i="1" s="1"/>
  <c r="AA9" i="1"/>
  <c r="AA12" i="1"/>
  <c r="G19" i="1" l="1"/>
  <c r="M18" i="1"/>
  <c r="H9" i="1"/>
  <c r="J9" i="1" s="1"/>
  <c r="R17" i="1"/>
  <c r="W18" i="1"/>
  <c r="AW15" i="1"/>
  <c r="BC21" i="1"/>
  <c r="H12" i="1"/>
  <c r="J12" i="1" s="1"/>
  <c r="R18" i="1"/>
  <c r="G15" i="1"/>
  <c r="G21" i="1" s="1"/>
  <c r="H17" i="1"/>
  <c r="J17" i="1"/>
  <c r="AW21" i="1"/>
  <c r="AW18" i="1"/>
  <c r="AW13" i="1"/>
  <c r="AW14" i="1"/>
  <c r="AW12" i="1"/>
  <c r="AW17" i="1"/>
  <c r="AW9" i="1"/>
  <c r="AW19" i="1"/>
  <c r="M13" i="1"/>
  <c r="T13" i="1" s="1"/>
  <c r="Q19" i="1"/>
  <c r="L15" i="1"/>
  <c r="F19" i="1"/>
  <c r="J13" i="1"/>
  <c r="C21" i="1"/>
  <c r="D15" i="1"/>
  <c r="D19" i="1"/>
  <c r="B15" i="1"/>
  <c r="B19" i="1"/>
  <c r="H18" i="1"/>
  <c r="O18" i="1" s="1"/>
  <c r="H14" i="1"/>
  <c r="O14" i="1" s="1"/>
  <c r="F15" i="1"/>
  <c r="M17" i="1"/>
  <c r="T17" i="1" s="1"/>
  <c r="L19" i="1"/>
  <c r="M9" i="1"/>
  <c r="K15" i="1"/>
  <c r="K19" i="1"/>
  <c r="R12" i="1"/>
  <c r="T12" i="1" s="1"/>
  <c r="R14" i="1"/>
  <c r="R13" i="1"/>
  <c r="Q15" i="1"/>
  <c r="R9" i="1"/>
  <c r="Y9" i="1" s="1"/>
  <c r="P15" i="1"/>
  <c r="P19" i="1"/>
  <c r="V19" i="1"/>
  <c r="W17" i="1"/>
  <c r="W14" i="1"/>
  <c r="V15" i="1"/>
  <c r="W13" i="1"/>
  <c r="W12" i="1"/>
  <c r="U15" i="1"/>
  <c r="U19" i="1"/>
  <c r="T18" i="1" l="1"/>
  <c r="O12" i="1"/>
  <c r="Y18" i="1"/>
  <c r="R19" i="1"/>
  <c r="O9" i="1"/>
  <c r="Q21" i="1"/>
  <c r="Y14" i="1"/>
  <c r="T9" i="1"/>
  <c r="T14" i="1"/>
  <c r="O17" i="1"/>
  <c r="Y12" i="1"/>
  <c r="O13" i="1"/>
  <c r="Y13" i="1"/>
  <c r="L21" i="1"/>
  <c r="J14" i="1"/>
  <c r="Y17" i="1"/>
  <c r="J18" i="1"/>
  <c r="B21" i="1"/>
  <c r="D21" i="1"/>
  <c r="F21" i="1"/>
  <c r="H19" i="1"/>
  <c r="J19" i="1" s="1"/>
  <c r="H15" i="1"/>
  <c r="M19" i="1"/>
  <c r="T19" i="1" s="1"/>
  <c r="M15" i="1"/>
  <c r="K21" i="1"/>
  <c r="R15" i="1"/>
  <c r="P21" i="1"/>
  <c r="V21" i="1"/>
  <c r="W19" i="1"/>
  <c r="Y19" i="1" s="1"/>
  <c r="W15" i="1"/>
  <c r="U21" i="1"/>
  <c r="Y15" i="1" l="1"/>
  <c r="O15" i="1"/>
  <c r="J15" i="1"/>
  <c r="T15" i="1"/>
  <c r="O19" i="1"/>
  <c r="E15" i="1"/>
  <c r="E21" i="1"/>
  <c r="E12" i="1"/>
  <c r="E18" i="1"/>
  <c r="E17" i="1"/>
  <c r="E13" i="1"/>
  <c r="E9" i="1"/>
  <c r="E14" i="1"/>
  <c r="E19" i="1"/>
  <c r="H21" i="1"/>
  <c r="M21" i="1"/>
  <c r="N15" i="1" s="1"/>
  <c r="R21" i="1"/>
  <c r="W21" i="1"/>
  <c r="X15" i="1" s="1"/>
  <c r="Y21" i="1" l="1"/>
  <c r="O21" i="1"/>
  <c r="J21" i="1"/>
  <c r="I15" i="1"/>
  <c r="I17" i="1"/>
  <c r="I14" i="1"/>
  <c r="I19" i="1"/>
  <c r="I21" i="1"/>
  <c r="I13" i="1"/>
  <c r="I12" i="1"/>
  <c r="I18" i="1"/>
  <c r="I9" i="1"/>
  <c r="N13" i="1"/>
  <c r="N21" i="1"/>
  <c r="N18" i="1"/>
  <c r="N9" i="1"/>
  <c r="N19" i="1"/>
  <c r="N12" i="1"/>
  <c r="T21" i="1"/>
  <c r="N14" i="1"/>
  <c r="N17" i="1"/>
  <c r="S18" i="1"/>
  <c r="S17" i="1"/>
  <c r="S15" i="1"/>
  <c r="S12" i="1"/>
  <c r="S9" i="1"/>
  <c r="S14" i="1"/>
  <c r="S21" i="1"/>
  <c r="S13" i="1"/>
  <c r="S19" i="1"/>
  <c r="X21" i="1"/>
  <c r="X9" i="1"/>
  <c r="X17" i="1"/>
  <c r="X19" i="1"/>
  <c r="X14" i="1"/>
  <c r="X18" i="1"/>
  <c r="X12" i="1"/>
  <c r="X13" i="1"/>
  <c r="AA18" i="1" l="1"/>
  <c r="AA17" i="1"/>
  <c r="AA14" i="1"/>
  <c r="AA13" i="1"/>
  <c r="Z18" i="1"/>
  <c r="Z14" i="1"/>
  <c r="Z17" i="1"/>
  <c r="Z13" i="1"/>
  <c r="AB13" i="1" s="1"/>
  <c r="Z12" i="1"/>
  <c r="AB12" i="1" s="1"/>
  <c r="Z9" i="1"/>
  <c r="AB9" i="1" s="1"/>
  <c r="AF18" i="1"/>
  <c r="AF17" i="1"/>
  <c r="AF14" i="1"/>
  <c r="AF13" i="1"/>
  <c r="AF12" i="1"/>
  <c r="AF9" i="1"/>
  <c r="AE18" i="1"/>
  <c r="AE17" i="1"/>
  <c r="AE14" i="1"/>
  <c r="AE13" i="1"/>
  <c r="AE12" i="1"/>
  <c r="AE9" i="1"/>
  <c r="AK18" i="1"/>
  <c r="AK17" i="1"/>
  <c r="AK14" i="1"/>
  <c r="AK13" i="1"/>
  <c r="AK12" i="1"/>
  <c r="AK9" i="1"/>
  <c r="AJ18" i="1"/>
  <c r="AJ17" i="1"/>
  <c r="AJ14" i="1"/>
  <c r="AJ13" i="1"/>
  <c r="AJ12" i="1"/>
  <c r="AJ9" i="1"/>
  <c r="AP18" i="1"/>
  <c r="AP19" i="1" s="1"/>
  <c r="AO18" i="1"/>
  <c r="AQ18" i="1" s="1"/>
  <c r="AX18" i="1" s="1"/>
  <c r="AO17" i="1"/>
  <c r="AQ17" i="1" s="1"/>
  <c r="AX17" i="1" s="1"/>
  <c r="AP14" i="1"/>
  <c r="AO14" i="1"/>
  <c r="AP13" i="1"/>
  <c r="AO13" i="1"/>
  <c r="AP12" i="1"/>
  <c r="AO12" i="1"/>
  <c r="AP9" i="1"/>
  <c r="AO9" i="1"/>
  <c r="AP15" i="1" l="1"/>
  <c r="AP21" i="1" s="1"/>
  <c r="AD12" i="1"/>
  <c r="AD13" i="1"/>
  <c r="AQ12" i="1"/>
  <c r="AQ14" i="1"/>
  <c r="AX14" i="1" s="1"/>
  <c r="AF19" i="1"/>
  <c r="AG12" i="1"/>
  <c r="AI12" i="1" s="1"/>
  <c r="AQ9" i="1"/>
  <c r="AX9" i="1" s="1"/>
  <c r="AQ13" i="1"/>
  <c r="AD9" i="1"/>
  <c r="AB18" i="1"/>
  <c r="AB14" i="1"/>
  <c r="AB15" i="1" s="1"/>
  <c r="AA19" i="1"/>
  <c r="AB17" i="1"/>
  <c r="AA15" i="1"/>
  <c r="Z15" i="1"/>
  <c r="Z19" i="1"/>
  <c r="AG18" i="1"/>
  <c r="AG17" i="1"/>
  <c r="AF15" i="1"/>
  <c r="AG14" i="1"/>
  <c r="AG13" i="1"/>
  <c r="AG9" i="1"/>
  <c r="AE15" i="1"/>
  <c r="AE19" i="1"/>
  <c r="AQ19" i="1"/>
  <c r="AX19" i="1" s="1"/>
  <c r="AO19" i="1"/>
  <c r="AO15" i="1"/>
  <c r="AK19" i="1"/>
  <c r="AL18" i="1"/>
  <c r="AS18" i="1" s="1"/>
  <c r="AL17" i="1"/>
  <c r="AS17" i="1" s="1"/>
  <c r="AK15" i="1"/>
  <c r="AL14" i="1"/>
  <c r="AL13" i="1"/>
  <c r="AL12" i="1"/>
  <c r="AL9" i="1"/>
  <c r="AJ19" i="1"/>
  <c r="AN13" i="1" l="1"/>
  <c r="AN17" i="1"/>
  <c r="AN18" i="1"/>
  <c r="AS12" i="1"/>
  <c r="AX12" i="1"/>
  <c r="AF21" i="1"/>
  <c r="AS13" i="1"/>
  <c r="AX13" i="1"/>
  <c r="AN9" i="1"/>
  <c r="AD15" i="1"/>
  <c r="AS9" i="1"/>
  <c r="AN14" i="1"/>
  <c r="AI17" i="1"/>
  <c r="AD17" i="1"/>
  <c r="AN12" i="1"/>
  <c r="AI14" i="1"/>
  <c r="AD14" i="1"/>
  <c r="AS14" i="1"/>
  <c r="AQ15" i="1"/>
  <c r="AQ21" i="1" s="1"/>
  <c r="AX21" i="1" s="1"/>
  <c r="AI18" i="1"/>
  <c r="AD18" i="1"/>
  <c r="AI9" i="1"/>
  <c r="AI13" i="1"/>
  <c r="AA21" i="1"/>
  <c r="AB19" i="1"/>
  <c r="Z21" i="1"/>
  <c r="AG19" i="1"/>
  <c r="AG15" i="1"/>
  <c r="AE21" i="1"/>
  <c r="AO21" i="1"/>
  <c r="AL19" i="1"/>
  <c r="AS19" i="1" s="1"/>
  <c r="AK21" i="1"/>
  <c r="AL15" i="1"/>
  <c r="AJ15" i="1"/>
  <c r="AJ21" i="1" s="1"/>
  <c r="AN19" i="1" l="1"/>
  <c r="AS15" i="1"/>
  <c r="AX15" i="1"/>
  <c r="AI19" i="1"/>
  <c r="AD19" i="1"/>
  <c r="AR19" i="1"/>
  <c r="AR15" i="1"/>
  <c r="AN15" i="1"/>
  <c r="AI15" i="1"/>
  <c r="AB21" i="1"/>
  <c r="AG21" i="1"/>
  <c r="AR21" i="1"/>
  <c r="AR12" i="1"/>
  <c r="AR9" i="1"/>
  <c r="AR13" i="1"/>
  <c r="AR18" i="1"/>
  <c r="AR17" i="1"/>
  <c r="AR14" i="1"/>
  <c r="AL21" i="1"/>
  <c r="AS21" i="1" s="1"/>
  <c r="AI21" i="1" l="1"/>
  <c r="AD21" i="1"/>
  <c r="AN21" i="1"/>
  <c r="AC14" i="1"/>
  <c r="AC9" i="1"/>
  <c r="AC12" i="1"/>
  <c r="AC15" i="1"/>
  <c r="AC17" i="1"/>
  <c r="AC18" i="1"/>
  <c r="AC13" i="1"/>
  <c r="AC21" i="1"/>
  <c r="AC19" i="1"/>
  <c r="AH15" i="1"/>
  <c r="AH19" i="1"/>
  <c r="AH21" i="1"/>
  <c r="AH12" i="1"/>
  <c r="AH13" i="1"/>
  <c r="AH14" i="1"/>
  <c r="AH18" i="1"/>
  <c r="AH17" i="1"/>
  <c r="AH9" i="1"/>
  <c r="AM9" i="1"/>
  <c r="AM18" i="1"/>
  <c r="AM13" i="1"/>
  <c r="AM17" i="1"/>
  <c r="AM12" i="1"/>
  <c r="AM21" i="1"/>
  <c r="AM19" i="1"/>
  <c r="AM14" i="1"/>
  <c r="AM15" i="1"/>
  <c r="BJ15" i="1" l="1"/>
  <c r="BJ21" i="1" s="1"/>
  <c r="BK14" i="1"/>
  <c r="N14" i="2" s="1"/>
  <c r="BM14" i="1" l="1"/>
  <c r="BK15" i="1"/>
  <c r="N15" i="2" s="1"/>
  <c r="BK21" i="1" l="1"/>
  <c r="N21" i="2" s="1"/>
  <c r="BL15" i="1"/>
  <c r="BM15" i="1"/>
  <c r="W30" i="2" l="1"/>
  <c r="N27" i="2"/>
  <c r="N39" i="2"/>
  <c r="N31" i="2"/>
  <c r="N28" i="2"/>
  <c r="N35" i="2"/>
  <c r="N30" i="2"/>
  <c r="N37" i="2"/>
  <c r="N29" i="2"/>
  <c r="N36" i="2"/>
  <c r="N32" i="2"/>
  <c r="N33" i="2"/>
  <c r="BL17" i="1"/>
  <c r="BL11" i="1"/>
  <c r="BL18" i="1"/>
  <c r="BL13" i="1"/>
  <c r="BL9" i="1"/>
  <c r="BL21" i="1"/>
  <c r="BL12" i="1"/>
  <c r="BL19" i="1"/>
  <c r="BL10" i="1"/>
  <c r="BM21" i="1"/>
  <c r="BL14" i="1"/>
  <c r="W37" i="2" l="1"/>
  <c r="W35" i="2"/>
  <c r="W36" i="2"/>
  <c r="W31" i="2"/>
  <c r="W39" i="2"/>
  <c r="W32" i="2"/>
  <c r="W33" i="2"/>
</calcChain>
</file>

<file path=xl/sharedStrings.xml><?xml version="1.0" encoding="utf-8"?>
<sst xmlns="http://schemas.openxmlformats.org/spreadsheetml/2006/main" count="275" uniqueCount="53">
  <si>
    <t>Rakennukset</t>
  </si>
  <si>
    <t>Koneet, kalusto, kuljetusvälineet</t>
  </si>
  <si>
    <t>Poistonalaiset investoinnit yht.</t>
  </si>
  <si>
    <t>Maa- ja vesialueet</t>
  </si>
  <si>
    <t>Ei-poistonalaiset investoinnit yht.</t>
  </si>
  <si>
    <t>Investoinnit yhteensä</t>
  </si>
  <si>
    <t>Kunnat</t>
  </si>
  <si>
    <t>Ky:t</t>
  </si>
  <si>
    <t>Yhteensä</t>
  </si>
  <si>
    <t>Vuosi 2013, milj. €</t>
  </si>
  <si>
    <t>Investointihyödyke</t>
  </si>
  <si>
    <t>milj. €</t>
  </si>
  <si>
    <t>%-osuus</t>
  </si>
  <si>
    <t>Vuosi 2012, milj. €</t>
  </si>
  <si>
    <t>Kiinteät rakenteet ja laitteet 1)</t>
  </si>
  <si>
    <t>Muut poistonalaiset investoinnit 2)</t>
  </si>
  <si>
    <t>Osakkeet ja osuudet 3)</t>
  </si>
  <si>
    <t xml:space="preserve"> 3) Esim. kunnallisia palveluja tuottavien yhteisöjen osakkeet ja osuudet, asunto-osakkeet, kuntayhtymien peruspääoman korotus</t>
  </si>
  <si>
    <t>muutos-%</t>
  </si>
  <si>
    <t>Vuosi 2011, milj. €</t>
  </si>
  <si>
    <t xml:space="preserve"> 1) Mm. kadut, tiet, pysäköintialueet, sillat, puistot, vesi- ja viemäriverkostot</t>
  </si>
  <si>
    <t>Vuosi 2009, milj. €</t>
  </si>
  <si>
    <t>Vuosi 2010, milj. € (HSY:n perustaminen)</t>
  </si>
  <si>
    <t>Vuosi 2008, milj. €</t>
  </si>
  <si>
    <t>Vuosi 2007, milj. €</t>
  </si>
  <si>
    <t>Vuosi 2006, milj. €</t>
  </si>
  <si>
    <t>Vuosi 2005, milj. €</t>
  </si>
  <si>
    <t>Vuosi 2014, milj. €</t>
  </si>
  <si>
    <t>Muutos-%</t>
  </si>
  <si>
    <t>keskim./v</t>
  </si>
  <si>
    <t>Vuosi 2015, milj. €</t>
  </si>
  <si>
    <t>siitä: Rakennusten hankinta</t>
  </si>
  <si>
    <t xml:space="preserve">        Rakennusten korjausinvestoinnit</t>
  </si>
  <si>
    <t xml:space="preserve"> 2) Sisältää vuosina 2005-2014 liikelaitosten ennakkomaksut ja keskeneräiset hankinnat. Vuonna 2015 ennakkomaksut ja keskeneräiset hankinnat on jaettu hyödykeryhmiin.</t>
  </si>
  <si>
    <t>Vuosi 2016, milj. €</t>
  </si>
  <si>
    <t>%</t>
  </si>
  <si>
    <t>Osuus investoinneista yhteensä, %:</t>
  </si>
  <si>
    <t>Muutos</t>
  </si>
  <si>
    <t>Vuosi 2017, milj. €</t>
  </si>
  <si>
    <t xml:space="preserve"> 2) Sisältää vuosina 2005-2014 liikelaitosten ennakkomaksut ja keskeneräiset hankinnat. Vuosina 2015-2017 ennakkomaksut ja keskeneräiset hankinnat on jaettu hyödykeryhmiin.</t>
  </si>
  <si>
    <t>Vuosi 2018, milj. €</t>
  </si>
  <si>
    <t>Vuosi 2019, milj. €</t>
  </si>
  <si>
    <t>Vuosi 2020, milj. €</t>
  </si>
  <si>
    <t>Kuntien ja kuntayhtymien (ml. liikelaitokset) bruttoinvestoinnit 2005-2020</t>
  </si>
  <si>
    <t>Vuosi 2021, milj. €</t>
  </si>
  <si>
    <t>Vuosi 2022, milj. €</t>
  </si>
  <si>
    <t>Vuosi 2023, milj. €</t>
  </si>
  <si>
    <t>Vuosi 2024, milj. €</t>
  </si>
  <si>
    <t>2005-2024</t>
  </si>
  <si>
    <t>2023-24</t>
  </si>
  <si>
    <t>2005-24</t>
  </si>
  <si>
    <t>Kuntien ja kuntayhtymien (ml. liikelaitokset) bruttoinvestoinnit 2005-2024</t>
  </si>
  <si>
    <t>Lähde: Tilastokeskus, vuodesta 2021 lähtien Valtiokonttori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</si>
</sst>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\ %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i/>
      <sz val="10"/>
      <color theme="9" tint="-0.499984740745262"/>
      <name val="Arial"/>
      <family val="2"/>
    </font>
    <font>
      <b/>
      <i/>
      <sz val="10"/>
      <color theme="9" tint="-0.499984740745262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70C0"/>
      <name val="Arial"/>
      <family val="2"/>
    </font>
    <font>
      <i/>
      <sz val="9"/>
      <color theme="9" tint="-0.499984740745262"/>
      <name val="Arial"/>
      <family val="2"/>
    </font>
    <font>
      <sz val="14"/>
      <color theme="1"/>
      <name val="Arial"/>
      <family val="2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5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3" fontId="1" fillId="0" borderId="4" xfId="0" applyNumberFormat="1" applyFont="1" applyBorder="1"/>
    <xf numFmtId="164" fontId="3" fillId="0" borderId="5" xfId="0" applyNumberFormat="1" applyFont="1" applyBorder="1"/>
    <xf numFmtId="3" fontId="2" fillId="0" borderId="4" xfId="0" applyNumberFormat="1" applyFont="1" applyBorder="1"/>
    <xf numFmtId="164" fontId="4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164" fontId="4" fillId="0" borderId="8" xfId="0" applyNumberFormat="1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64" fontId="5" fillId="0" borderId="5" xfId="0" applyNumberFormat="1" applyFont="1" applyBorder="1"/>
    <xf numFmtId="164" fontId="4" fillId="0" borderId="0" xfId="0" applyNumberFormat="1" applyFont="1"/>
    <xf numFmtId="164" fontId="6" fillId="0" borderId="5" xfId="0" applyNumberFormat="1" applyFont="1" applyBorder="1"/>
    <xf numFmtId="164" fontId="4" fillId="0" borderId="7" xfId="0" applyNumberFormat="1" applyFont="1" applyBorder="1"/>
    <xf numFmtId="164" fontId="6" fillId="0" borderId="8" xfId="0" applyNumberFormat="1" applyFont="1" applyBorder="1"/>
    <xf numFmtId="0" fontId="5" fillId="0" borderId="3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7" fillId="0" borderId="0" xfId="0" applyFont="1"/>
    <xf numFmtId="0" fontId="4" fillId="0" borderId="0" xfId="0" applyFont="1"/>
    <xf numFmtId="0" fontId="8" fillId="0" borderId="10" xfId="0" applyFont="1" applyBorder="1"/>
    <xf numFmtId="3" fontId="8" fillId="0" borderId="4" xfId="0" applyNumberFormat="1" applyFont="1" applyBorder="1"/>
    <xf numFmtId="3" fontId="8" fillId="0" borderId="0" xfId="0" applyNumberFormat="1" applyFont="1"/>
    <xf numFmtId="164" fontId="9" fillId="0" borderId="5" xfId="0" applyNumberFormat="1" applyFont="1" applyBorder="1"/>
    <xf numFmtId="164" fontId="9" fillId="0" borderId="0" xfId="0" applyNumberFormat="1" applyFont="1"/>
    <xf numFmtId="164" fontId="10" fillId="0" borderId="5" xfId="0" applyNumberFormat="1" applyFont="1" applyBorder="1"/>
    <xf numFmtId="0" fontId="8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164" fontId="13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14" fillId="0" borderId="4" xfId="0" applyNumberFormat="1" applyFont="1" applyBorder="1"/>
    <xf numFmtId="3" fontId="14" fillId="0" borderId="0" xfId="0" applyNumberFormat="1" applyFont="1"/>
    <xf numFmtId="3" fontId="15" fillId="0" borderId="4" xfId="0" applyNumberFormat="1" applyFont="1" applyBorder="1"/>
    <xf numFmtId="3" fontId="15" fillId="0" borderId="0" xfId="0" applyNumberFormat="1" applyFont="1"/>
    <xf numFmtId="3" fontId="16" fillId="0" borderId="4" xfId="0" applyNumberFormat="1" applyFont="1" applyBorder="1"/>
    <xf numFmtId="3" fontId="16" fillId="0" borderId="0" xfId="0" applyNumberFormat="1" applyFont="1"/>
    <xf numFmtId="3" fontId="17" fillId="0" borderId="4" xfId="0" applyNumberFormat="1" applyFont="1" applyBorder="1"/>
    <xf numFmtId="3" fontId="17" fillId="0" borderId="0" xfId="0" applyNumberFormat="1" applyFont="1"/>
    <xf numFmtId="3" fontId="17" fillId="0" borderId="6" xfId="0" applyNumberFormat="1" applyFont="1" applyBorder="1"/>
    <xf numFmtId="3" fontId="17" fillId="0" borderId="7" xfId="0" applyNumberFormat="1" applyFont="1" applyBorder="1"/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5D8F29A8-3873-4AF0-9017-C9A349F8BD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Z28" sqref="Z28"/>
    </sheetView>
  </sheetViews>
  <sheetFormatPr defaultColWidth="9.140625" defaultRowHeight="12.75" x14ac:dyDescent="0.2"/>
  <cols>
    <col min="1" max="1" width="30.140625" style="1" customWidth="1"/>
    <col min="2" max="21" width="8.140625" style="1" customWidth="1"/>
    <col min="22" max="22" width="1.85546875" style="1" customWidth="1"/>
    <col min="23" max="23" width="10" style="1" customWidth="1"/>
    <col min="24" max="24" width="8.85546875" style="49" customWidth="1"/>
    <col min="25" max="25" width="9.85546875" style="7" customWidth="1"/>
    <col min="26" max="16384" width="9.140625" style="1"/>
  </cols>
  <sheetData>
    <row r="1" spans="1:25" ht="7.35" customHeight="1" x14ac:dyDescent="0.2"/>
    <row r="2" spans="1:25" ht="18" x14ac:dyDescent="0.25">
      <c r="A2" s="47" t="s">
        <v>51</v>
      </c>
    </row>
    <row r="3" spans="1:25" ht="12.6" customHeight="1" x14ac:dyDescent="0.2">
      <c r="A3" s="1" t="s">
        <v>52</v>
      </c>
    </row>
    <row r="4" spans="1:25" ht="4.7" customHeight="1" x14ac:dyDescent="0.2"/>
    <row r="5" spans="1:25" x14ac:dyDescent="0.2">
      <c r="A5" s="1" t="s">
        <v>10</v>
      </c>
      <c r="B5" s="12">
        <v>2005</v>
      </c>
      <c r="C5" s="12">
        <v>2006</v>
      </c>
      <c r="D5" s="12">
        <v>2007</v>
      </c>
      <c r="E5" s="12">
        <v>2008</v>
      </c>
      <c r="F5" s="12">
        <v>2009</v>
      </c>
      <c r="G5" s="12">
        <v>2010</v>
      </c>
      <c r="H5" s="12">
        <v>2011</v>
      </c>
      <c r="I5" s="12">
        <v>2012</v>
      </c>
      <c r="J5" s="12">
        <v>2013</v>
      </c>
      <c r="K5" s="12">
        <v>2014</v>
      </c>
      <c r="L5" s="12">
        <v>2015</v>
      </c>
      <c r="M5" s="12">
        <v>2016</v>
      </c>
      <c r="N5" s="12">
        <v>2017</v>
      </c>
      <c r="O5" s="12">
        <v>2018</v>
      </c>
      <c r="P5" s="12">
        <v>2019</v>
      </c>
      <c r="Q5" s="12">
        <v>2020</v>
      </c>
      <c r="R5" s="12">
        <v>2021</v>
      </c>
      <c r="S5" s="12">
        <v>2022</v>
      </c>
      <c r="T5" s="12">
        <v>2023</v>
      </c>
      <c r="U5" s="12">
        <v>2024</v>
      </c>
      <c r="W5" s="1" t="s">
        <v>8</v>
      </c>
      <c r="X5" s="50" t="s">
        <v>37</v>
      </c>
      <c r="Y5" s="50" t="s">
        <v>28</v>
      </c>
    </row>
    <row r="6" spans="1:25" x14ac:dyDescent="0.2">
      <c r="B6" s="12" t="s">
        <v>11</v>
      </c>
      <c r="C6" s="12" t="s">
        <v>11</v>
      </c>
      <c r="D6" s="12" t="s">
        <v>11</v>
      </c>
      <c r="E6" s="12" t="s">
        <v>11</v>
      </c>
      <c r="F6" s="12" t="s">
        <v>11</v>
      </c>
      <c r="G6" s="12" t="s">
        <v>11</v>
      </c>
      <c r="H6" s="12" t="s">
        <v>11</v>
      </c>
      <c r="I6" s="12" t="s">
        <v>11</v>
      </c>
      <c r="J6" s="12" t="s">
        <v>11</v>
      </c>
      <c r="K6" s="12" t="s">
        <v>11</v>
      </c>
      <c r="L6" s="12" t="s">
        <v>11</v>
      </c>
      <c r="M6" s="12" t="s">
        <v>11</v>
      </c>
      <c r="N6" s="12" t="s">
        <v>11</v>
      </c>
      <c r="O6" s="12" t="s">
        <v>11</v>
      </c>
      <c r="P6" s="12" t="s">
        <v>11</v>
      </c>
      <c r="Q6" s="12" t="s">
        <v>11</v>
      </c>
      <c r="R6" s="12" t="s">
        <v>11</v>
      </c>
      <c r="S6" s="12" t="s">
        <v>11</v>
      </c>
      <c r="T6" s="12" t="s">
        <v>11</v>
      </c>
      <c r="U6" s="12" t="s">
        <v>11</v>
      </c>
      <c r="W6" s="1" t="s">
        <v>48</v>
      </c>
      <c r="X6" s="50" t="s">
        <v>49</v>
      </c>
      <c r="Y6" s="50" t="s">
        <v>29</v>
      </c>
    </row>
    <row r="7" spans="1:25" ht="13.5" customHeight="1" x14ac:dyDescent="0.2">
      <c r="X7" s="50" t="s">
        <v>35</v>
      </c>
      <c r="Y7" s="50" t="s">
        <v>50</v>
      </c>
    </row>
    <row r="8" spans="1:25" ht="10.35" customHeight="1" x14ac:dyDescent="0.2"/>
    <row r="9" spans="1:25" ht="15.75" customHeight="1" x14ac:dyDescent="0.2">
      <c r="A9" s="1" t="s">
        <v>0</v>
      </c>
      <c r="B9" s="3">
        <v>1292.817</v>
      </c>
      <c r="C9" s="3">
        <v>1412.857</v>
      </c>
      <c r="D9" s="3">
        <v>1317.8429999999998</v>
      </c>
      <c r="E9" s="3">
        <v>1473.1550000000002</v>
      </c>
      <c r="F9" s="3">
        <v>1488.2320000000002</v>
      </c>
      <c r="G9" s="3">
        <v>1561.9569999999999</v>
      </c>
      <c r="H9" s="3">
        <v>1639.0840000000001</v>
      </c>
      <c r="I9" s="3">
        <v>1694.6610000000001</v>
      </c>
      <c r="J9" s="3">
        <v>1703.212</v>
      </c>
      <c r="K9" s="3">
        <v>1646.077</v>
      </c>
      <c r="L9" s="3">
        <v>1781.8600000000001</v>
      </c>
      <c r="M9" s="3">
        <v>1844.5</v>
      </c>
      <c r="N9" s="3">
        <f>'perustaulukko kunnat ja kyt'!BK9</f>
        <v>1877.9300000000005</v>
      </c>
      <c r="O9" s="3">
        <f>'perustaulukko kunnat ja kyt'!BP9</f>
        <v>2072.395</v>
      </c>
      <c r="P9" s="3">
        <f>'perustaulukko kunnat ja kyt'!BU9</f>
        <v>2384.9300000000003</v>
      </c>
      <c r="Q9" s="3">
        <f>'perustaulukko kunnat ja kyt'!BZ9</f>
        <v>2599.2929999999997</v>
      </c>
      <c r="R9" s="3">
        <f>'perustaulukko kunnat ja kyt'!CE9</f>
        <v>2483.5541249500002</v>
      </c>
      <c r="S9" s="3">
        <f>'perustaulukko kunnat ja kyt'!CJ9</f>
        <v>2730.4480186400001</v>
      </c>
      <c r="T9" s="3">
        <f>'perustaulukko kunnat ja kyt'!CO9</f>
        <v>1931.8184212400001</v>
      </c>
      <c r="U9" s="3">
        <f>'perustaulukko kunnat ja kyt'!CT9</f>
        <v>2025.82440354</v>
      </c>
      <c r="V9" s="3"/>
      <c r="W9" s="3">
        <f>SUM(B9:U9)</f>
        <v>36962.447968370005</v>
      </c>
      <c r="X9" s="51">
        <f>U9/T9-1</f>
        <v>4.8661914218448787E-2</v>
      </c>
      <c r="Y9" s="52">
        <f>100*(EXP(LN(U9/B9)/19)-1)</f>
        <v>2.3921271783610587</v>
      </c>
    </row>
    <row r="10" spans="1:25" s="46" customFormat="1" ht="15.75" customHeight="1" x14ac:dyDescent="0.2">
      <c r="A10" s="46" t="s">
        <v>31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>
        <v>813.90200000000004</v>
      </c>
      <c r="M10" s="42">
        <v>864.79399999999998</v>
      </c>
      <c r="N10" s="42">
        <f>'perustaulukko kunnat ja kyt'!BK10</f>
        <v>892.94800000000021</v>
      </c>
      <c r="O10" s="42">
        <f>'perustaulukko kunnat ja kyt'!BP10</f>
        <v>1014.784</v>
      </c>
      <c r="P10" s="42">
        <f>'perustaulukko kunnat ja kyt'!BU10</f>
        <v>1196.4970000000001</v>
      </c>
      <c r="Q10" s="42">
        <f>'perustaulukko kunnat ja kyt'!BZ10</f>
        <v>1638.7359999999999</v>
      </c>
      <c r="R10" s="3">
        <f>'perustaulukko kunnat ja kyt'!CE10</f>
        <v>1508.5093078600003</v>
      </c>
      <c r="S10" s="3">
        <f>'perustaulukko kunnat ja kyt'!CJ10</f>
        <v>1864.1587822800002</v>
      </c>
      <c r="T10" s="3">
        <f>'perustaulukko kunnat ja kyt'!CO10</f>
        <v>1048.3663879200001</v>
      </c>
      <c r="U10" s="3">
        <f>'perustaulukko kunnat ja kyt'!CT10</f>
        <v>1087.4732892900001</v>
      </c>
      <c r="V10" s="42"/>
      <c r="W10" s="42"/>
      <c r="X10" s="51">
        <f t="shared" ref="X10:X18" si="0">U10/T10-1</f>
        <v>3.7302704303206147E-2</v>
      </c>
      <c r="Y10" s="52"/>
    </row>
    <row r="11" spans="1:25" s="46" customFormat="1" ht="15.75" customHeight="1" x14ac:dyDescent="0.2">
      <c r="A11" s="46" t="s">
        <v>32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>
        <v>967.95799999999997</v>
      </c>
      <c r="M11" s="42">
        <v>979.70600000000002</v>
      </c>
      <c r="N11" s="42">
        <f>'perustaulukko kunnat ja kyt'!BK11</f>
        <v>984.98200000000031</v>
      </c>
      <c r="O11" s="42">
        <f>'perustaulukko kunnat ja kyt'!BP11</f>
        <v>1057.6109999999999</v>
      </c>
      <c r="P11" s="42">
        <f>'perustaulukko kunnat ja kyt'!BU11</f>
        <v>1188.433</v>
      </c>
      <c r="Q11" s="42">
        <f>'perustaulukko kunnat ja kyt'!BZ11</f>
        <v>960.55700000000002</v>
      </c>
      <c r="R11" s="3">
        <f>'perustaulukko kunnat ja kyt'!CE11</f>
        <v>975.04481709000015</v>
      </c>
      <c r="S11" s="3">
        <f>'perustaulukko kunnat ja kyt'!CJ11</f>
        <v>866.28923636000002</v>
      </c>
      <c r="T11" s="3">
        <f>'perustaulukko kunnat ja kyt'!CO11</f>
        <v>883.45203332000017</v>
      </c>
      <c r="U11" s="3">
        <f>'perustaulukko kunnat ja kyt'!CT11</f>
        <v>938.35111424999991</v>
      </c>
      <c r="V11" s="42"/>
      <c r="W11" s="42"/>
      <c r="X11" s="51">
        <f t="shared" si="0"/>
        <v>6.2141552522879895E-2</v>
      </c>
      <c r="Y11" s="52"/>
    </row>
    <row r="12" spans="1:25" ht="15.75" customHeight="1" x14ac:dyDescent="0.2">
      <c r="A12" s="1" t="s">
        <v>14</v>
      </c>
      <c r="B12" s="3">
        <v>901.22</v>
      </c>
      <c r="C12" s="3">
        <v>961.25299999999993</v>
      </c>
      <c r="D12" s="3">
        <v>1112.5940000000001</v>
      </c>
      <c r="E12" s="3">
        <v>1399.7359999999999</v>
      </c>
      <c r="F12" s="3">
        <v>1348.558</v>
      </c>
      <c r="G12" s="3">
        <v>1996.894</v>
      </c>
      <c r="H12" s="3">
        <v>1271.1199999999999</v>
      </c>
      <c r="I12" s="3">
        <v>1311.309</v>
      </c>
      <c r="J12" s="3">
        <v>1313.722</v>
      </c>
      <c r="K12" s="3">
        <v>1240.508</v>
      </c>
      <c r="L12" s="3">
        <v>1366.44</v>
      </c>
      <c r="M12" s="3">
        <v>1322.7719999999999</v>
      </c>
      <c r="N12" s="3">
        <f>'perustaulukko kunnat ja kyt'!BK12</f>
        <v>1419.7799999999997</v>
      </c>
      <c r="O12" s="3">
        <f>'perustaulukko kunnat ja kyt'!BP12</f>
        <v>1638.107</v>
      </c>
      <c r="P12" s="3">
        <f>'perustaulukko kunnat ja kyt'!BU12</f>
        <v>1748.182</v>
      </c>
      <c r="Q12" s="3">
        <f>'perustaulukko kunnat ja kyt'!BZ12</f>
        <v>1730.81</v>
      </c>
      <c r="R12" s="3">
        <f>'perustaulukko kunnat ja kyt'!CE12</f>
        <v>1616.42825253</v>
      </c>
      <c r="S12" s="3">
        <f>'perustaulukko kunnat ja kyt'!CJ12</f>
        <v>1698.8213109200001</v>
      </c>
      <c r="T12" s="3">
        <f>'perustaulukko kunnat ja kyt'!CO12</f>
        <v>1802.0845059499995</v>
      </c>
      <c r="U12" s="3">
        <f>'perustaulukko kunnat ja kyt'!CT12</f>
        <v>1788.8323388400004</v>
      </c>
      <c r="V12" s="3"/>
      <c r="W12" s="3">
        <f>SUM(B12:U12)</f>
        <v>28989.171408239999</v>
      </c>
      <c r="X12" s="51">
        <f t="shared" si="0"/>
        <v>-7.3537989290979322E-3</v>
      </c>
      <c r="Y12" s="52">
        <f>100*(EXP(LN(U12/B12)/19)-1)</f>
        <v>3.6741453811492075</v>
      </c>
    </row>
    <row r="13" spans="1:25" ht="15.75" customHeight="1" x14ac:dyDescent="0.2">
      <c r="A13" s="1" t="s">
        <v>1</v>
      </c>
      <c r="B13" s="3">
        <v>394.49900000000002</v>
      </c>
      <c r="C13" s="3">
        <v>403.85500000000002</v>
      </c>
      <c r="D13" s="3">
        <v>379.55100000000004</v>
      </c>
      <c r="E13" s="3">
        <v>356.49900000000002</v>
      </c>
      <c r="F13" s="3">
        <v>359.48400000000004</v>
      </c>
      <c r="G13" s="3">
        <v>384.82500000000005</v>
      </c>
      <c r="H13" s="3">
        <v>402.26099999999997</v>
      </c>
      <c r="I13" s="3">
        <v>438.58100000000002</v>
      </c>
      <c r="J13" s="3">
        <v>366.73500000000001</v>
      </c>
      <c r="K13" s="3">
        <v>356.50599999999997</v>
      </c>
      <c r="L13" s="3">
        <v>414.03199999999998</v>
      </c>
      <c r="M13" s="3">
        <v>505.87599999999998</v>
      </c>
      <c r="N13" s="3">
        <f>'perustaulukko kunnat ja kyt'!BK13</f>
        <v>380.96299999999997</v>
      </c>
      <c r="O13" s="3">
        <f>'perustaulukko kunnat ja kyt'!BP13</f>
        <v>409.89700000000005</v>
      </c>
      <c r="P13" s="3">
        <f>'perustaulukko kunnat ja kyt'!BU13</f>
        <v>390.524</v>
      </c>
      <c r="Q13" s="3">
        <f>'perustaulukko kunnat ja kyt'!BZ13</f>
        <v>392.44099999999997</v>
      </c>
      <c r="R13" s="3">
        <f>'perustaulukko kunnat ja kyt'!CE13</f>
        <v>383</v>
      </c>
      <c r="S13" s="3">
        <f>'perustaulukko kunnat ja kyt'!CJ13</f>
        <v>425</v>
      </c>
      <c r="T13" s="3">
        <f>'perustaulukko kunnat ja kyt'!CO13</f>
        <v>193</v>
      </c>
      <c r="U13" s="3">
        <f>'perustaulukko kunnat ja kyt'!CT13</f>
        <v>187</v>
      </c>
      <c r="V13" s="3"/>
      <c r="W13" s="3">
        <f>SUM(B13:U13)</f>
        <v>7524.5290000000005</v>
      </c>
      <c r="X13" s="51">
        <f t="shared" si="0"/>
        <v>-3.1088082901554404E-2</v>
      </c>
      <c r="Y13" s="52">
        <f t="shared" ref="Y13:Y21" si="1">100*(EXP(LN(U13/B13)/19)-1)</f>
        <v>-3.8528056335805139</v>
      </c>
    </row>
    <row r="14" spans="1:25" ht="15.75" customHeight="1" x14ac:dyDescent="0.2">
      <c r="A14" s="1" t="s">
        <v>15</v>
      </c>
      <c r="B14" s="3">
        <v>377.89499999999998</v>
      </c>
      <c r="C14" s="3">
        <v>421.41800000000001</v>
      </c>
      <c r="D14" s="3">
        <v>492.5</v>
      </c>
      <c r="E14" s="3">
        <v>537.69299999999998</v>
      </c>
      <c r="F14" s="3">
        <v>404.83199999999999</v>
      </c>
      <c r="G14" s="3">
        <v>572.851</v>
      </c>
      <c r="H14" s="3">
        <v>528.30500000000006</v>
      </c>
      <c r="I14" s="3">
        <v>492.61199999999997</v>
      </c>
      <c r="J14" s="3">
        <v>550.11900000000003</v>
      </c>
      <c r="K14" s="3">
        <v>611.70799999999997</v>
      </c>
      <c r="L14" s="3">
        <v>235.446</v>
      </c>
      <c r="M14" s="3">
        <v>192.946</v>
      </c>
      <c r="N14" s="3">
        <f>'perustaulukko kunnat ja kyt'!BK14</f>
        <v>226.21599999999705</v>
      </c>
      <c r="O14" s="3">
        <f>'perustaulukko kunnat ja kyt'!BP14</f>
        <v>234.31400000000031</v>
      </c>
      <c r="P14" s="3">
        <f>'perustaulukko kunnat ja kyt'!BU14</f>
        <v>252.97899999999981</v>
      </c>
      <c r="Q14" s="3">
        <f>'perustaulukko kunnat ja kyt'!BZ14</f>
        <v>294.38200000000001</v>
      </c>
      <c r="R14" s="3">
        <f>'perustaulukko kunnat ja kyt'!CE14</f>
        <v>318.06750812999996</v>
      </c>
      <c r="S14" s="3">
        <f>'perustaulukko kunnat ja kyt'!CJ14</f>
        <v>267</v>
      </c>
      <c r="T14" s="3">
        <f>'perustaulukko kunnat ja kyt'!CO14</f>
        <v>190.21344827999997</v>
      </c>
      <c r="U14" s="3">
        <f>'perustaulukko kunnat ja kyt'!CT14</f>
        <v>185</v>
      </c>
      <c r="V14" s="3"/>
      <c r="W14" s="3">
        <f>SUM(B14:U14)</f>
        <v>7386.4969564099965</v>
      </c>
      <c r="X14" s="51">
        <f>U14/T14-1</f>
        <v>-2.740841053638654E-2</v>
      </c>
      <c r="Y14" s="52">
        <f t="shared" si="1"/>
        <v>-3.6894828457700757</v>
      </c>
    </row>
    <row r="15" spans="1:25" s="2" customFormat="1" ht="15.75" customHeight="1" x14ac:dyDescent="0.2">
      <c r="A15" s="2" t="s">
        <v>2</v>
      </c>
      <c r="B15" s="4">
        <f t="shared" ref="B15:I15" si="2">B9+B12+B13+B14</f>
        <v>2966.431</v>
      </c>
      <c r="C15" s="4">
        <f t="shared" si="2"/>
        <v>3199.3829999999998</v>
      </c>
      <c r="D15" s="4">
        <f t="shared" si="2"/>
        <v>3302.4879999999998</v>
      </c>
      <c r="E15" s="4">
        <f t="shared" si="2"/>
        <v>3767.0830000000005</v>
      </c>
      <c r="F15" s="4">
        <f t="shared" si="2"/>
        <v>3601.1059999999998</v>
      </c>
      <c r="G15" s="4">
        <f t="shared" si="2"/>
        <v>4516.5269999999991</v>
      </c>
      <c r="H15" s="4">
        <f t="shared" si="2"/>
        <v>3840.7699999999995</v>
      </c>
      <c r="I15" s="4">
        <f t="shared" si="2"/>
        <v>3937.1630000000005</v>
      </c>
      <c r="J15" s="4">
        <v>3933.7880000000005</v>
      </c>
      <c r="K15" s="4">
        <v>3854.799</v>
      </c>
      <c r="L15" s="4">
        <v>3797.7780000000002</v>
      </c>
      <c r="M15" s="4">
        <v>3866.0940000000001</v>
      </c>
      <c r="N15" s="4">
        <f>'perustaulukko kunnat ja kyt'!BK15</f>
        <v>3904.8889999999969</v>
      </c>
      <c r="O15" s="4">
        <f>'perustaulukko kunnat ja kyt'!BP15</f>
        <v>4354.7130000000006</v>
      </c>
      <c r="P15" s="4">
        <f>'perustaulukko kunnat ja kyt'!BU15</f>
        <v>4776.6149999999998</v>
      </c>
      <c r="Q15" s="4">
        <f>'perustaulukko kunnat ja kyt'!BZ15</f>
        <v>5016.9259999999986</v>
      </c>
      <c r="R15" s="4">
        <f>'perustaulukko kunnat ja kyt'!CE15</f>
        <v>4801.0498856100003</v>
      </c>
      <c r="S15" s="4">
        <f>'perustaulukko kunnat ja kyt'!CJ15</f>
        <v>5121.2693295600002</v>
      </c>
      <c r="T15" s="4">
        <f>'perustaulukko kunnat ja kyt'!CO15</f>
        <v>4117.1163754700001</v>
      </c>
      <c r="U15" s="4">
        <f>'perustaulukko kunnat ja kyt'!CT15</f>
        <v>4186.6567423800007</v>
      </c>
      <c r="V15" s="4"/>
      <c r="W15" s="4">
        <f>SUM(B15:U15)</f>
        <v>80862.645333019987</v>
      </c>
      <c r="X15" s="51">
        <f t="shared" si="0"/>
        <v>1.6890551679404897E-2</v>
      </c>
      <c r="Y15" s="52">
        <f t="shared" si="1"/>
        <v>1.8299256185285939</v>
      </c>
    </row>
    <row r="16" spans="1:25" ht="6.7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51"/>
      <c r="Y16" s="52"/>
    </row>
    <row r="17" spans="1:25" ht="15" customHeight="1" x14ac:dyDescent="0.2">
      <c r="A17" s="1" t="s">
        <v>3</v>
      </c>
      <c r="B17" s="3">
        <v>140.52899999999997</v>
      </c>
      <c r="C17" s="3">
        <v>179.37100000000001</v>
      </c>
      <c r="D17" s="3">
        <v>267.00099999999998</v>
      </c>
      <c r="E17" s="3">
        <v>228.23600000000002</v>
      </c>
      <c r="F17" s="3">
        <v>213.25</v>
      </c>
      <c r="G17" s="3">
        <v>343.87599999999998</v>
      </c>
      <c r="H17" s="3">
        <v>273.88399999999996</v>
      </c>
      <c r="I17" s="3">
        <v>270.68799999999999</v>
      </c>
      <c r="J17" s="3">
        <v>255.72899999999998</v>
      </c>
      <c r="K17" s="3">
        <v>382.37899999999996</v>
      </c>
      <c r="L17" s="3">
        <v>254.98000000000002</v>
      </c>
      <c r="M17" s="3">
        <v>295.20400000000001</v>
      </c>
      <c r="N17" s="3">
        <f>'perustaulukko kunnat ja kyt'!BK17</f>
        <v>297.52200000000011</v>
      </c>
      <c r="O17" s="3">
        <f>'perustaulukko kunnat ja kyt'!BP17</f>
        <v>277.74800000000005</v>
      </c>
      <c r="P17" s="3">
        <f>'perustaulukko kunnat ja kyt'!BU17</f>
        <v>317.74699999999996</v>
      </c>
      <c r="Q17" s="3">
        <f>'perustaulukko kunnat ja kyt'!BZ17</f>
        <v>307.85899999999998</v>
      </c>
      <c r="R17" s="3">
        <f>'perustaulukko kunnat ja kyt'!CE17</f>
        <v>245.26771379999997</v>
      </c>
      <c r="S17" s="3">
        <f>'perustaulukko kunnat ja kyt'!CJ17</f>
        <v>257.38934533999998</v>
      </c>
      <c r="T17" s="3">
        <f>'perustaulukko kunnat ja kyt'!CO17</f>
        <v>384.69574589000001</v>
      </c>
      <c r="U17" s="3">
        <f>'perustaulukko kunnat ja kyt'!CT17</f>
        <v>278.82448074000001</v>
      </c>
      <c r="V17" s="3"/>
      <c r="W17" s="3">
        <f>SUM(B17:U17)</f>
        <v>5472.1802857699986</v>
      </c>
      <c r="X17" s="51">
        <f t="shared" si="0"/>
        <v>-0.27520778766363807</v>
      </c>
      <c r="Y17" s="52">
        <f t="shared" si="1"/>
        <v>3.6719608755005906</v>
      </c>
    </row>
    <row r="18" spans="1:25" ht="15" customHeight="1" x14ac:dyDescent="0.2">
      <c r="A18" s="1" t="s">
        <v>16</v>
      </c>
      <c r="B18" s="3">
        <v>211.042</v>
      </c>
      <c r="C18" s="3">
        <v>189.446</v>
      </c>
      <c r="D18" s="3">
        <v>223.96299999999999</v>
      </c>
      <c r="E18" s="3">
        <v>197.40600000000001</v>
      </c>
      <c r="F18" s="3">
        <v>309.30199999999996</v>
      </c>
      <c r="G18" s="3">
        <v>893.18200000000002</v>
      </c>
      <c r="H18" s="3">
        <v>260.274</v>
      </c>
      <c r="I18" s="3">
        <v>431.67500000000001</v>
      </c>
      <c r="J18" s="3">
        <v>518.82100000000003</v>
      </c>
      <c r="K18" s="3">
        <v>3416.2920000000004</v>
      </c>
      <c r="L18" s="3">
        <v>379.54900000000004</v>
      </c>
      <c r="M18" s="3">
        <v>187.15</v>
      </c>
      <c r="N18" s="3">
        <f>'perustaulukko kunnat ja kyt'!BK18</f>
        <v>316.31100000000004</v>
      </c>
      <c r="O18" s="3">
        <f>'perustaulukko kunnat ja kyt'!BP18</f>
        <v>206.69</v>
      </c>
      <c r="P18" s="3">
        <f>'perustaulukko kunnat ja kyt'!BU18</f>
        <v>319.90099999999995</v>
      </c>
      <c r="Q18" s="3">
        <f>'perustaulukko kunnat ja kyt'!BZ18</f>
        <v>458.20800000000003</v>
      </c>
      <c r="R18" s="3">
        <f>'perustaulukko kunnat ja kyt'!CE18</f>
        <v>283.22743250999997</v>
      </c>
      <c r="S18" s="3">
        <f>'perustaulukko kunnat ja kyt'!CJ18</f>
        <v>541.97407759999999</v>
      </c>
      <c r="T18" s="3">
        <f>'perustaulukko kunnat ja kyt'!CO18</f>
        <v>228.19002875000001</v>
      </c>
      <c r="U18" s="3">
        <f>'perustaulukko kunnat ja kyt'!CT18</f>
        <v>311.03451647000003</v>
      </c>
      <c r="V18" s="3"/>
      <c r="W18" s="3">
        <f>SUM(B18:U18)</f>
        <v>9883.6380553299987</v>
      </c>
      <c r="X18" s="51">
        <f t="shared" si="0"/>
        <v>0.36305042851264391</v>
      </c>
      <c r="Y18" s="52">
        <f t="shared" si="1"/>
        <v>2.062275546250647</v>
      </c>
    </row>
    <row r="19" spans="1:25" s="2" customFormat="1" ht="15" customHeight="1" x14ac:dyDescent="0.2">
      <c r="A19" s="2" t="s">
        <v>4</v>
      </c>
      <c r="B19" s="4">
        <v>351.57099999999997</v>
      </c>
      <c r="C19" s="4">
        <v>368.81700000000001</v>
      </c>
      <c r="D19" s="4">
        <v>490.96399999999994</v>
      </c>
      <c r="E19" s="4">
        <v>425.64200000000005</v>
      </c>
      <c r="F19" s="4">
        <v>522.55199999999991</v>
      </c>
      <c r="G19" s="4">
        <v>1237.058</v>
      </c>
      <c r="H19" s="4">
        <v>534.1579999999999</v>
      </c>
      <c r="I19" s="4">
        <v>702.36300000000006</v>
      </c>
      <c r="J19" s="4">
        <v>774.55</v>
      </c>
      <c r="K19" s="4">
        <v>3798.6710000000003</v>
      </c>
      <c r="L19" s="4">
        <v>634.529</v>
      </c>
      <c r="M19" s="4">
        <v>482.35400000000004</v>
      </c>
      <c r="N19" s="4">
        <f>'perustaulukko kunnat ja kyt'!BK19</f>
        <v>613.83300000000008</v>
      </c>
      <c r="O19" s="4">
        <f>'perustaulukko kunnat ja kyt'!BP19</f>
        <v>484.43800000000005</v>
      </c>
      <c r="P19" s="4">
        <f>'perustaulukko kunnat ja kyt'!BU19</f>
        <v>637.64799999999991</v>
      </c>
      <c r="Q19" s="4">
        <f>'perustaulukko kunnat ja kyt'!BZ19</f>
        <v>766.06700000000001</v>
      </c>
      <c r="R19" s="4">
        <f>'perustaulukko kunnat ja kyt'!CE19</f>
        <v>528.49514630999988</v>
      </c>
      <c r="S19" s="4">
        <f>'perustaulukko kunnat ja kyt'!CJ19</f>
        <v>799.36342293999996</v>
      </c>
      <c r="T19" s="4">
        <f>'perustaulukko kunnat ja kyt'!CO19</f>
        <v>612.88577464000002</v>
      </c>
      <c r="U19" s="4">
        <f>'perustaulukko kunnat ja kyt'!CT19</f>
        <v>589.8589972100001</v>
      </c>
      <c r="V19" s="4"/>
      <c r="W19" s="3">
        <f>SUM(B19:U19)</f>
        <v>15355.818341100001</v>
      </c>
      <c r="X19" s="51">
        <f>U19/T19-1</f>
        <v>-3.7571075040084723E-2</v>
      </c>
      <c r="Y19" s="52">
        <f t="shared" si="1"/>
        <v>2.7609632411746743</v>
      </c>
    </row>
    <row r="20" spans="1:25" ht="8.25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51"/>
      <c r="Y20" s="52"/>
    </row>
    <row r="21" spans="1:25" s="2" customFormat="1" ht="15" customHeight="1" x14ac:dyDescent="0.2">
      <c r="A21" s="2" t="s">
        <v>5</v>
      </c>
      <c r="B21" s="4">
        <v>3318.002</v>
      </c>
      <c r="C21" s="4">
        <v>3568.2</v>
      </c>
      <c r="D21" s="4">
        <v>3793.4519999999998</v>
      </c>
      <c r="E21" s="4">
        <v>4192.7250000000004</v>
      </c>
      <c r="F21" s="4">
        <v>4123.6579999999994</v>
      </c>
      <c r="G21" s="4">
        <v>5753.5849999999991</v>
      </c>
      <c r="H21" s="4">
        <v>4374.9279999999999</v>
      </c>
      <c r="I21" s="4">
        <v>4639.5260000000007</v>
      </c>
      <c r="J21" s="4">
        <v>4708.3380000000006</v>
      </c>
      <c r="K21" s="4">
        <v>7653.47</v>
      </c>
      <c r="L21" s="4">
        <v>4432.3070000000007</v>
      </c>
      <c r="M21" s="4">
        <v>4348.4480000000003</v>
      </c>
      <c r="N21" s="4">
        <f>'perustaulukko kunnat ja kyt'!BK21</f>
        <v>4518.721999999997</v>
      </c>
      <c r="O21" s="4">
        <f>'perustaulukko kunnat ja kyt'!BP21</f>
        <v>4839.1510000000007</v>
      </c>
      <c r="P21" s="4">
        <f>'perustaulukko kunnat ja kyt'!BU21</f>
        <v>5414.2629999999999</v>
      </c>
      <c r="Q21" s="4">
        <f>'perustaulukko kunnat ja kyt'!BZ21</f>
        <v>5782.9929999999986</v>
      </c>
      <c r="R21" s="4">
        <f>'perustaulukko kunnat ja kyt'!CE21</f>
        <v>5329.5450319199999</v>
      </c>
      <c r="S21" s="4">
        <f>'perustaulukko kunnat ja kyt'!CJ21</f>
        <v>5920.6327524999997</v>
      </c>
      <c r="T21" s="4">
        <f>'perustaulukko kunnat ja kyt'!CO21</f>
        <v>4730.00215011</v>
      </c>
      <c r="U21" s="4">
        <f>'perustaulukko kunnat ja kyt'!CT21</f>
        <v>4776.5157395900005</v>
      </c>
      <c r="V21" s="4"/>
      <c r="W21" s="4">
        <f>SUM(B21:U21)</f>
        <v>96218.463674119994</v>
      </c>
      <c r="X21" s="58">
        <f>U21/T21-1</f>
        <v>9.8337353776718484E-3</v>
      </c>
      <c r="Y21" s="53">
        <f t="shared" si="1"/>
        <v>1.9361285095137459</v>
      </c>
    </row>
    <row r="23" spans="1:25" x14ac:dyDescent="0.2">
      <c r="A23" s="5" t="s">
        <v>10</v>
      </c>
      <c r="B23" s="5" t="s">
        <v>36</v>
      </c>
    </row>
    <row r="24" spans="1:25" x14ac:dyDescent="0.2">
      <c r="B24" s="25">
        <v>2005</v>
      </c>
      <c r="C24" s="25">
        <v>2006</v>
      </c>
      <c r="D24" s="25">
        <v>2007</v>
      </c>
      <c r="E24" s="25">
        <v>2008</v>
      </c>
      <c r="F24" s="25">
        <v>2009</v>
      </c>
      <c r="G24" s="25">
        <v>2010</v>
      </c>
      <c r="H24" s="25">
        <v>2011</v>
      </c>
      <c r="I24" s="25">
        <v>2012</v>
      </c>
      <c r="J24" s="25">
        <v>2013</v>
      </c>
      <c r="K24" s="25">
        <v>2014</v>
      </c>
      <c r="L24" s="25">
        <v>2015</v>
      </c>
      <c r="M24" s="25">
        <v>2016</v>
      </c>
      <c r="N24" s="25">
        <v>2017</v>
      </c>
      <c r="O24" s="25">
        <v>2018</v>
      </c>
      <c r="P24" s="25">
        <v>2019</v>
      </c>
      <c r="Q24" s="25">
        <v>2020</v>
      </c>
      <c r="R24" s="25">
        <v>2021</v>
      </c>
      <c r="S24" s="25">
        <v>2022</v>
      </c>
      <c r="T24" s="25">
        <v>2023</v>
      </c>
      <c r="U24" s="25">
        <v>2024</v>
      </c>
      <c r="W24" s="25" t="s">
        <v>48</v>
      </c>
      <c r="X24" s="54"/>
    </row>
    <row r="25" spans="1:25" x14ac:dyDescent="0.2">
      <c r="A25" s="5"/>
      <c r="B25" s="25" t="s">
        <v>35</v>
      </c>
      <c r="C25" s="25" t="s">
        <v>35</v>
      </c>
      <c r="D25" s="25" t="s">
        <v>35</v>
      </c>
      <c r="E25" s="25" t="s">
        <v>35</v>
      </c>
      <c r="F25" s="25" t="s">
        <v>35</v>
      </c>
      <c r="G25" s="25" t="s">
        <v>35</v>
      </c>
      <c r="H25" s="25" t="s">
        <v>35</v>
      </c>
      <c r="I25" s="25" t="s">
        <v>35</v>
      </c>
      <c r="J25" s="25" t="s">
        <v>35</v>
      </c>
      <c r="K25" s="25" t="s">
        <v>35</v>
      </c>
      <c r="L25" s="25" t="s">
        <v>35</v>
      </c>
      <c r="M25" s="25" t="s">
        <v>35</v>
      </c>
      <c r="N25" s="25" t="s">
        <v>35</v>
      </c>
      <c r="O25" s="25" t="s">
        <v>35</v>
      </c>
      <c r="P25" s="25" t="s">
        <v>35</v>
      </c>
      <c r="Q25" s="25" t="s">
        <v>35</v>
      </c>
      <c r="R25" s="25" t="s">
        <v>35</v>
      </c>
      <c r="S25" s="25" t="s">
        <v>35</v>
      </c>
      <c r="T25" s="25" t="s">
        <v>35</v>
      </c>
      <c r="U25" s="25" t="s">
        <v>35</v>
      </c>
      <c r="W25" s="25" t="s">
        <v>35</v>
      </c>
      <c r="X25" s="54"/>
    </row>
    <row r="26" spans="1:25" ht="9" customHeight="1" x14ac:dyDescent="0.2">
      <c r="A26" s="5"/>
      <c r="B26" s="5"/>
    </row>
    <row r="27" spans="1:25" ht="15.6" customHeight="1" x14ac:dyDescent="0.2">
      <c r="A27" s="5" t="s">
        <v>0</v>
      </c>
      <c r="B27" s="6">
        <f t="shared" ref="B27:J27" si="3">100*B9/B$21</f>
        <v>38.963719732537832</v>
      </c>
      <c r="C27" s="6">
        <f t="shared" si="3"/>
        <v>39.595790594697611</v>
      </c>
      <c r="D27" s="6">
        <f t="shared" si="3"/>
        <v>34.739941351571076</v>
      </c>
      <c r="E27" s="6">
        <f t="shared" si="3"/>
        <v>35.13597958368365</v>
      </c>
      <c r="F27" s="6">
        <f t="shared" si="3"/>
        <v>36.090092825350702</v>
      </c>
      <c r="G27" s="6">
        <f t="shared" si="3"/>
        <v>27.147543661908184</v>
      </c>
      <c r="H27" s="6">
        <f t="shared" si="3"/>
        <v>37.465393716193731</v>
      </c>
      <c r="I27" s="6">
        <f t="shared" si="3"/>
        <v>36.526597760202222</v>
      </c>
      <c r="J27" s="6">
        <f t="shared" si="3"/>
        <v>36.174378305040968</v>
      </c>
      <c r="K27" s="6">
        <f t="shared" ref="K27:L27" si="4">100*K9/K$21</f>
        <v>21.50759067455677</v>
      </c>
      <c r="L27" s="6">
        <f t="shared" si="4"/>
        <v>40.20163765731931</v>
      </c>
      <c r="M27" s="6">
        <f t="shared" ref="M27" si="5">100*M9/M$21</f>
        <v>42.417432610439398</v>
      </c>
      <c r="N27" s="6">
        <f>100*N9/N$21</f>
        <v>41.5588743897058</v>
      </c>
      <c r="O27" s="6">
        <f t="shared" ref="O27:P27" si="6">100*O9/O$21</f>
        <v>42.825590687292042</v>
      </c>
      <c r="P27" s="6">
        <f t="shared" si="6"/>
        <v>44.049023846828284</v>
      </c>
      <c r="Q27" s="6">
        <f t="shared" ref="Q27:R27" si="7">100*Q9/Q$21</f>
        <v>44.947192569660729</v>
      </c>
      <c r="R27" s="6">
        <f t="shared" si="7"/>
        <v>46.599739941690395</v>
      </c>
      <c r="S27" s="6">
        <f t="shared" ref="S27:T27" si="8">100*S9/S$21</f>
        <v>46.117503530126285</v>
      </c>
      <c r="T27" s="6">
        <f t="shared" si="8"/>
        <v>40.8418085221182</v>
      </c>
      <c r="U27" s="6">
        <f t="shared" ref="U27" si="9">100*U9/U$21</f>
        <v>42.412178960262146</v>
      </c>
      <c r="W27" s="6">
        <f>100*W9/W$21</f>
        <v>38.415130066467526</v>
      </c>
      <c r="X27" s="55"/>
    </row>
    <row r="28" spans="1:25" ht="15.6" customHeight="1" x14ac:dyDescent="0.2">
      <c r="A28" s="48" t="s">
        <v>31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44">
        <f t="shared" ref="L28:M28" si="10">100*L10/L$21</f>
        <v>18.362942819619668</v>
      </c>
      <c r="M28" s="44">
        <f t="shared" si="10"/>
        <v>19.887417303828858</v>
      </c>
      <c r="N28" s="44">
        <f t="shared" ref="N28:O28" si="11">100*N10/N$21</f>
        <v>19.761074038190461</v>
      </c>
      <c r="O28" s="44">
        <f t="shared" si="11"/>
        <v>20.970290036413409</v>
      </c>
      <c r="P28" s="44">
        <f t="shared" ref="P28:U28" si="12">100*P10/P$21</f>
        <v>22.098981892826412</v>
      </c>
      <c r="Q28" s="44">
        <f t="shared" si="12"/>
        <v>28.337160359696099</v>
      </c>
      <c r="R28" s="44">
        <f t="shared" si="12"/>
        <v>28.304654502873223</v>
      </c>
      <c r="S28" s="44">
        <f t="shared" si="12"/>
        <v>31.485803295143668</v>
      </c>
      <c r="T28" s="44">
        <f t="shared" si="12"/>
        <v>22.164184172635515</v>
      </c>
      <c r="U28" s="44">
        <f t="shared" si="12"/>
        <v>22.76708271421597</v>
      </c>
      <c r="W28" s="6"/>
      <c r="X28" s="55"/>
    </row>
    <row r="29" spans="1:25" ht="15.6" customHeight="1" x14ac:dyDescent="0.2">
      <c r="A29" s="48" t="s">
        <v>32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44">
        <f t="shared" ref="L29:M29" si="13">100*L11/L$21</f>
        <v>21.838694837699641</v>
      </c>
      <c r="M29" s="44">
        <f t="shared" si="13"/>
        <v>22.530015306610544</v>
      </c>
      <c r="N29" s="44">
        <f t="shared" ref="N29:P29" si="14">100*N11/N$21</f>
        <v>21.797800351515338</v>
      </c>
      <c r="O29" s="44">
        <f t="shared" si="14"/>
        <v>21.855300650878629</v>
      </c>
      <c r="P29" s="44">
        <f t="shared" si="14"/>
        <v>21.950041954001865</v>
      </c>
      <c r="Q29" s="44">
        <f t="shared" ref="Q29:R29" si="15">100*Q11/Q$21</f>
        <v>16.610032209964636</v>
      </c>
      <c r="R29" s="44">
        <f t="shared" si="15"/>
        <v>18.295085438817175</v>
      </c>
      <c r="S29" s="44">
        <f t="shared" ref="S29:T29" si="16">100*S11/S$21</f>
        <v>14.631700234982613</v>
      </c>
      <c r="T29" s="44">
        <f t="shared" si="16"/>
        <v>18.677624349482691</v>
      </c>
      <c r="U29" s="44">
        <f t="shared" ref="U29" si="17">100*U11/U$21</f>
        <v>19.645096246046176</v>
      </c>
      <c r="W29" s="6"/>
      <c r="X29" s="55"/>
    </row>
    <row r="30" spans="1:25" ht="15.6" customHeight="1" x14ac:dyDescent="0.2">
      <c r="A30" s="5" t="s">
        <v>14</v>
      </c>
      <c r="B30" s="6">
        <f t="shared" ref="B30:C39" si="18">100*B12/B$21</f>
        <v>27.161526726023673</v>
      </c>
      <c r="C30" s="6">
        <f t="shared" si="18"/>
        <v>26.939437251275152</v>
      </c>
      <c r="D30" s="6">
        <f t="shared" ref="D30" si="19">100*D12/D$21</f>
        <v>29.329328537701286</v>
      </c>
      <c r="E30" s="6">
        <f t="shared" ref="E30" si="20">100*E12/E$21</f>
        <v>33.384874991801269</v>
      </c>
      <c r="F30" s="6">
        <f t="shared" ref="F30" si="21">100*F12/F$21</f>
        <v>32.702954512716623</v>
      </c>
      <c r="G30" s="6">
        <f t="shared" ref="G30" si="22">100*G12/G$21</f>
        <v>34.706952274103891</v>
      </c>
      <c r="H30" s="6">
        <f t="shared" ref="H30" si="23">100*H12/H$21</f>
        <v>29.054649585090313</v>
      </c>
      <c r="I30" s="6">
        <f t="shared" ref="I30" si="24">100*I12/I$21</f>
        <v>28.263857126784067</v>
      </c>
      <c r="J30" s="6">
        <f t="shared" ref="J30" si="25">100*J12/J$21</f>
        <v>27.902032521879271</v>
      </c>
      <c r="K30" s="6">
        <f t="shared" ref="K30:L30" si="26">100*K12/K$21</f>
        <v>16.20843878658961</v>
      </c>
      <c r="L30" s="6">
        <f t="shared" si="26"/>
        <v>30.829091937900508</v>
      </c>
      <c r="M30" s="6">
        <f t="shared" ref="M30:N30" si="27">100*M12/M$21</f>
        <v>30.419404808336211</v>
      </c>
      <c r="N30" s="6">
        <f t="shared" si="27"/>
        <v>31.419945728017804</v>
      </c>
      <c r="O30" s="6">
        <f t="shared" ref="O30:P30" si="28">100*O12/O$21</f>
        <v>33.851123885160845</v>
      </c>
      <c r="P30" s="6">
        <f t="shared" si="28"/>
        <v>32.288457357908179</v>
      </c>
      <c r="Q30" s="6">
        <f t="shared" ref="Q30:R30" si="29">100*Q12/Q$21</f>
        <v>29.929311690330604</v>
      </c>
      <c r="R30" s="6">
        <f t="shared" si="29"/>
        <v>30.329573028256636</v>
      </c>
      <c r="S30" s="6">
        <f t="shared" ref="S30:T30" si="30">100*S12/S$21</f>
        <v>28.693239083317049</v>
      </c>
      <c r="T30" s="6">
        <f t="shared" si="30"/>
        <v>38.09902086213831</v>
      </c>
      <c r="U30" s="6">
        <f t="shared" ref="U30" si="31">100*U12/U$21</f>
        <v>37.450569334741637</v>
      </c>
      <c r="W30" s="6">
        <f>100*W12/W$21</f>
        <v>30.128491249270752</v>
      </c>
      <c r="X30" s="55"/>
    </row>
    <row r="31" spans="1:25" ht="15.6" customHeight="1" x14ac:dyDescent="0.2">
      <c r="A31" s="5" t="s">
        <v>1</v>
      </c>
      <c r="B31" s="6">
        <f t="shared" si="18"/>
        <v>11.889655280497118</v>
      </c>
      <c r="C31" s="6">
        <f t="shared" si="18"/>
        <v>11.318171627150946</v>
      </c>
      <c r="D31" s="6">
        <f t="shared" ref="D31" si="32">100*D13/D$21</f>
        <v>10.00542513784279</v>
      </c>
      <c r="E31" s="6">
        <f t="shared" ref="E31" si="33">100*E13/E$21</f>
        <v>8.502799491977175</v>
      </c>
      <c r="F31" s="6">
        <f t="shared" ref="F31" si="34">100*F13/F$21</f>
        <v>8.7175997621529255</v>
      </c>
      <c r="G31" s="6">
        <f t="shared" ref="G31" si="35">100*G13/G$21</f>
        <v>6.6884385995861733</v>
      </c>
      <c r="H31" s="6">
        <f t="shared" ref="H31" si="36">100*H13/H$21</f>
        <v>9.194688461158675</v>
      </c>
      <c r="I31" s="6">
        <f t="shared" ref="I31" si="37">100*I13/I$21</f>
        <v>9.4531424115308305</v>
      </c>
      <c r="J31" s="6">
        <f t="shared" ref="J31:W31" si="38">100*J13/J$21</f>
        <v>7.7890542267781102</v>
      </c>
      <c r="K31" s="6">
        <f t="shared" ref="K31:L31" si="39">100*K13/K$21</f>
        <v>4.6580962622183133</v>
      </c>
      <c r="L31" s="6">
        <f t="shared" si="39"/>
        <v>9.3412301990814246</v>
      </c>
      <c r="M31" s="6">
        <f t="shared" ref="M31:N31" si="40">100*M13/M$21</f>
        <v>11.633483946456298</v>
      </c>
      <c r="N31" s="6">
        <f t="shared" si="40"/>
        <v>8.430768699645613</v>
      </c>
      <c r="O31" s="6">
        <f t="shared" ref="O31:P31" si="41">100*O13/O$21</f>
        <v>8.4704321067889801</v>
      </c>
      <c r="P31" s="6">
        <f t="shared" si="41"/>
        <v>7.2128745869936504</v>
      </c>
      <c r="Q31" s="6">
        <f t="shared" ref="Q31:R31" si="42">100*Q13/Q$21</f>
        <v>6.7861226876809306</v>
      </c>
      <c r="R31" s="6">
        <f t="shared" si="42"/>
        <v>7.1863545144306995</v>
      </c>
      <c r="S31" s="6">
        <f t="shared" ref="S31:T31" si="43">100*S13/S$21</f>
        <v>7.1782868109923363</v>
      </c>
      <c r="T31" s="6">
        <f t="shared" si="43"/>
        <v>4.0803364115915173</v>
      </c>
      <c r="U31" s="6">
        <f t="shared" ref="U31" si="44">100*U13/U$21</f>
        <v>3.9149876226734976</v>
      </c>
      <c r="W31" s="6">
        <f t="shared" si="38"/>
        <v>7.8202547750966458</v>
      </c>
      <c r="X31" s="55"/>
    </row>
    <row r="32" spans="1:25" ht="15.6" customHeight="1" x14ac:dyDescent="0.2">
      <c r="A32" s="5" t="s">
        <v>15</v>
      </c>
      <c r="B32" s="6">
        <f t="shared" si="18"/>
        <v>11.389233641209378</v>
      </c>
      <c r="C32" s="6">
        <f t="shared" si="18"/>
        <v>11.81038058404798</v>
      </c>
      <c r="D32" s="6">
        <f t="shared" ref="D32" si="45">100*D14/D$21</f>
        <v>12.982897898800354</v>
      </c>
      <c r="E32" s="6">
        <f t="shared" ref="E32" si="46">100*E14/E$21</f>
        <v>12.824428027118399</v>
      </c>
      <c r="F32" s="6">
        <f t="shared" ref="F32" si="47">100*F14/F$21</f>
        <v>9.8173029868141359</v>
      </c>
      <c r="G32" s="6">
        <f t="shared" ref="G32" si="48">100*G14/G$21</f>
        <v>9.9564184764803176</v>
      </c>
      <c r="H32" s="6">
        <f t="shared" ref="H32" si="49">100*H14/H$21</f>
        <v>12.075741589347301</v>
      </c>
      <c r="I32" s="6">
        <f t="shared" ref="I32" si="50">100*I14/I$21</f>
        <v>10.617722586315928</v>
      </c>
      <c r="J32" s="6">
        <f t="shared" ref="J32:W32" si="51">100*J14/J$21</f>
        <v>11.683931782297702</v>
      </c>
      <c r="K32" s="6">
        <f t="shared" ref="K32:L32" si="52">100*K14/K$21</f>
        <v>7.9925576241887661</v>
      </c>
      <c r="L32" s="6">
        <f t="shared" si="52"/>
        <v>5.3120417877191253</v>
      </c>
      <c r="M32" s="6">
        <f t="shared" ref="M32:N32" si="53">100*M14/M$21</f>
        <v>4.4371233138811821</v>
      </c>
      <c r="N32" s="6">
        <f t="shared" si="53"/>
        <v>5.0061942292532535</v>
      </c>
      <c r="O32" s="6">
        <f t="shared" ref="O32:P32" si="54">100*O14/O$21</f>
        <v>4.842047706302206</v>
      </c>
      <c r="P32" s="6">
        <f t="shared" si="54"/>
        <v>4.6724549583202704</v>
      </c>
      <c r="Q32" s="6">
        <f t="shared" ref="Q32:R32" si="55">100*Q14/Q$21</f>
        <v>5.0904782350592521</v>
      </c>
      <c r="R32" s="6">
        <f t="shared" si="55"/>
        <v>5.9680048901925549</v>
      </c>
      <c r="S32" s="6">
        <f t="shared" ref="S32:T32" si="56">100*S14/S$21</f>
        <v>4.5096531259645971</v>
      </c>
      <c r="T32" s="6">
        <f t="shared" si="56"/>
        <v>4.0214241398511081</v>
      </c>
      <c r="U32" s="6">
        <f t="shared" ref="U32" si="57">100*U14/U$21</f>
        <v>3.8731160972973107</v>
      </c>
      <c r="W32" s="6">
        <f t="shared" si="51"/>
        <v>7.6767978559989762</v>
      </c>
      <c r="X32" s="55"/>
    </row>
    <row r="33" spans="1:25" s="2" customFormat="1" ht="15.6" customHeight="1" x14ac:dyDescent="0.2">
      <c r="A33" s="39" t="s">
        <v>2</v>
      </c>
      <c r="B33" s="29">
        <f t="shared" si="18"/>
        <v>89.404135380268002</v>
      </c>
      <c r="C33" s="29">
        <f t="shared" si="18"/>
        <v>89.663780057171678</v>
      </c>
      <c r="D33" s="29">
        <f t="shared" ref="D33" si="58">100*D15/D$21</f>
        <v>87.0575929259155</v>
      </c>
      <c r="E33" s="29">
        <f t="shared" ref="E33" si="59">100*E15/E$21</f>
        <v>89.848082094580491</v>
      </c>
      <c r="F33" s="29">
        <f t="shared" ref="F33" si="60">100*F15/F$21</f>
        <v>87.327950087034381</v>
      </c>
      <c r="G33" s="29">
        <f t="shared" ref="G33" si="61">100*G15/G$21</f>
        <v>78.499353012078544</v>
      </c>
      <c r="H33" s="29">
        <f t="shared" ref="H33" si="62">100*H15/H$21</f>
        <v>87.790473351790013</v>
      </c>
      <c r="I33" s="29">
        <f t="shared" ref="I33" si="63">100*I15/I$21</f>
        <v>84.861319884833065</v>
      </c>
      <c r="J33" s="29">
        <f t="shared" ref="J33" si="64">100*J15/J$21</f>
        <v>83.549396835996049</v>
      </c>
      <c r="K33" s="29">
        <f t="shared" ref="K33:L33" si="65">100*K15/K$21</f>
        <v>50.366683347553462</v>
      </c>
      <c r="L33" s="29">
        <f t="shared" si="65"/>
        <v>85.684001582020372</v>
      </c>
      <c r="M33" s="29">
        <f t="shared" ref="M33:N33" si="66">100*M15/M$21</f>
        <v>88.907444679113098</v>
      </c>
      <c r="N33" s="29">
        <f t="shared" si="66"/>
        <v>86.415783046622465</v>
      </c>
      <c r="O33" s="29">
        <f t="shared" ref="O33:P33" si="67">100*O15/O$21</f>
        <v>89.989194385544067</v>
      </c>
      <c r="P33" s="29">
        <f t="shared" si="67"/>
        <v>88.222810750050371</v>
      </c>
      <c r="Q33" s="29">
        <f t="shared" ref="Q33:R33" si="68">100*Q15/Q$21</f>
        <v>86.753105182731503</v>
      </c>
      <c r="R33" s="29">
        <f t="shared" si="68"/>
        <v>90.083672374570284</v>
      </c>
      <c r="S33" s="29">
        <f t="shared" ref="S33:T33" si="69">100*S15/S$21</f>
        <v>86.498682550400275</v>
      </c>
      <c r="T33" s="29">
        <f t="shared" si="69"/>
        <v>87.042589935699155</v>
      </c>
      <c r="U33" s="29">
        <f t="shared" ref="U33" si="70">100*U15/U$21</f>
        <v>87.650852014974589</v>
      </c>
      <c r="W33" s="29">
        <f>100*W15/W$21</f>
        <v>84.040673946833891</v>
      </c>
      <c r="X33" s="56"/>
      <c r="Y33" s="57"/>
    </row>
    <row r="34" spans="1:25" ht="10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W34" s="5"/>
    </row>
    <row r="35" spans="1:25" ht="15.6" customHeight="1" x14ac:dyDescent="0.2">
      <c r="A35" s="5" t="s">
        <v>3</v>
      </c>
      <c r="B35" s="6">
        <f t="shared" si="18"/>
        <v>4.2353500691078532</v>
      </c>
      <c r="C35" s="6">
        <f t="shared" si="18"/>
        <v>5.0269323468415452</v>
      </c>
      <c r="D35" s="6">
        <f t="shared" ref="D35" si="71">100*D17/D$21</f>
        <v>7.0384705012743014</v>
      </c>
      <c r="E35" s="6">
        <f t="shared" ref="E35" si="72">100*E17/E$21</f>
        <v>5.4436196030028201</v>
      </c>
      <c r="F35" s="6">
        <f t="shared" ref="F35" si="73">100*F17/F$21</f>
        <v>5.1713793917924331</v>
      </c>
      <c r="G35" s="6">
        <f t="shared" ref="G35" si="74">100*G17/G$21</f>
        <v>5.976725815296029</v>
      </c>
      <c r="H35" s="6">
        <f t="shared" ref="H35" si="75">100*H17/H$21</f>
        <v>6.260308741080995</v>
      </c>
      <c r="I35" s="6">
        <f t="shared" ref="I35" si="76">100*I17/I$21</f>
        <v>5.8343891164743971</v>
      </c>
      <c r="J35" s="6">
        <f t="shared" ref="J35" si="77">100*J17/J$21</f>
        <v>5.4314070060390724</v>
      </c>
      <c r="K35" s="6">
        <f t="shared" ref="K35:L35" si="78">100*K17/K$21</f>
        <v>4.9961520721973161</v>
      </c>
      <c r="L35" s="6">
        <f t="shared" si="78"/>
        <v>5.7527603570781531</v>
      </c>
      <c r="M35" s="6">
        <f t="shared" ref="M35:N35" si="79">100*M17/M$21</f>
        <v>6.7887209413565479</v>
      </c>
      <c r="N35" s="6">
        <f t="shared" si="79"/>
        <v>6.5842067735080914</v>
      </c>
      <c r="O35" s="6">
        <f t="shared" ref="O35" si="80">100*O17/O$21</f>
        <v>5.7396018433812044</v>
      </c>
      <c r="P35" s="6">
        <f t="shared" ref="P35:U35" si="81">100*P17/P$21</f>
        <v>5.8687027209428129</v>
      </c>
      <c r="Q35" s="6">
        <f t="shared" si="81"/>
        <v>5.323523649432051</v>
      </c>
      <c r="R35" s="6">
        <f t="shared" si="81"/>
        <v>4.602038491672916</v>
      </c>
      <c r="S35" s="6">
        <f t="shared" si="81"/>
        <v>4.3473283363389967</v>
      </c>
      <c r="T35" s="6">
        <f t="shared" si="81"/>
        <v>8.1330987530534973</v>
      </c>
      <c r="U35" s="6">
        <f t="shared" si="81"/>
        <v>5.8374031604035563</v>
      </c>
      <c r="W35" s="6">
        <f>100*W17/W$21</f>
        <v>5.6872455418781112</v>
      </c>
      <c r="X35" s="55"/>
    </row>
    <row r="36" spans="1:25" ht="15.6" customHeight="1" x14ac:dyDescent="0.2">
      <c r="A36" s="5" t="s">
        <v>16</v>
      </c>
      <c r="B36" s="6">
        <f t="shared" si="18"/>
        <v>6.3605145506241412</v>
      </c>
      <c r="C36" s="6">
        <f t="shared" si="18"/>
        <v>5.3092875959867722</v>
      </c>
      <c r="D36" s="6">
        <f t="shared" ref="D36" si="82">100*D18/D$21</f>
        <v>5.9039365728102009</v>
      </c>
      <c r="E36" s="6">
        <f t="shared" ref="E36" si="83">100*E18/E$21</f>
        <v>4.7082983024166865</v>
      </c>
      <c r="F36" s="6">
        <f t="shared" ref="F36" si="84">100*F18/F$21</f>
        <v>7.5006705211731921</v>
      </c>
      <c r="G36" s="6">
        <f t="shared" ref="G36" si="85">100*G18/G$21</f>
        <v>15.523921172625418</v>
      </c>
      <c r="H36" s="6">
        <f t="shared" ref="H36" si="86">100*H18/H$21</f>
        <v>5.9492179071289861</v>
      </c>
      <c r="I36" s="6">
        <f t="shared" ref="I36" si="87">100*I18/I$21</f>
        <v>9.3042909986925366</v>
      </c>
      <c r="J36" s="6">
        <f t="shared" ref="J36" si="88">100*J18/J$21</f>
        <v>11.019196157964871</v>
      </c>
      <c r="K36" s="6">
        <f t="shared" ref="K36:L36" si="89">100*K18/K$21</f>
        <v>44.63716458024922</v>
      </c>
      <c r="L36" s="6">
        <f t="shared" si="89"/>
        <v>8.5632380609014671</v>
      </c>
      <c r="M36" s="6">
        <f t="shared" ref="M36:N36" si="90">100*M18/M$21</f>
        <v>4.3038343795303513</v>
      </c>
      <c r="N36" s="6">
        <f t="shared" si="90"/>
        <v>7.0000101798694461</v>
      </c>
      <c r="O36" s="6">
        <f t="shared" ref="O36:P36" si="91">100*O18/O$21</f>
        <v>4.2712037710747186</v>
      </c>
      <c r="P36" s="6">
        <f t="shared" si="91"/>
        <v>5.9084865290068098</v>
      </c>
      <c r="Q36" s="6">
        <f t="shared" ref="Q36:R36" si="92">100*Q18/Q$21</f>
        <v>7.92337116783645</v>
      </c>
      <c r="R36" s="6">
        <f t="shared" si="92"/>
        <v>5.3142891337568008</v>
      </c>
      <c r="S36" s="6">
        <f t="shared" ref="S36:T36" si="93">100*S18/S$21</f>
        <v>9.1539891132607458</v>
      </c>
      <c r="T36" s="6">
        <f t="shared" si="93"/>
        <v>4.8243113112473592</v>
      </c>
      <c r="U36" s="6">
        <f t="shared" ref="U36" si="94">100*U18/U$21</f>
        <v>6.5117448246218519</v>
      </c>
      <c r="W36" s="6">
        <f>100*W18/W$21</f>
        <v>10.272080511287996</v>
      </c>
      <c r="X36" s="55"/>
    </row>
    <row r="37" spans="1:25" s="2" customFormat="1" ht="15.6" customHeight="1" x14ac:dyDescent="0.2">
      <c r="A37" s="39" t="s">
        <v>4</v>
      </c>
      <c r="B37" s="29">
        <f t="shared" si="18"/>
        <v>10.595864619731994</v>
      </c>
      <c r="C37" s="29">
        <f t="shared" si="18"/>
        <v>10.336219942828317</v>
      </c>
      <c r="D37" s="29">
        <f t="shared" ref="D37" si="95">100*D19/D$21</f>
        <v>12.942407074084501</v>
      </c>
      <c r="E37" s="29">
        <f t="shared" ref="E37" si="96">100*E19/E$21</f>
        <v>10.151917905419507</v>
      </c>
      <c r="F37" s="29">
        <f t="shared" ref="F37" si="97">100*F19/F$21</f>
        <v>12.672049912965623</v>
      </c>
      <c r="G37" s="29">
        <f t="shared" ref="G37" si="98">100*G19/G$21</f>
        <v>21.500646987921449</v>
      </c>
      <c r="H37" s="29">
        <f t="shared" ref="H37" si="99">100*H19/H$21</f>
        <v>12.20952664820998</v>
      </c>
      <c r="I37" s="29">
        <f t="shared" ref="I37" si="100">100*I19/I$21</f>
        <v>15.138680115166936</v>
      </c>
      <c r="J37" s="29">
        <f t="shared" ref="J37" si="101">100*J19/J$21</f>
        <v>16.45060316400394</v>
      </c>
      <c r="K37" s="29">
        <f t="shared" ref="K37:L37" si="102">100*K19/K$21</f>
        <v>49.633316652446538</v>
      </c>
      <c r="L37" s="29">
        <f t="shared" si="102"/>
        <v>14.315998417979619</v>
      </c>
      <c r="M37" s="29">
        <f t="shared" ref="M37:N37" si="103">100*M19/M$21</f>
        <v>11.0925553208869</v>
      </c>
      <c r="N37" s="29">
        <f t="shared" si="103"/>
        <v>13.584216953377537</v>
      </c>
      <c r="O37" s="29">
        <f t="shared" ref="O37:P37" si="104">100*O19/O$21</f>
        <v>10.010805614455924</v>
      </c>
      <c r="P37" s="29">
        <f t="shared" si="104"/>
        <v>11.777189249949622</v>
      </c>
      <c r="Q37" s="29">
        <f t="shared" ref="Q37:R37" si="105">100*Q19/Q$21</f>
        <v>13.246894817268501</v>
      </c>
      <c r="R37" s="29">
        <f t="shared" si="105"/>
        <v>9.9163276254297159</v>
      </c>
      <c r="S37" s="29">
        <f t="shared" ref="S37:T37" si="106">100*S19/S$21</f>
        <v>13.501317449599743</v>
      </c>
      <c r="T37" s="29">
        <f t="shared" si="106"/>
        <v>12.957410064300856</v>
      </c>
      <c r="U37" s="29">
        <f t="shared" ref="U37" si="107">100*U19/U$21</f>
        <v>12.349147985025409</v>
      </c>
      <c r="W37" s="29">
        <f>100*W19/W$21</f>
        <v>15.959326053166111</v>
      </c>
      <c r="X37" s="56"/>
      <c r="Y37" s="57"/>
    </row>
    <row r="38" spans="1:25" ht="7.7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W38" s="5"/>
    </row>
    <row r="39" spans="1:25" s="2" customFormat="1" ht="14.25" customHeight="1" x14ac:dyDescent="0.2">
      <c r="A39" s="39" t="s">
        <v>5</v>
      </c>
      <c r="B39" s="29">
        <f t="shared" si="18"/>
        <v>100</v>
      </c>
      <c r="C39" s="29">
        <f t="shared" si="18"/>
        <v>100</v>
      </c>
      <c r="D39" s="29">
        <f t="shared" ref="D39" si="108">100*D21/D$21</f>
        <v>100</v>
      </c>
      <c r="E39" s="29">
        <f t="shared" ref="E39" si="109">100*E21/E$21</f>
        <v>100</v>
      </c>
      <c r="F39" s="29">
        <f t="shared" ref="F39" si="110">100*F21/F$21</f>
        <v>100</v>
      </c>
      <c r="G39" s="29">
        <f t="shared" ref="G39" si="111">100*G21/G$21</f>
        <v>100</v>
      </c>
      <c r="H39" s="29">
        <f t="shared" ref="H39" si="112">100*H21/H$21</f>
        <v>100</v>
      </c>
      <c r="I39" s="29">
        <f t="shared" ref="I39" si="113">100*I21/I$21</f>
        <v>100</v>
      </c>
      <c r="J39" s="29">
        <f t="shared" ref="J39:W39" si="114">100*J21/J$21</f>
        <v>100</v>
      </c>
      <c r="K39" s="29">
        <f t="shared" ref="K39:M39" si="115">100*K21/K$21</f>
        <v>100</v>
      </c>
      <c r="L39" s="29">
        <f t="shared" si="115"/>
        <v>100</v>
      </c>
      <c r="M39" s="29">
        <f t="shared" si="115"/>
        <v>100</v>
      </c>
      <c r="N39" s="29">
        <f t="shared" ref="N39:P39" si="116">100*N21/N$21</f>
        <v>100</v>
      </c>
      <c r="O39" s="29">
        <f t="shared" si="116"/>
        <v>100</v>
      </c>
      <c r="P39" s="29">
        <f t="shared" si="116"/>
        <v>100.00000000000001</v>
      </c>
      <c r="Q39" s="29">
        <f>100*Q21/Q$21</f>
        <v>99.999999999999986</v>
      </c>
      <c r="R39" s="29">
        <f>100*R21/R$21</f>
        <v>100</v>
      </c>
      <c r="S39" s="29">
        <f>100*S21/S$21</f>
        <v>100</v>
      </c>
      <c r="T39" s="29">
        <f>100*T21/T$21</f>
        <v>100</v>
      </c>
      <c r="U39" s="29">
        <f>100*U21/U$21</f>
        <v>100</v>
      </c>
      <c r="W39" s="29">
        <f t="shared" si="114"/>
        <v>100</v>
      </c>
      <c r="X39" s="56"/>
      <c r="Y39" s="57"/>
    </row>
    <row r="40" spans="1:25" ht="8.4499999999999993" customHeight="1" x14ac:dyDescent="0.2"/>
    <row r="41" spans="1:25" ht="13.5" customHeight="1" x14ac:dyDescent="0.2">
      <c r="A41" s="1" t="s">
        <v>20</v>
      </c>
    </row>
    <row r="42" spans="1:25" ht="13.5" customHeight="1" x14ac:dyDescent="0.2">
      <c r="A42" s="1" t="s">
        <v>39</v>
      </c>
    </row>
    <row r="43" spans="1:25" ht="13.5" customHeight="1" x14ac:dyDescent="0.2">
      <c r="A43" s="1" t="s">
        <v>17</v>
      </c>
    </row>
  </sheetData>
  <pageMargins left="0.51181102362204722" right="0.31496062992125984" top="0.55118110236220474" bottom="0.15748031496062992" header="0.31496062992125984" footer="0.31496062992125984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V26"/>
  <sheetViews>
    <sheetView zoomScale="145" zoomScaleNormal="145" workbookViewId="0">
      <pane xSplit="1" ySplit="7" topLeftCell="CG8" activePane="bottomRight" state="frozen"/>
      <selection pane="topRight" activeCell="B1" sqref="B1"/>
      <selection pane="bottomLeft" activeCell="A8" sqref="A8"/>
      <selection pane="bottomRight" activeCell="CC27" sqref="CC27"/>
    </sheetView>
  </sheetViews>
  <sheetFormatPr defaultColWidth="9.140625" defaultRowHeight="12.75" x14ac:dyDescent="0.2"/>
  <cols>
    <col min="1" max="1" width="31.5703125" style="1" customWidth="1"/>
    <col min="2" max="2" width="7.5703125" style="1" customWidth="1"/>
    <col min="3" max="3" width="6.85546875" style="1" customWidth="1"/>
    <col min="4" max="5" width="8.85546875" style="1" customWidth="1"/>
    <col min="6" max="6" width="8.140625" style="1" customWidth="1"/>
    <col min="7" max="7" width="7" style="1" customWidth="1"/>
    <col min="8" max="8" width="8.5703125" style="1" customWidth="1"/>
    <col min="9" max="10" width="9.5703125" style="1" customWidth="1"/>
    <col min="11" max="11" width="7.5703125" style="1" customWidth="1"/>
    <col min="12" max="12" width="6.85546875" style="1" customWidth="1"/>
    <col min="13" max="14" width="8.140625" style="1" customWidth="1"/>
    <col min="15" max="15" width="9.42578125" style="1" customWidth="1"/>
    <col min="16" max="16" width="8" style="1" customWidth="1"/>
    <col min="17" max="17" width="6.85546875" style="1" customWidth="1"/>
    <col min="18" max="19" width="9" style="1" customWidth="1"/>
    <col min="20" max="20" width="9.42578125" style="1" customWidth="1"/>
    <col min="21" max="21" width="8" style="1" customWidth="1"/>
    <col min="22" max="22" width="7.140625" style="1" customWidth="1"/>
    <col min="23" max="23" width="9.140625" style="1" customWidth="1"/>
    <col min="24" max="24" width="9.85546875" style="1" customWidth="1"/>
    <col min="25" max="25" width="10.42578125" style="1" customWidth="1"/>
    <col min="26" max="26" width="8.42578125" style="1" customWidth="1"/>
    <col min="27" max="27" width="7.42578125" style="1" customWidth="1"/>
    <col min="28" max="30" width="9.140625" style="1" customWidth="1"/>
    <col min="31" max="31" width="8.140625" style="1" customWidth="1"/>
    <col min="32" max="32" width="7.42578125" style="1" customWidth="1"/>
    <col min="33" max="34" width="8.5703125" style="1" customWidth="1"/>
    <col min="35" max="35" width="8.85546875" style="1" customWidth="1"/>
    <col min="36" max="36" width="8.5703125" style="1" customWidth="1"/>
    <col min="37" max="37" width="7.140625" style="1" customWidth="1"/>
    <col min="38" max="38" width="9.140625" style="1"/>
    <col min="39" max="39" width="9.140625" style="5"/>
    <col min="40" max="40" width="9.42578125" style="1" customWidth="1"/>
    <col min="41" max="41" width="8.42578125" style="1" customWidth="1"/>
    <col min="42" max="42" width="7.5703125" style="1" customWidth="1"/>
    <col min="43" max="43" width="8.42578125" style="1" customWidth="1"/>
    <col min="44" max="44" width="9.140625" style="5"/>
    <col min="45" max="45" width="9.42578125" style="7" customWidth="1"/>
    <col min="46" max="49" width="9.140625" style="1"/>
    <col min="50" max="50" width="9.5703125" style="1" customWidth="1"/>
    <col min="51" max="54" width="9.140625" style="1"/>
    <col min="55" max="55" width="9.42578125" style="1" customWidth="1"/>
    <col min="56" max="59" width="9.140625" style="1"/>
    <col min="60" max="60" width="9.85546875" style="1" customWidth="1"/>
    <col min="61" max="74" width="9.140625" style="1"/>
    <col min="75" max="75" width="11.140625" style="1" customWidth="1"/>
    <col min="76" max="79" width="9.140625" style="1"/>
    <col min="80" max="80" width="10.7109375" style="1" customWidth="1"/>
    <col min="81" max="84" width="9.140625" style="1"/>
    <col min="85" max="85" width="10.7109375" style="1" customWidth="1"/>
    <col min="86" max="89" width="9.140625" style="1"/>
    <col min="90" max="90" width="11.140625" style="1" customWidth="1"/>
    <col min="91" max="94" width="9.140625" style="1"/>
    <col min="95" max="95" width="10" style="1" customWidth="1"/>
    <col min="96" max="99" width="9.140625" style="1"/>
    <col min="100" max="100" width="10.42578125" style="1" customWidth="1"/>
    <col min="101" max="16384" width="9.140625" style="1"/>
  </cols>
  <sheetData>
    <row r="2" spans="1:100" ht="15" x14ac:dyDescent="0.2">
      <c r="A2" s="38" t="s">
        <v>43</v>
      </c>
    </row>
    <row r="3" spans="1:100" x14ac:dyDescent="0.2">
      <c r="A3" s="1" t="s">
        <v>52</v>
      </c>
    </row>
    <row r="4" spans="1:100" ht="13.5" thickBot="1" x14ac:dyDescent="0.25"/>
    <row r="5" spans="1:100" x14ac:dyDescent="0.2">
      <c r="A5" s="34"/>
      <c r="B5" s="8" t="s">
        <v>26</v>
      </c>
      <c r="C5" s="9"/>
      <c r="D5" s="9"/>
      <c r="E5" s="10"/>
      <c r="F5" s="8" t="s">
        <v>25</v>
      </c>
      <c r="G5" s="9"/>
      <c r="H5" s="9"/>
      <c r="I5" s="23"/>
      <c r="J5" s="24"/>
      <c r="K5" s="8" t="s">
        <v>24</v>
      </c>
      <c r="L5" s="9"/>
      <c r="M5" s="9"/>
      <c r="N5" s="23"/>
      <c r="O5" s="24"/>
      <c r="P5" s="8" t="s">
        <v>23</v>
      </c>
      <c r="Q5" s="9"/>
      <c r="R5" s="9"/>
      <c r="S5" s="23"/>
      <c r="T5" s="24"/>
      <c r="U5" s="8" t="s">
        <v>21</v>
      </c>
      <c r="V5" s="9"/>
      <c r="W5" s="9"/>
      <c r="X5" s="23"/>
      <c r="Y5" s="24"/>
      <c r="Z5" s="8" t="s">
        <v>22</v>
      </c>
      <c r="AA5" s="9"/>
      <c r="AB5" s="9"/>
      <c r="AC5" s="23"/>
      <c r="AD5" s="24"/>
      <c r="AE5" s="8" t="s">
        <v>19</v>
      </c>
      <c r="AF5" s="9"/>
      <c r="AG5" s="9"/>
      <c r="AH5" s="23"/>
      <c r="AI5" s="24"/>
      <c r="AJ5" s="8" t="s">
        <v>13</v>
      </c>
      <c r="AK5" s="9"/>
      <c r="AL5" s="9"/>
      <c r="AM5" s="23"/>
      <c r="AN5" s="24"/>
      <c r="AO5" s="8" t="s">
        <v>9</v>
      </c>
      <c r="AP5" s="9"/>
      <c r="AQ5" s="9"/>
      <c r="AR5" s="23"/>
      <c r="AS5" s="33"/>
      <c r="AT5" s="8" t="s">
        <v>27</v>
      </c>
      <c r="AU5" s="9"/>
      <c r="AV5" s="9"/>
      <c r="AW5" s="23"/>
      <c r="AX5" s="33"/>
      <c r="AY5" s="8" t="s">
        <v>30</v>
      </c>
      <c r="AZ5" s="9"/>
      <c r="BA5" s="9"/>
      <c r="BB5" s="23"/>
      <c r="BC5" s="33"/>
      <c r="BD5" s="8" t="s">
        <v>34</v>
      </c>
      <c r="BE5" s="9"/>
      <c r="BF5" s="9"/>
      <c r="BG5" s="23"/>
      <c r="BH5" s="33"/>
      <c r="BI5" s="8" t="s">
        <v>38</v>
      </c>
      <c r="BJ5" s="9"/>
      <c r="BK5" s="9"/>
      <c r="BL5" s="23"/>
      <c r="BM5" s="33"/>
      <c r="BN5" s="8" t="s">
        <v>40</v>
      </c>
      <c r="BO5" s="9"/>
      <c r="BP5" s="9"/>
      <c r="BQ5" s="23"/>
      <c r="BR5" s="33"/>
      <c r="BS5" s="8" t="s">
        <v>41</v>
      </c>
      <c r="BT5" s="9"/>
      <c r="BU5" s="9"/>
      <c r="BV5" s="23"/>
      <c r="BW5" s="33"/>
      <c r="BX5" s="8" t="s">
        <v>42</v>
      </c>
      <c r="BY5" s="9"/>
      <c r="BZ5" s="9"/>
      <c r="CA5" s="23"/>
      <c r="CB5" s="33"/>
      <c r="CC5" s="8" t="s">
        <v>44</v>
      </c>
      <c r="CD5" s="9"/>
      <c r="CE5" s="9"/>
      <c r="CF5" s="23"/>
      <c r="CG5" s="33"/>
      <c r="CH5" s="8" t="s">
        <v>45</v>
      </c>
      <c r="CI5" s="9"/>
      <c r="CJ5" s="9"/>
      <c r="CK5" s="23"/>
      <c r="CL5" s="33"/>
      <c r="CM5" s="8" t="s">
        <v>46</v>
      </c>
      <c r="CN5" s="9"/>
      <c r="CO5" s="9"/>
      <c r="CP5" s="23"/>
      <c r="CQ5" s="33"/>
      <c r="CR5" s="8" t="s">
        <v>47</v>
      </c>
      <c r="CS5" s="9"/>
      <c r="CT5" s="9"/>
      <c r="CU5" s="23"/>
      <c r="CV5" s="33"/>
    </row>
    <row r="6" spans="1:100" x14ac:dyDescent="0.2">
      <c r="A6" s="35" t="s">
        <v>10</v>
      </c>
      <c r="B6" s="11" t="s">
        <v>6</v>
      </c>
      <c r="C6" s="12" t="s">
        <v>7</v>
      </c>
      <c r="D6" s="12" t="s">
        <v>8</v>
      </c>
      <c r="E6" s="13" t="s">
        <v>8</v>
      </c>
      <c r="F6" s="11" t="s">
        <v>6</v>
      </c>
      <c r="G6" s="12" t="s">
        <v>7</v>
      </c>
      <c r="H6" s="12" t="s">
        <v>8</v>
      </c>
      <c r="I6" s="25" t="s">
        <v>8</v>
      </c>
      <c r="J6" s="26" t="s">
        <v>8</v>
      </c>
      <c r="K6" s="11" t="s">
        <v>6</v>
      </c>
      <c r="L6" s="12" t="s">
        <v>7</v>
      </c>
      <c r="M6" s="12" t="s">
        <v>8</v>
      </c>
      <c r="N6" s="25" t="s">
        <v>8</v>
      </c>
      <c r="O6" s="26" t="s">
        <v>8</v>
      </c>
      <c r="P6" s="11" t="s">
        <v>6</v>
      </c>
      <c r="Q6" s="12" t="s">
        <v>7</v>
      </c>
      <c r="R6" s="12" t="s">
        <v>8</v>
      </c>
      <c r="S6" s="25" t="s">
        <v>8</v>
      </c>
      <c r="T6" s="26" t="s">
        <v>8</v>
      </c>
      <c r="U6" s="11" t="s">
        <v>6</v>
      </c>
      <c r="V6" s="12" t="s">
        <v>7</v>
      </c>
      <c r="W6" s="12" t="s">
        <v>8</v>
      </c>
      <c r="X6" s="25" t="s">
        <v>8</v>
      </c>
      <c r="Y6" s="26" t="s">
        <v>8</v>
      </c>
      <c r="Z6" s="11" t="s">
        <v>6</v>
      </c>
      <c r="AA6" s="12" t="s">
        <v>7</v>
      </c>
      <c r="AB6" s="12" t="s">
        <v>8</v>
      </c>
      <c r="AC6" s="25" t="s">
        <v>8</v>
      </c>
      <c r="AD6" s="26" t="s">
        <v>8</v>
      </c>
      <c r="AE6" s="11" t="s">
        <v>6</v>
      </c>
      <c r="AF6" s="12" t="s">
        <v>7</v>
      </c>
      <c r="AG6" s="12" t="s">
        <v>8</v>
      </c>
      <c r="AH6" s="25" t="s">
        <v>8</v>
      </c>
      <c r="AI6" s="26" t="s">
        <v>8</v>
      </c>
      <c r="AJ6" s="11" t="s">
        <v>6</v>
      </c>
      <c r="AK6" s="12" t="s">
        <v>7</v>
      </c>
      <c r="AL6" s="12" t="s">
        <v>8</v>
      </c>
      <c r="AM6" s="25" t="s">
        <v>8</v>
      </c>
      <c r="AN6" s="26" t="s">
        <v>8</v>
      </c>
      <c r="AO6" s="11" t="s">
        <v>6</v>
      </c>
      <c r="AP6" s="12" t="s">
        <v>7</v>
      </c>
      <c r="AQ6" s="12" t="s">
        <v>8</v>
      </c>
      <c r="AR6" s="25" t="s">
        <v>8</v>
      </c>
      <c r="AS6" s="26" t="s">
        <v>8</v>
      </c>
      <c r="AT6" s="11" t="s">
        <v>6</v>
      </c>
      <c r="AU6" s="12" t="s">
        <v>7</v>
      </c>
      <c r="AV6" s="12" t="s">
        <v>8</v>
      </c>
      <c r="AW6" s="25" t="s">
        <v>8</v>
      </c>
      <c r="AX6" s="26" t="s">
        <v>8</v>
      </c>
      <c r="AY6" s="11" t="s">
        <v>6</v>
      </c>
      <c r="AZ6" s="12" t="s">
        <v>7</v>
      </c>
      <c r="BA6" s="12" t="s">
        <v>8</v>
      </c>
      <c r="BB6" s="25" t="s">
        <v>8</v>
      </c>
      <c r="BC6" s="26" t="s">
        <v>8</v>
      </c>
      <c r="BD6" s="11" t="s">
        <v>6</v>
      </c>
      <c r="BE6" s="12" t="s">
        <v>7</v>
      </c>
      <c r="BF6" s="12" t="s">
        <v>8</v>
      </c>
      <c r="BG6" s="25" t="s">
        <v>8</v>
      </c>
      <c r="BH6" s="26" t="s">
        <v>8</v>
      </c>
      <c r="BI6" s="11" t="s">
        <v>6</v>
      </c>
      <c r="BJ6" s="12" t="s">
        <v>7</v>
      </c>
      <c r="BK6" s="12" t="s">
        <v>8</v>
      </c>
      <c r="BL6" s="25" t="s">
        <v>8</v>
      </c>
      <c r="BM6" s="26" t="s">
        <v>8</v>
      </c>
      <c r="BN6" s="11" t="s">
        <v>6</v>
      </c>
      <c r="BO6" s="12" t="s">
        <v>7</v>
      </c>
      <c r="BP6" s="12" t="s">
        <v>8</v>
      </c>
      <c r="BQ6" s="25" t="s">
        <v>8</v>
      </c>
      <c r="BR6" s="26" t="s">
        <v>8</v>
      </c>
      <c r="BS6" s="11" t="s">
        <v>6</v>
      </c>
      <c r="BT6" s="12" t="s">
        <v>7</v>
      </c>
      <c r="BU6" s="12" t="s">
        <v>8</v>
      </c>
      <c r="BV6" s="25" t="s">
        <v>8</v>
      </c>
      <c r="BW6" s="26" t="s">
        <v>8</v>
      </c>
      <c r="BX6" s="11" t="s">
        <v>6</v>
      </c>
      <c r="BY6" s="12" t="s">
        <v>7</v>
      </c>
      <c r="BZ6" s="12" t="s">
        <v>8</v>
      </c>
      <c r="CA6" s="25" t="s">
        <v>8</v>
      </c>
      <c r="CB6" s="26" t="s">
        <v>8</v>
      </c>
      <c r="CC6" s="11" t="s">
        <v>6</v>
      </c>
      <c r="CD6" s="12" t="s">
        <v>7</v>
      </c>
      <c r="CE6" s="12" t="s">
        <v>8</v>
      </c>
      <c r="CF6" s="25" t="s">
        <v>8</v>
      </c>
      <c r="CG6" s="26" t="s">
        <v>8</v>
      </c>
      <c r="CH6" s="11" t="s">
        <v>6</v>
      </c>
      <c r="CI6" s="12" t="s">
        <v>7</v>
      </c>
      <c r="CJ6" s="12" t="s">
        <v>8</v>
      </c>
      <c r="CK6" s="25" t="s">
        <v>8</v>
      </c>
      <c r="CL6" s="26" t="s">
        <v>8</v>
      </c>
      <c r="CM6" s="11" t="s">
        <v>6</v>
      </c>
      <c r="CN6" s="12" t="s">
        <v>7</v>
      </c>
      <c r="CO6" s="12" t="s">
        <v>8</v>
      </c>
      <c r="CP6" s="25" t="s">
        <v>8</v>
      </c>
      <c r="CQ6" s="26" t="s">
        <v>8</v>
      </c>
      <c r="CR6" s="11" t="s">
        <v>6</v>
      </c>
      <c r="CS6" s="12" t="s">
        <v>7</v>
      </c>
      <c r="CT6" s="12" t="s">
        <v>8</v>
      </c>
      <c r="CU6" s="25" t="s">
        <v>8</v>
      </c>
      <c r="CV6" s="26" t="s">
        <v>8</v>
      </c>
    </row>
    <row r="7" spans="1:100" x14ac:dyDescent="0.2">
      <c r="A7" s="35"/>
      <c r="B7" s="11"/>
      <c r="C7" s="12"/>
      <c r="D7" s="12" t="s">
        <v>11</v>
      </c>
      <c r="E7" s="13" t="s">
        <v>12</v>
      </c>
      <c r="F7" s="11"/>
      <c r="G7" s="12"/>
      <c r="H7" s="12" t="s">
        <v>11</v>
      </c>
      <c r="I7" s="25" t="s">
        <v>12</v>
      </c>
      <c r="J7" s="26" t="s">
        <v>18</v>
      </c>
      <c r="K7" s="11"/>
      <c r="L7" s="12"/>
      <c r="M7" s="12" t="s">
        <v>11</v>
      </c>
      <c r="N7" s="25" t="s">
        <v>12</v>
      </c>
      <c r="O7" s="26" t="s">
        <v>18</v>
      </c>
      <c r="P7" s="11"/>
      <c r="Q7" s="12"/>
      <c r="R7" s="12" t="s">
        <v>11</v>
      </c>
      <c r="S7" s="25" t="s">
        <v>12</v>
      </c>
      <c r="T7" s="27" t="s">
        <v>18</v>
      </c>
      <c r="U7" s="11"/>
      <c r="V7" s="12"/>
      <c r="W7" s="12" t="s">
        <v>11</v>
      </c>
      <c r="X7" s="25" t="s">
        <v>12</v>
      </c>
      <c r="Y7" s="27" t="s">
        <v>18</v>
      </c>
      <c r="Z7" s="11"/>
      <c r="AA7" s="12"/>
      <c r="AB7" s="12" t="s">
        <v>11</v>
      </c>
      <c r="AC7" s="5" t="s">
        <v>12</v>
      </c>
      <c r="AD7" s="27" t="s">
        <v>18</v>
      </c>
      <c r="AE7" s="11"/>
      <c r="AF7" s="12"/>
      <c r="AG7" s="12" t="s">
        <v>11</v>
      </c>
      <c r="AH7" s="5" t="s">
        <v>12</v>
      </c>
      <c r="AI7" s="26" t="s">
        <v>18</v>
      </c>
      <c r="AJ7" s="11"/>
      <c r="AK7" s="12"/>
      <c r="AL7" s="12" t="s">
        <v>11</v>
      </c>
      <c r="AM7" s="5" t="s">
        <v>12</v>
      </c>
      <c r="AN7" s="27" t="s">
        <v>18</v>
      </c>
      <c r="AO7" s="11"/>
      <c r="AP7" s="12"/>
      <c r="AQ7" s="12" t="s">
        <v>11</v>
      </c>
      <c r="AR7" s="5" t="s">
        <v>12</v>
      </c>
      <c r="AS7" s="27" t="s">
        <v>18</v>
      </c>
      <c r="AT7" s="11"/>
      <c r="AU7" s="12"/>
      <c r="AV7" s="12" t="s">
        <v>11</v>
      </c>
      <c r="AW7" s="5" t="s">
        <v>12</v>
      </c>
      <c r="AX7" s="27" t="s">
        <v>18</v>
      </c>
      <c r="AY7" s="11"/>
      <c r="AZ7" s="12"/>
      <c r="BA7" s="12" t="s">
        <v>11</v>
      </c>
      <c r="BB7" s="5" t="s">
        <v>12</v>
      </c>
      <c r="BC7" s="27" t="s">
        <v>18</v>
      </c>
      <c r="BD7" s="11"/>
      <c r="BE7" s="12"/>
      <c r="BF7" s="12" t="s">
        <v>11</v>
      </c>
      <c r="BG7" s="5" t="s">
        <v>12</v>
      </c>
      <c r="BH7" s="27" t="s">
        <v>18</v>
      </c>
      <c r="BI7" s="11"/>
      <c r="BJ7" s="12"/>
      <c r="BK7" s="12" t="s">
        <v>11</v>
      </c>
      <c r="BL7" s="5" t="s">
        <v>12</v>
      </c>
      <c r="BM7" s="27" t="s">
        <v>18</v>
      </c>
      <c r="BN7" s="11"/>
      <c r="BO7" s="12"/>
      <c r="BP7" s="12" t="s">
        <v>11</v>
      </c>
      <c r="BQ7" s="5" t="s">
        <v>12</v>
      </c>
      <c r="BR7" s="27" t="s">
        <v>18</v>
      </c>
      <c r="BS7" s="11"/>
      <c r="BT7" s="12"/>
      <c r="BU7" s="12" t="s">
        <v>11</v>
      </c>
      <c r="BV7" s="5" t="s">
        <v>12</v>
      </c>
      <c r="BW7" s="27" t="s">
        <v>18</v>
      </c>
      <c r="BX7" s="11"/>
      <c r="BY7" s="12"/>
      <c r="BZ7" s="12" t="s">
        <v>11</v>
      </c>
      <c r="CA7" s="5" t="s">
        <v>12</v>
      </c>
      <c r="CB7" s="27" t="s">
        <v>18</v>
      </c>
      <c r="CC7" s="11"/>
      <c r="CD7" s="12"/>
      <c r="CE7" s="12" t="s">
        <v>11</v>
      </c>
      <c r="CF7" s="5" t="s">
        <v>12</v>
      </c>
      <c r="CG7" s="27" t="s">
        <v>18</v>
      </c>
      <c r="CH7" s="11"/>
      <c r="CI7" s="12"/>
      <c r="CJ7" s="12" t="s">
        <v>11</v>
      </c>
      <c r="CK7" s="5" t="s">
        <v>12</v>
      </c>
      <c r="CL7" s="27" t="s">
        <v>18</v>
      </c>
      <c r="CM7" s="11"/>
      <c r="CN7" s="12"/>
      <c r="CO7" s="12" t="s">
        <v>11</v>
      </c>
      <c r="CP7" s="5" t="s">
        <v>12</v>
      </c>
      <c r="CQ7" s="27" t="s">
        <v>18</v>
      </c>
      <c r="CR7" s="11"/>
      <c r="CS7" s="12"/>
      <c r="CT7" s="12" t="s">
        <v>11</v>
      </c>
      <c r="CU7" s="5" t="s">
        <v>12</v>
      </c>
      <c r="CV7" s="27" t="s">
        <v>18</v>
      </c>
    </row>
    <row r="8" spans="1:100" x14ac:dyDescent="0.2">
      <c r="A8" s="35"/>
      <c r="B8" s="14"/>
      <c r="E8" s="15"/>
      <c r="F8" s="14"/>
      <c r="I8" s="5"/>
      <c r="J8" s="27"/>
      <c r="K8" s="14"/>
      <c r="N8" s="5"/>
      <c r="O8" s="27"/>
      <c r="P8" s="14"/>
      <c r="S8" s="5"/>
      <c r="T8" s="27"/>
      <c r="U8" s="14"/>
      <c r="X8" s="5"/>
      <c r="Y8" s="27"/>
      <c r="Z8" s="14"/>
      <c r="AC8" s="5"/>
      <c r="AD8" s="27"/>
      <c r="AE8" s="14"/>
      <c r="AH8" s="5"/>
      <c r="AI8" s="27"/>
      <c r="AJ8" s="14"/>
      <c r="AN8" s="27"/>
      <c r="AO8" s="14"/>
      <c r="AS8" s="27"/>
      <c r="AT8" s="14"/>
      <c r="AW8" s="5"/>
      <c r="AX8" s="27"/>
      <c r="AY8" s="14"/>
      <c r="BB8" s="5"/>
      <c r="BC8" s="27"/>
      <c r="BD8" s="14"/>
      <c r="BG8" s="5"/>
      <c r="BH8" s="27"/>
      <c r="BI8" s="14"/>
      <c r="BL8" s="5"/>
      <c r="BM8" s="27"/>
      <c r="BN8" s="14"/>
      <c r="BQ8" s="5"/>
      <c r="BR8" s="27"/>
      <c r="BS8" s="14"/>
      <c r="BV8" s="5"/>
      <c r="BW8" s="27"/>
      <c r="BX8" s="14"/>
      <c r="CA8" s="5"/>
      <c r="CB8" s="27"/>
      <c r="CC8" s="14"/>
      <c r="CF8" s="5"/>
      <c r="CG8" s="27"/>
      <c r="CH8" s="14"/>
      <c r="CK8" s="5"/>
      <c r="CL8" s="27"/>
      <c r="CM8" s="14"/>
      <c r="CP8" s="5"/>
      <c r="CQ8" s="27"/>
      <c r="CR8" s="14"/>
      <c r="CU8" s="5"/>
      <c r="CV8" s="27"/>
    </row>
    <row r="9" spans="1:100" ht="15.75" customHeight="1" x14ac:dyDescent="0.2">
      <c r="A9" s="35" t="s">
        <v>0</v>
      </c>
      <c r="B9" s="16">
        <f>20.355+916.854+72.327</f>
        <v>1009.5360000000001</v>
      </c>
      <c r="C9" s="3">
        <f>1.14+278.118+4.023</f>
        <v>283.28100000000001</v>
      </c>
      <c r="D9" s="3">
        <f>B9+C9</f>
        <v>1292.817</v>
      </c>
      <c r="E9" s="17">
        <f>100*D9/D$21</f>
        <v>38.963719732537832</v>
      </c>
      <c r="F9" s="16">
        <f>23.345+934.654+83.781</f>
        <v>1041.78</v>
      </c>
      <c r="G9" s="3">
        <f>0.077+367.633+3.367</f>
        <v>371.077</v>
      </c>
      <c r="H9" s="3">
        <f>F9+G9</f>
        <v>1412.857</v>
      </c>
      <c r="I9" s="6">
        <f>100*H9/H$21</f>
        <v>39.595790594697611</v>
      </c>
      <c r="J9" s="28">
        <f>100*(H9-D9)/D9</f>
        <v>9.2851501798011604</v>
      </c>
      <c r="K9" s="16">
        <f>20.166+943.151+42.906</f>
        <v>1006.223</v>
      </c>
      <c r="L9" s="3">
        <f>0.575+300.212+10.833</f>
        <v>311.62</v>
      </c>
      <c r="M9" s="3">
        <f>K9+L9</f>
        <v>1317.8429999999998</v>
      </c>
      <c r="N9" s="6">
        <f>100*M9/M$21</f>
        <v>34.739941351571076</v>
      </c>
      <c r="O9" s="28">
        <f>100*(M9-H9)/H9</f>
        <v>-6.7249551794696938</v>
      </c>
      <c r="P9" s="16">
        <f>23.416+1014.705+75.499</f>
        <v>1113.6200000000001</v>
      </c>
      <c r="Q9" s="3">
        <f>0.035+357.017+2.483</f>
        <v>359.53500000000003</v>
      </c>
      <c r="R9" s="3">
        <f>P9+Q9</f>
        <v>1473.1550000000002</v>
      </c>
      <c r="S9" s="6">
        <f>100*R9/R$21</f>
        <v>35.13597958368365</v>
      </c>
      <c r="T9" s="28">
        <f>100*(R9-M9)/M9</f>
        <v>11.785318888517097</v>
      </c>
      <c r="U9" s="16">
        <f>16.455+936.316+151.309</f>
        <v>1104.0800000000002</v>
      </c>
      <c r="V9" s="3">
        <f>0.043+369.522+14.587</f>
        <v>384.15199999999999</v>
      </c>
      <c r="W9" s="3">
        <f>U9+V9</f>
        <v>1488.2320000000002</v>
      </c>
      <c r="X9" s="6">
        <f>100*W9/W$21</f>
        <v>36.090092825350702</v>
      </c>
      <c r="Y9" s="28">
        <f>100*(W9-R9)/R9</f>
        <v>1.0234496709443335</v>
      </c>
      <c r="Z9" s="16">
        <f>18.45+1004.994+120.074</f>
        <v>1143.518</v>
      </c>
      <c r="AA9" s="3">
        <f>0.102+455.731+5.606-43</f>
        <v>418.43899999999996</v>
      </c>
      <c r="AB9" s="3">
        <f>Z9+AA9</f>
        <v>1561.9569999999999</v>
      </c>
      <c r="AC9" s="6">
        <f>100*AB9/AB$21</f>
        <v>27.147543661908184</v>
      </c>
      <c r="AD9" s="28">
        <f>100*(AB9-W9)/W9</f>
        <v>4.9538647200167496</v>
      </c>
      <c r="AE9" s="16">
        <f>18.911+1078.346+145.204</f>
        <v>1242.461</v>
      </c>
      <c r="AF9" s="3">
        <f>385.751+10.872</f>
        <v>396.62299999999999</v>
      </c>
      <c r="AG9" s="3">
        <f>AE9+AF9</f>
        <v>1639.0840000000001</v>
      </c>
      <c r="AH9" s="6">
        <f>100*AG9/AG$21</f>
        <v>37.465393716193731</v>
      </c>
      <c r="AI9" s="28">
        <f>100*(AG9-AB9)/AB9</f>
        <v>4.9378439995467343</v>
      </c>
      <c r="AJ9" s="16">
        <f>18.437+1070.913+200.104</f>
        <v>1289.454</v>
      </c>
      <c r="AK9" s="3">
        <f>1.945+402.492+0.77</f>
        <v>405.20699999999999</v>
      </c>
      <c r="AL9" s="3">
        <f>AJ9+AK9</f>
        <v>1694.6610000000001</v>
      </c>
      <c r="AM9" s="6">
        <f>100*AL9/AL$21</f>
        <v>36.526597760202222</v>
      </c>
      <c r="AN9" s="28">
        <f>100*(AL9-AG9)/AG9</f>
        <v>3.3907353131383138</v>
      </c>
      <c r="AO9" s="16">
        <f>14.864+1067.828+181.058</f>
        <v>1263.75</v>
      </c>
      <c r="AP9" s="3">
        <f>0.5+438.962</f>
        <v>439.46199999999999</v>
      </c>
      <c r="AQ9" s="3">
        <f>AO9+AP9</f>
        <v>1703.212</v>
      </c>
      <c r="AR9" s="6">
        <f>100*AQ9/AQ$21</f>
        <v>36.174378305040968</v>
      </c>
      <c r="AS9" s="28">
        <f>100*(AQ9-AL9)/AL9</f>
        <v>0.50458469274975526</v>
      </c>
      <c r="AT9" s="16">
        <f>11.764+1064.884+127.651</f>
        <v>1204.299</v>
      </c>
      <c r="AU9" s="3">
        <f>0.125+439.871+1.782</f>
        <v>441.77799999999996</v>
      </c>
      <c r="AV9" s="3">
        <f>AT9+AU9</f>
        <v>1646.077</v>
      </c>
      <c r="AW9" s="6">
        <f>100*AV9/AV$21</f>
        <v>21.50759067455677</v>
      </c>
      <c r="AX9" s="28">
        <f>100*(AV9-AQ9)/AQ9</f>
        <v>-3.3545442375934407</v>
      </c>
      <c r="AY9" s="16">
        <f>AY10+AY11</f>
        <v>1388.9380000000001</v>
      </c>
      <c r="AZ9" s="3">
        <f>AZ10+AZ11</f>
        <v>392.92200000000003</v>
      </c>
      <c r="BA9" s="3">
        <f>BA10+BA11</f>
        <v>1781.8600000000001</v>
      </c>
      <c r="BB9" s="6">
        <f>100*BA9/BA$21</f>
        <v>40.20163765731931</v>
      </c>
      <c r="BC9" s="28">
        <f>100*(BA9-AV9)/AV9</f>
        <v>8.2488850764575492</v>
      </c>
      <c r="BD9" s="16">
        <f>BD10+BD11</f>
        <v>1410.771</v>
      </c>
      <c r="BE9" s="3">
        <f>BE10+BE11</f>
        <v>433.72899999999998</v>
      </c>
      <c r="BF9" s="3">
        <f>BF10+BF11</f>
        <v>1844.5</v>
      </c>
      <c r="BG9" s="6">
        <f>100*BF9/BF$21</f>
        <v>42.417432610439398</v>
      </c>
      <c r="BH9" s="28">
        <f>100*(BF9-BA9)/BA9</f>
        <v>3.5154276991458291</v>
      </c>
      <c r="BI9" s="16">
        <f>BI10+BI11</f>
        <v>1318.4300000000003</v>
      </c>
      <c r="BJ9" s="3">
        <f>BJ10+BJ11</f>
        <v>559.50000000000011</v>
      </c>
      <c r="BK9" s="3">
        <f>BK10+BK11</f>
        <v>1877.9300000000005</v>
      </c>
      <c r="BL9" s="6">
        <f>100*BK9/BK$21</f>
        <v>41.5588743897058</v>
      </c>
      <c r="BM9" s="28">
        <f>100*(BK9-BF9)/BF9</f>
        <v>1.8124152886961518</v>
      </c>
      <c r="BN9" s="16">
        <f>BN10+BN11</f>
        <v>1391.2239999999999</v>
      </c>
      <c r="BO9" s="3">
        <f>BO10+BO11</f>
        <v>681.17100000000005</v>
      </c>
      <c r="BP9" s="3">
        <f>BP10+BP11</f>
        <v>2072.395</v>
      </c>
      <c r="BQ9" s="6">
        <f>100*BP9/BP$21</f>
        <v>42.825590687292042</v>
      </c>
      <c r="BR9" s="28">
        <f>100*(BP9-BK9)/BK9</f>
        <v>10.355284808272907</v>
      </c>
      <c r="BS9" s="16">
        <f>BS10+BS11</f>
        <v>1619.0529999999999</v>
      </c>
      <c r="BT9" s="3">
        <f>BT10+BT11</f>
        <v>765.87699999999995</v>
      </c>
      <c r="BU9" s="3">
        <f>BU10+BU11</f>
        <v>2384.9300000000003</v>
      </c>
      <c r="BV9" s="6">
        <f>100*BU9/BU$21</f>
        <v>44.049023846828284</v>
      </c>
      <c r="BW9" s="28">
        <f>100*(BU9-BP9)/BP9</f>
        <v>15.080860550232957</v>
      </c>
      <c r="BX9" s="16">
        <f>BX10+BX11</f>
        <v>1756.5459999999998</v>
      </c>
      <c r="BY9" s="3">
        <f>BY10+BY11</f>
        <v>842.74700000000007</v>
      </c>
      <c r="BZ9" s="3">
        <f>BZ10+BZ11</f>
        <v>2599.2929999999997</v>
      </c>
      <c r="CA9" s="6">
        <f>100*BZ9/BZ$21</f>
        <v>44.947192569660729</v>
      </c>
      <c r="CB9" s="28">
        <f>100*(BZ9-BU9)/BU9</f>
        <v>8.9882302625234018</v>
      </c>
      <c r="CC9" s="61">
        <f>CC10+CC11</f>
        <v>1621.3116583100004</v>
      </c>
      <c r="CD9" s="62">
        <f>CD10+CD11</f>
        <v>862.24246663999998</v>
      </c>
      <c r="CE9" s="62">
        <f>CE10+CE11</f>
        <v>2483.5541249500002</v>
      </c>
      <c r="CF9" s="6">
        <f>100*CE9/CE$21</f>
        <v>46.599739941690395</v>
      </c>
      <c r="CG9" s="28">
        <f>100*(CE9-BZ9)/BZ9</f>
        <v>-4.4527059877435704</v>
      </c>
      <c r="CH9" s="61">
        <f>CH10+CH11</f>
        <v>1619.6253411800001</v>
      </c>
      <c r="CI9" s="62">
        <f>CI10+CI11</f>
        <v>1110.8226774600002</v>
      </c>
      <c r="CJ9" s="62">
        <f>CJ10+CJ11</f>
        <v>2730.4480186400001</v>
      </c>
      <c r="CK9" s="6">
        <f>100*CJ9/CJ$21</f>
        <v>46.117503530126285</v>
      </c>
      <c r="CL9" s="28">
        <f>100*(CJ9-CE9)/CE9</f>
        <v>9.9411521258861413</v>
      </c>
      <c r="CM9" s="61">
        <f>CM10+CM11</f>
        <v>1845.6595778700002</v>
      </c>
      <c r="CN9" s="62">
        <f>CN10+CN11</f>
        <v>86.15884337</v>
      </c>
      <c r="CO9" s="62">
        <f>CO10+CO11</f>
        <v>1931.8184212400001</v>
      </c>
      <c r="CP9" s="6">
        <f>100*CO9/CO$21</f>
        <v>40.8418085221182</v>
      </c>
      <c r="CQ9" s="28">
        <f>100*(CO9-CJ9)/CJ9</f>
        <v>-29.249031365841081</v>
      </c>
      <c r="CR9" s="61">
        <f>CR10+CR11</f>
        <v>1945.25875357</v>
      </c>
      <c r="CS9" s="62">
        <f>CS10+CS11</f>
        <v>80.56564997000001</v>
      </c>
      <c r="CT9" s="62">
        <f>CT10+CT11</f>
        <v>2025.82440354</v>
      </c>
      <c r="CU9" s="6">
        <f>100*CT9/CT$21</f>
        <v>42.412178960262146</v>
      </c>
      <c r="CV9" s="28">
        <f>100*(CT9-CO9)/CO9</f>
        <v>4.8661914218448725</v>
      </c>
    </row>
    <row r="10" spans="1:100" s="46" customFormat="1" ht="15.75" customHeight="1" x14ac:dyDescent="0.2">
      <c r="A10" s="40" t="s">
        <v>31</v>
      </c>
      <c r="B10" s="41"/>
      <c r="C10" s="42"/>
      <c r="D10" s="42"/>
      <c r="E10" s="43"/>
      <c r="F10" s="41"/>
      <c r="G10" s="42"/>
      <c r="H10" s="42"/>
      <c r="I10" s="44"/>
      <c r="J10" s="45"/>
      <c r="K10" s="41"/>
      <c r="L10" s="42"/>
      <c r="M10" s="42"/>
      <c r="N10" s="44"/>
      <c r="O10" s="45"/>
      <c r="P10" s="41"/>
      <c r="Q10" s="42"/>
      <c r="R10" s="42"/>
      <c r="S10" s="44"/>
      <c r="T10" s="45"/>
      <c r="U10" s="41"/>
      <c r="V10" s="42"/>
      <c r="W10" s="42"/>
      <c r="X10" s="44"/>
      <c r="Y10" s="45"/>
      <c r="Z10" s="41"/>
      <c r="AA10" s="42"/>
      <c r="AB10" s="42"/>
      <c r="AC10" s="44"/>
      <c r="AD10" s="45"/>
      <c r="AE10" s="41"/>
      <c r="AF10" s="42"/>
      <c r="AG10" s="42"/>
      <c r="AH10" s="44"/>
      <c r="AI10" s="45"/>
      <c r="AJ10" s="41"/>
      <c r="AK10" s="42"/>
      <c r="AL10" s="42"/>
      <c r="AM10" s="44"/>
      <c r="AN10" s="45"/>
      <c r="AO10" s="41"/>
      <c r="AP10" s="42"/>
      <c r="AQ10" s="42"/>
      <c r="AR10" s="44"/>
      <c r="AS10" s="45"/>
      <c r="AT10" s="41"/>
      <c r="AU10" s="42"/>
      <c r="AV10" s="42"/>
      <c r="AW10" s="44"/>
      <c r="AX10" s="45"/>
      <c r="AY10" s="41">
        <f>6.529+630.994</f>
        <v>637.52300000000002</v>
      </c>
      <c r="AZ10" s="42">
        <f>2.208+174.171</f>
        <v>176.37899999999999</v>
      </c>
      <c r="BA10" s="42">
        <f>AY10+AZ10</f>
        <v>813.90200000000004</v>
      </c>
      <c r="BB10" s="44">
        <f t="shared" ref="BB10:BB11" si="0">100*BA10/BA$21</f>
        <v>18.362942819619668</v>
      </c>
      <c r="BC10" s="45"/>
      <c r="BD10" s="41">
        <f>9.143+640.064</f>
        <v>649.20699999999999</v>
      </c>
      <c r="BE10" s="42">
        <f>3.872+211.715</f>
        <v>215.58699999999999</v>
      </c>
      <c r="BF10" s="42">
        <f>BD10+BE10</f>
        <v>864.79399999999998</v>
      </c>
      <c r="BG10" s="44">
        <f t="shared" ref="BG10:BG15" si="1">100*BF10/BF$21</f>
        <v>19.887417303828858</v>
      </c>
      <c r="BH10" s="45">
        <f t="shared" ref="BH10:BH11" si="2">100*(BF10-BA10)/BA10</f>
        <v>6.2528412511579932</v>
      </c>
      <c r="BI10" s="41">
        <v>572.44000000000017</v>
      </c>
      <c r="BJ10" s="42">
        <v>320.50800000000004</v>
      </c>
      <c r="BK10" s="42">
        <f>BI10+BJ10</f>
        <v>892.94800000000021</v>
      </c>
      <c r="BL10" s="44">
        <f t="shared" ref="BL10:BL15" si="3">100*BK10/BK$21</f>
        <v>19.761074038190461</v>
      </c>
      <c r="BM10" s="45">
        <f>100*(BK10-BF10)/BF10</f>
        <v>3.2555730035130015</v>
      </c>
      <c r="BN10" s="41">
        <v>607.51599999999996</v>
      </c>
      <c r="BO10" s="42">
        <v>407.26800000000003</v>
      </c>
      <c r="BP10" s="42">
        <f>BN10+BO10</f>
        <v>1014.784</v>
      </c>
      <c r="BQ10" s="44">
        <f t="shared" ref="BQ10:BQ15" si="4">100*BP10/BP$21</f>
        <v>20.970290036413409</v>
      </c>
      <c r="BR10" s="45">
        <f>100*(BP10-BK10)/BK10</f>
        <v>13.644243561775127</v>
      </c>
      <c r="BS10" s="41">
        <v>744.702</v>
      </c>
      <c r="BT10" s="42">
        <v>451.79500000000002</v>
      </c>
      <c r="BU10" s="42">
        <f>BS10+BT10</f>
        <v>1196.4970000000001</v>
      </c>
      <c r="BV10" s="44">
        <f t="shared" ref="BV10:BV15" si="5">100*BU10/BU$21</f>
        <v>22.098981892826412</v>
      </c>
      <c r="BW10" s="45">
        <f>100*(BU10-BP10)/BP10</f>
        <v>17.906569279767918</v>
      </c>
      <c r="BX10" s="41">
        <v>955.83399999999995</v>
      </c>
      <c r="BY10" s="42">
        <v>682.90200000000004</v>
      </c>
      <c r="BZ10" s="42">
        <f>BX10+BY10</f>
        <v>1638.7359999999999</v>
      </c>
      <c r="CA10" s="44">
        <f t="shared" ref="CA10:CA15" si="6">100*BZ10/BZ$21</f>
        <v>28.337160359696099</v>
      </c>
      <c r="CB10" s="45">
        <f>100*(BZ10-BU10)/BU10</f>
        <v>36.961145744619479</v>
      </c>
      <c r="CC10" s="63">
        <v>928.70817390000036</v>
      </c>
      <c r="CD10" s="64">
        <v>579.80113396000002</v>
      </c>
      <c r="CE10" s="64">
        <f>CC10+CD10</f>
        <v>1508.5093078600003</v>
      </c>
      <c r="CF10" s="44">
        <f t="shared" ref="CF10:CF15" si="7">100*CE10/CE$21</f>
        <v>28.304654502873223</v>
      </c>
      <c r="CG10" s="45">
        <f>100*(CE10-BZ10)/BZ10</f>
        <v>-7.9467767926011037</v>
      </c>
      <c r="CH10" s="63">
        <v>915.84844573000009</v>
      </c>
      <c r="CI10" s="64">
        <v>948.31033655000022</v>
      </c>
      <c r="CJ10" s="64">
        <f>CH10+CI10</f>
        <v>1864.1587822800002</v>
      </c>
      <c r="CK10" s="44">
        <f t="shared" ref="CK10:CK15" si="8">100*CJ10/CJ$21</f>
        <v>31.485803295143668</v>
      </c>
      <c r="CL10" s="45">
        <f>100*(CJ10-CE10)/CE10</f>
        <v>23.57622008474916</v>
      </c>
      <c r="CM10" s="63">
        <v>1011.9408292700001</v>
      </c>
      <c r="CN10" s="64">
        <v>36.425558650000006</v>
      </c>
      <c r="CO10" s="64">
        <f>CM10+CN10</f>
        <v>1048.3663879200001</v>
      </c>
      <c r="CP10" s="44">
        <f t="shared" ref="CP10:CP15" si="9">100*CO10/CO$21</f>
        <v>22.164184172635515</v>
      </c>
      <c r="CQ10" s="45">
        <f>100*(CO10-CJ10)/CJ10</f>
        <v>-43.761958590363605</v>
      </c>
      <c r="CR10" s="63">
        <v>1057.1508141200002</v>
      </c>
      <c r="CS10" s="64">
        <v>30.322475170000001</v>
      </c>
      <c r="CT10" s="64">
        <f>CR10+CS10</f>
        <v>1087.4732892900001</v>
      </c>
      <c r="CU10" s="44">
        <f t="shared" ref="CU10:CU15" si="10">100*CT10/CT$21</f>
        <v>22.76708271421597</v>
      </c>
      <c r="CV10" s="45">
        <f>100*(CT10-CO10)/CO10</f>
        <v>3.7302704303206133</v>
      </c>
    </row>
    <row r="11" spans="1:100" s="46" customFormat="1" ht="15.75" customHeight="1" x14ac:dyDescent="0.2">
      <c r="A11" s="40" t="s">
        <v>32</v>
      </c>
      <c r="B11" s="41"/>
      <c r="C11" s="42"/>
      <c r="D11" s="42"/>
      <c r="E11" s="43"/>
      <c r="F11" s="41"/>
      <c r="G11" s="42"/>
      <c r="H11" s="42"/>
      <c r="I11" s="44"/>
      <c r="J11" s="45"/>
      <c r="K11" s="41"/>
      <c r="L11" s="42"/>
      <c r="M11" s="42"/>
      <c r="N11" s="44"/>
      <c r="O11" s="45"/>
      <c r="P11" s="41"/>
      <c r="Q11" s="42"/>
      <c r="R11" s="42"/>
      <c r="S11" s="44"/>
      <c r="T11" s="45"/>
      <c r="U11" s="41"/>
      <c r="V11" s="42"/>
      <c r="W11" s="42"/>
      <c r="X11" s="44"/>
      <c r="Y11" s="45"/>
      <c r="Z11" s="41"/>
      <c r="AA11" s="42"/>
      <c r="AB11" s="42"/>
      <c r="AC11" s="44"/>
      <c r="AD11" s="45"/>
      <c r="AE11" s="41"/>
      <c r="AF11" s="42"/>
      <c r="AG11" s="42"/>
      <c r="AH11" s="44"/>
      <c r="AI11" s="45"/>
      <c r="AJ11" s="41"/>
      <c r="AK11" s="42"/>
      <c r="AL11" s="42"/>
      <c r="AM11" s="44"/>
      <c r="AN11" s="45"/>
      <c r="AO11" s="41"/>
      <c r="AP11" s="42"/>
      <c r="AQ11" s="42"/>
      <c r="AR11" s="44"/>
      <c r="AS11" s="45"/>
      <c r="AT11" s="41"/>
      <c r="AU11" s="42"/>
      <c r="AV11" s="42"/>
      <c r="AW11" s="44"/>
      <c r="AX11" s="45"/>
      <c r="AY11" s="41">
        <f>9.727+741.688</f>
        <v>751.41499999999996</v>
      </c>
      <c r="AZ11" s="42">
        <f>3.174+213.369</f>
        <v>216.54300000000001</v>
      </c>
      <c r="BA11" s="42">
        <f>AY11+AZ11</f>
        <v>967.95799999999997</v>
      </c>
      <c r="BB11" s="44">
        <f t="shared" si="0"/>
        <v>21.838694837699641</v>
      </c>
      <c r="BC11" s="45"/>
      <c r="BD11" s="41">
        <f>10.039+751.525</f>
        <v>761.56399999999996</v>
      </c>
      <c r="BE11" s="42">
        <f>1.93+216.212</f>
        <v>218.142</v>
      </c>
      <c r="BF11" s="42">
        <f>BD11+BE11</f>
        <v>979.7059999999999</v>
      </c>
      <c r="BG11" s="44">
        <f t="shared" si="1"/>
        <v>22.53001530661054</v>
      </c>
      <c r="BH11" s="45">
        <f t="shared" si="2"/>
        <v>1.2136890236973024</v>
      </c>
      <c r="BI11" s="41">
        <v>745.99000000000024</v>
      </c>
      <c r="BJ11" s="42">
        <v>238.99200000000005</v>
      </c>
      <c r="BK11" s="42">
        <f>BI11+BJ11</f>
        <v>984.98200000000031</v>
      </c>
      <c r="BL11" s="44">
        <f t="shared" si="3"/>
        <v>21.797800351515338</v>
      </c>
      <c r="BM11" s="45">
        <f t="shared" ref="BM11:BM15" si="11">100*(BK11-BF11)/BF11</f>
        <v>0.53852890561050037</v>
      </c>
      <c r="BN11" s="41">
        <v>783.70799999999997</v>
      </c>
      <c r="BO11" s="42">
        <v>273.90300000000002</v>
      </c>
      <c r="BP11" s="42">
        <f>BN11+BO11</f>
        <v>1057.6109999999999</v>
      </c>
      <c r="BQ11" s="44">
        <f t="shared" si="4"/>
        <v>21.855300650878629</v>
      </c>
      <c r="BR11" s="45">
        <f t="shared" ref="BR11:BR15" si="12">100*(BP11-BK11)/BK11</f>
        <v>7.3736372847422125</v>
      </c>
      <c r="BS11" s="41">
        <v>874.351</v>
      </c>
      <c r="BT11" s="42">
        <v>314.08199999999999</v>
      </c>
      <c r="BU11" s="42">
        <f>BS11+BT11</f>
        <v>1188.433</v>
      </c>
      <c r="BV11" s="44">
        <f t="shared" si="5"/>
        <v>21.950041954001865</v>
      </c>
      <c r="BW11" s="45">
        <f t="shared" ref="BW11:BW15" si="13">100*(BU11-BP11)/BP11</f>
        <v>12.369576337613747</v>
      </c>
      <c r="BX11" s="41">
        <v>800.71199999999999</v>
      </c>
      <c r="BY11" s="42">
        <v>159.845</v>
      </c>
      <c r="BZ11" s="42">
        <f>BX11+BY11</f>
        <v>960.55700000000002</v>
      </c>
      <c r="CA11" s="44">
        <f t="shared" si="6"/>
        <v>16.610032209964636</v>
      </c>
      <c r="CB11" s="45">
        <f t="shared" ref="CB11:CB15" si="14">100*(BZ11-BU11)/BU11</f>
        <v>-19.174492798500207</v>
      </c>
      <c r="CC11" s="63">
        <v>692.60348441000019</v>
      </c>
      <c r="CD11" s="64">
        <v>282.44133268000002</v>
      </c>
      <c r="CE11" s="64">
        <f>CC11+CD11</f>
        <v>975.04481709000015</v>
      </c>
      <c r="CF11" s="44">
        <f t="shared" si="7"/>
        <v>18.295085438817175</v>
      </c>
      <c r="CG11" s="45">
        <f t="shared" ref="CG11:CG15" si="15">100*(CE11-BZ11)/BZ11</f>
        <v>1.5082725012675078</v>
      </c>
      <c r="CH11" s="63">
        <v>703.77689544999998</v>
      </c>
      <c r="CI11" s="64">
        <v>162.51234091000006</v>
      </c>
      <c r="CJ11" s="64">
        <f>CH11+CI11</f>
        <v>866.28923636000002</v>
      </c>
      <c r="CK11" s="44">
        <f t="shared" si="8"/>
        <v>14.631700234982613</v>
      </c>
      <c r="CL11" s="45">
        <f t="shared" ref="CL11:CL15" si="16">100*(CJ11-CE11)/CE11</f>
        <v>-11.15390583322916</v>
      </c>
      <c r="CM11" s="63">
        <v>833.71874860000014</v>
      </c>
      <c r="CN11" s="64">
        <v>49.73328472</v>
      </c>
      <c r="CO11" s="64">
        <f>CM11+CN11</f>
        <v>883.45203332000017</v>
      </c>
      <c r="CP11" s="44">
        <f t="shared" si="9"/>
        <v>18.677624349482691</v>
      </c>
      <c r="CQ11" s="45">
        <f>100*(CO11-CJ11)/CJ11</f>
        <v>1.9811855255313229</v>
      </c>
      <c r="CR11" s="63">
        <v>888.10793944999989</v>
      </c>
      <c r="CS11" s="64">
        <v>50.243174800000006</v>
      </c>
      <c r="CT11" s="64">
        <f>CR11+CS11</f>
        <v>938.35111424999991</v>
      </c>
      <c r="CU11" s="44">
        <f t="shared" si="10"/>
        <v>19.645096246046176</v>
      </c>
      <c r="CV11" s="45">
        <f t="shared" ref="CV11:CV15" si="17">100*(CT11-CO11)/CO11</f>
        <v>6.2141552522879797</v>
      </c>
    </row>
    <row r="12" spans="1:100" ht="15.75" customHeight="1" x14ac:dyDescent="0.2">
      <c r="A12" s="35" t="s">
        <v>14</v>
      </c>
      <c r="B12" s="16">
        <f>645.086+223.748</f>
        <v>868.83400000000006</v>
      </c>
      <c r="C12" s="3">
        <f>29.981+2.405</f>
        <v>32.386000000000003</v>
      </c>
      <c r="D12" s="3">
        <f t="shared" ref="D12:D14" si="18">B12+C12</f>
        <v>901.22</v>
      </c>
      <c r="E12" s="17">
        <f t="shared" ref="E12:E21" si="19">100*D12/D$21</f>
        <v>27.161526726023673</v>
      </c>
      <c r="F12" s="16">
        <f>688.962+220.616</f>
        <v>909.57799999999997</v>
      </c>
      <c r="G12" s="3">
        <f>50.317+1.358</f>
        <v>51.674999999999997</v>
      </c>
      <c r="H12" s="3">
        <f t="shared" ref="H12:H14" si="20">F12+G12</f>
        <v>961.25299999999993</v>
      </c>
      <c r="I12" s="6">
        <f t="shared" ref="I12:I21" si="21">100*H12/H$21</f>
        <v>26.939437251275152</v>
      </c>
      <c r="J12" s="28">
        <f>100*(H12-D12)/D12</f>
        <v>6.6613035662768141</v>
      </c>
      <c r="K12" s="16">
        <f>848.798+214.204</f>
        <v>1063.002</v>
      </c>
      <c r="L12" s="3">
        <f>43.78+5.812</f>
        <v>49.591999999999999</v>
      </c>
      <c r="M12" s="3">
        <f t="shared" ref="M12:M14" si="22">K12+L12</f>
        <v>1112.5940000000001</v>
      </c>
      <c r="N12" s="6">
        <f t="shared" ref="N12:N21" si="23">100*M12/M$21</f>
        <v>29.329328537701286</v>
      </c>
      <c r="O12" s="28">
        <f t="shared" ref="O12:O21" si="24">100*(M12-H12)/H12</f>
        <v>15.744138119724999</v>
      </c>
      <c r="P12" s="16">
        <f>1044.014+328.648</f>
        <v>1372.6619999999998</v>
      </c>
      <c r="Q12" s="3">
        <f>24.365+2.709</f>
        <v>27.073999999999998</v>
      </c>
      <c r="R12" s="3">
        <f t="shared" ref="R12:R14" si="25">P12+Q12</f>
        <v>1399.7359999999999</v>
      </c>
      <c r="S12" s="6">
        <f t="shared" ref="S12:S21" si="26">100*R12/R$21</f>
        <v>33.384874991801269</v>
      </c>
      <c r="T12" s="28">
        <f t="shared" ref="T12:T21" si="27">100*(R12-M12)/M12</f>
        <v>25.808336194514784</v>
      </c>
      <c r="U12" s="16">
        <f>984.3+321.899</f>
        <v>1306.1990000000001</v>
      </c>
      <c r="V12" s="3">
        <f>39.759+2.6</f>
        <v>42.359000000000002</v>
      </c>
      <c r="W12" s="3">
        <f t="shared" ref="W12:W14" si="28">U12+V12</f>
        <v>1348.558</v>
      </c>
      <c r="X12" s="6">
        <f t="shared" ref="X12:X21" si="29">100*W12/W$21</f>
        <v>32.702954512716623</v>
      </c>
      <c r="Y12" s="28">
        <f t="shared" ref="Y12:Y21" si="30">100*(W12-R12)/R12</f>
        <v>-3.656260894911604</v>
      </c>
      <c r="Z12" s="16">
        <f>854.947+207.545</f>
        <v>1062.492</v>
      </c>
      <c r="AA12" s="3">
        <f>1382.392+2.01-450</f>
        <v>934.40200000000004</v>
      </c>
      <c r="AB12" s="3">
        <f t="shared" ref="AB12:AB14" si="31">Z12+AA12</f>
        <v>1996.894</v>
      </c>
      <c r="AC12" s="6">
        <f t="shared" ref="AC12:AC21" si="32">100*AB12/AB$21</f>
        <v>34.706952274103891</v>
      </c>
      <c r="AD12" s="28">
        <f t="shared" ref="AD12:AD21" si="33">100*(AB12-W12)/W12</f>
        <v>48.076241437149903</v>
      </c>
      <c r="AE12" s="16">
        <f>912.99+259.368</f>
        <v>1172.3579999999999</v>
      </c>
      <c r="AF12" s="3">
        <f>95.449+3.313</f>
        <v>98.762</v>
      </c>
      <c r="AG12" s="3">
        <f t="shared" ref="AG12:AG14" si="34">AE12+AF12</f>
        <v>1271.1199999999999</v>
      </c>
      <c r="AH12" s="6">
        <f t="shared" ref="AH12:AH21" si="35">100*AG12/AG$21</f>
        <v>29.054649585090313</v>
      </c>
      <c r="AI12" s="28">
        <f t="shared" ref="AI12:AI21" si="36">100*(AG12-AB12)/AB12</f>
        <v>-36.345144008645434</v>
      </c>
      <c r="AJ12" s="16">
        <f>999.165+212.625</f>
        <v>1211.79</v>
      </c>
      <c r="AK12" s="3">
        <f>98.067+1.452</f>
        <v>99.518999999999991</v>
      </c>
      <c r="AL12" s="3">
        <f t="shared" ref="AL12:AL14" si="37">AJ12+AK12</f>
        <v>1311.309</v>
      </c>
      <c r="AM12" s="6">
        <f t="shared" ref="AM12:AM21" si="38">100*AL12/AL$21</f>
        <v>28.263857126784067</v>
      </c>
      <c r="AN12" s="28">
        <f t="shared" ref="AN12:AN21" si="39">100*(AL12-AG12)/AG12</f>
        <v>3.1616999181823968</v>
      </c>
      <c r="AO12" s="16">
        <f>959.241+233.831</f>
        <v>1193.0719999999999</v>
      </c>
      <c r="AP12" s="3">
        <f>120.65</f>
        <v>120.65</v>
      </c>
      <c r="AQ12" s="3">
        <f t="shared" ref="AQ12:AQ14" si="40">AO12+AP12</f>
        <v>1313.722</v>
      </c>
      <c r="AR12" s="6">
        <f t="shared" ref="AR12:AR21" si="41">100*AQ12/AQ$21</f>
        <v>27.902032521879271</v>
      </c>
      <c r="AS12" s="28">
        <f t="shared" ref="AS12:AS21" si="42">100*(AQ12-AL12)/AL12</f>
        <v>0.1840145991524508</v>
      </c>
      <c r="AT12" s="16">
        <f>928.072+196.526</f>
        <v>1124.598</v>
      </c>
      <c r="AU12" s="3">
        <f>111.828+4.082</f>
        <v>115.91</v>
      </c>
      <c r="AV12" s="3">
        <f t="shared" ref="AV12:AV14" si="43">AT12+AU12</f>
        <v>1240.508</v>
      </c>
      <c r="AW12" s="6">
        <f t="shared" ref="AW12:AW15" si="44">100*AV12/AV$21</f>
        <v>16.20843878658961</v>
      </c>
      <c r="AX12" s="28">
        <f t="shared" ref="AX12:AX15" si="45">100*(AV12-AQ12)/AQ12</f>
        <v>-5.573020776085043</v>
      </c>
      <c r="AY12" s="16">
        <v>1221.05</v>
      </c>
      <c r="AZ12" s="3">
        <v>145.38999999999999</v>
      </c>
      <c r="BA12" s="3">
        <f t="shared" ref="BA12:BA14" si="46">AY12+AZ12</f>
        <v>1366.44</v>
      </c>
      <c r="BB12" s="6">
        <f t="shared" ref="BB12:BB15" si="47">100*BA12/BA$21</f>
        <v>30.829091937900508</v>
      </c>
      <c r="BC12" s="28">
        <f t="shared" ref="BC12:BC15" si="48">100*(BA12-AV12)/AV12</f>
        <v>10.151647550842075</v>
      </c>
      <c r="BD12" s="16">
        <v>1157.674</v>
      </c>
      <c r="BE12" s="3">
        <v>165.09800000000001</v>
      </c>
      <c r="BF12" s="3">
        <f t="shared" ref="BF12:BF14" si="49">BD12+BE12</f>
        <v>1322.7719999999999</v>
      </c>
      <c r="BG12" s="6">
        <f t="shared" si="1"/>
        <v>30.419404808336211</v>
      </c>
      <c r="BH12" s="28">
        <f t="shared" ref="BH12:BH15" si="50">100*(BF12-BA12)/BA12</f>
        <v>-3.1957495389479318</v>
      </c>
      <c r="BI12" s="16">
        <v>1250.4369999999997</v>
      </c>
      <c r="BJ12" s="3">
        <v>169.34300000000005</v>
      </c>
      <c r="BK12" s="3">
        <f t="shared" ref="BK12:BK14" si="51">BI12+BJ12</f>
        <v>1419.7799999999997</v>
      </c>
      <c r="BL12" s="6">
        <f t="shared" si="3"/>
        <v>31.419945728017804</v>
      </c>
      <c r="BM12" s="28">
        <f t="shared" si="11"/>
        <v>7.3336901597554087</v>
      </c>
      <c r="BN12" s="16">
        <v>1448.1410000000001</v>
      </c>
      <c r="BO12" s="3">
        <v>189.96600000000001</v>
      </c>
      <c r="BP12" s="3">
        <f t="shared" ref="BP12:BP14" si="52">BN12+BO12</f>
        <v>1638.107</v>
      </c>
      <c r="BQ12" s="6">
        <f t="shared" si="4"/>
        <v>33.851123885160845</v>
      </c>
      <c r="BR12" s="28">
        <f t="shared" si="12"/>
        <v>15.377523278254396</v>
      </c>
      <c r="BS12" s="16">
        <v>1485.6310000000001</v>
      </c>
      <c r="BT12" s="3">
        <v>262.55099999999999</v>
      </c>
      <c r="BU12" s="3">
        <f t="shared" ref="BU12:BU14" si="53">BS12+BT12</f>
        <v>1748.182</v>
      </c>
      <c r="BV12" s="6">
        <f t="shared" si="5"/>
        <v>32.288457357908179</v>
      </c>
      <c r="BW12" s="28">
        <f t="shared" si="13"/>
        <v>6.7196465188171492</v>
      </c>
      <c r="BX12" s="16">
        <v>1497.49</v>
      </c>
      <c r="BY12" s="3">
        <v>233.32</v>
      </c>
      <c r="BZ12" s="3">
        <f t="shared" ref="BZ12:BZ14" si="54">BX12+BY12</f>
        <v>1730.81</v>
      </c>
      <c r="CA12" s="6">
        <f t="shared" si="6"/>
        <v>29.929311690330604</v>
      </c>
      <c r="CB12" s="28">
        <f t="shared" si="14"/>
        <v>-0.9937180453751423</v>
      </c>
      <c r="CC12" s="61">
        <v>1418.1012425900001</v>
      </c>
      <c r="CD12" s="62">
        <v>198.32700994000001</v>
      </c>
      <c r="CE12" s="62">
        <f t="shared" ref="CE12:CE14" si="55">CC12+CD12</f>
        <v>1616.42825253</v>
      </c>
      <c r="CF12" s="6">
        <f t="shared" si="7"/>
        <v>30.329573028256636</v>
      </c>
      <c r="CG12" s="28">
        <f t="shared" si="15"/>
        <v>-6.6085675186762236</v>
      </c>
      <c r="CH12" s="61">
        <v>1497.6082154800001</v>
      </c>
      <c r="CI12" s="62">
        <v>201.21309544000002</v>
      </c>
      <c r="CJ12" s="62">
        <f t="shared" ref="CJ12:CJ14" si="56">CH12+CI12</f>
        <v>1698.8213109200001</v>
      </c>
      <c r="CK12" s="6">
        <f t="shared" si="8"/>
        <v>28.693239083317049</v>
      </c>
      <c r="CL12" s="28">
        <f t="shared" si="16"/>
        <v>5.0972295405651424</v>
      </c>
      <c r="CM12" s="61">
        <v>1625.7996879799996</v>
      </c>
      <c r="CN12" s="62">
        <v>176.28481797000001</v>
      </c>
      <c r="CO12" s="62">
        <f t="shared" ref="CO12:CO14" si="57">CM12+CN12</f>
        <v>1802.0845059499995</v>
      </c>
      <c r="CP12" s="6">
        <f t="shared" si="9"/>
        <v>38.09902086213831</v>
      </c>
      <c r="CQ12" s="28">
        <f t="shared" ref="CQ12:CQ15" si="58">100*(CO12-CJ12)/CJ12</f>
        <v>6.0785201107512039</v>
      </c>
      <c r="CR12" s="61">
        <v>1625.2711334600003</v>
      </c>
      <c r="CS12" s="62">
        <v>163.56120537999996</v>
      </c>
      <c r="CT12" s="62">
        <f t="shared" ref="CT12:CT14" si="59">CR12+CS12</f>
        <v>1788.8323388400004</v>
      </c>
      <c r="CU12" s="6">
        <f t="shared" si="10"/>
        <v>37.450569334741637</v>
      </c>
      <c r="CV12" s="28">
        <f t="shared" si="17"/>
        <v>-0.73537989290979766</v>
      </c>
    </row>
    <row r="13" spans="1:100" ht="15.75" customHeight="1" x14ac:dyDescent="0.2">
      <c r="A13" s="35" t="s">
        <v>1</v>
      </c>
      <c r="B13" s="16">
        <f>30.175+142.814+64.487</f>
        <v>237.476</v>
      </c>
      <c r="C13" s="3">
        <f>4.533+140.817+11.673</f>
        <v>157.023</v>
      </c>
      <c r="D13" s="3">
        <f t="shared" si="18"/>
        <v>394.49900000000002</v>
      </c>
      <c r="E13" s="17">
        <f t="shared" si="19"/>
        <v>11.889655280497118</v>
      </c>
      <c r="F13" s="16">
        <f>24.167+7.524+30.561+117.719+78.105</f>
        <v>258.07600000000002</v>
      </c>
      <c r="G13" s="3">
        <f>6.512+2.981+5.843+116.58+13.863</f>
        <v>145.779</v>
      </c>
      <c r="H13" s="3">
        <f t="shared" si="20"/>
        <v>403.85500000000002</v>
      </c>
      <c r="I13" s="6">
        <f t="shared" si="21"/>
        <v>11.318171627150946</v>
      </c>
      <c r="J13" s="28">
        <f>100*(H13-D13)/D13</f>
        <v>2.371615644146118</v>
      </c>
      <c r="K13" s="16">
        <f>26.47+5.423+25.487+107.337+43.139</f>
        <v>207.85599999999999</v>
      </c>
      <c r="L13" s="3">
        <f>8.355+3.24+5.627+137.633+16.84</f>
        <v>171.69500000000002</v>
      </c>
      <c r="M13" s="3">
        <f t="shared" si="22"/>
        <v>379.55100000000004</v>
      </c>
      <c r="N13" s="6">
        <f t="shared" si="23"/>
        <v>10.00542513784279</v>
      </c>
      <c r="O13" s="28">
        <f t="shared" si="24"/>
        <v>-6.0180015104430975</v>
      </c>
      <c r="P13" s="16">
        <f>23.639+5.503+26.52+105.536+54.844</f>
        <v>216.042</v>
      </c>
      <c r="Q13" s="3">
        <f>6.798+2.567+8.163+111.507+11.422</f>
        <v>140.45699999999999</v>
      </c>
      <c r="R13" s="3">
        <f t="shared" si="25"/>
        <v>356.49900000000002</v>
      </c>
      <c r="S13" s="6">
        <f t="shared" si="26"/>
        <v>8.502799491977175</v>
      </c>
      <c r="T13" s="28">
        <f t="shared" si="27"/>
        <v>-6.073492099875911</v>
      </c>
      <c r="U13" s="16">
        <f>24.888+8.813+20.559+109.252+52.037</f>
        <v>215.54900000000001</v>
      </c>
      <c r="V13" s="3">
        <f>5.011+7.766+6.318+96.052+28.788</f>
        <v>143.935</v>
      </c>
      <c r="W13" s="3">
        <f t="shared" si="28"/>
        <v>359.48400000000004</v>
      </c>
      <c r="X13" s="6">
        <f t="shared" si="29"/>
        <v>8.7175997621529255</v>
      </c>
      <c r="Y13" s="28">
        <f t="shared" si="30"/>
        <v>0.83730950156943318</v>
      </c>
      <c r="Z13" s="16">
        <f>20.954+5.623+24.952+113.569+66.853</f>
        <v>231.95100000000002</v>
      </c>
      <c r="AA13" s="3">
        <f>5.657+2.214+8.537+112.979+23.487</f>
        <v>152.874</v>
      </c>
      <c r="AB13" s="3">
        <f t="shared" si="31"/>
        <v>384.82500000000005</v>
      </c>
      <c r="AC13" s="6">
        <f t="shared" si="32"/>
        <v>6.6884385995861733</v>
      </c>
      <c r="AD13" s="28">
        <f t="shared" si="33"/>
        <v>7.0492706212237559</v>
      </c>
      <c r="AE13" s="16">
        <f>21.073+7.617+25.826+123.141+63.48</f>
        <v>241.137</v>
      </c>
      <c r="AF13" s="3">
        <f>3.66+2.436+7.172+123.704+24.152</f>
        <v>161.12399999999997</v>
      </c>
      <c r="AG13" s="3">
        <f t="shared" si="34"/>
        <v>402.26099999999997</v>
      </c>
      <c r="AH13" s="6">
        <f t="shared" si="35"/>
        <v>9.194688461158675</v>
      </c>
      <c r="AI13" s="28">
        <f t="shared" si="36"/>
        <v>4.5308906645877789</v>
      </c>
      <c r="AJ13" s="16">
        <f>22.151+12.299+25.611+117.026+78.994</f>
        <v>256.08100000000002</v>
      </c>
      <c r="AK13" s="3">
        <f>4.614+1.398+9.904+144.532+22.052</f>
        <v>182.5</v>
      </c>
      <c r="AL13" s="3">
        <f t="shared" si="37"/>
        <v>438.58100000000002</v>
      </c>
      <c r="AM13" s="6">
        <f t="shared" si="38"/>
        <v>9.4531424115308305</v>
      </c>
      <c r="AN13" s="28">
        <f t="shared" si="39"/>
        <v>9.0289637822210089</v>
      </c>
      <c r="AO13" s="16">
        <f>21.007+9.55+26.391+107.434+53.749</f>
        <v>218.131</v>
      </c>
      <c r="AP13" s="3">
        <f>4.376+1.096+7.442+135.69</f>
        <v>148.60399999999998</v>
      </c>
      <c r="AQ13" s="3">
        <f t="shared" si="40"/>
        <v>366.73500000000001</v>
      </c>
      <c r="AR13" s="6">
        <f t="shared" si="41"/>
        <v>7.7890542267781102</v>
      </c>
      <c r="AS13" s="28">
        <f t="shared" si="42"/>
        <v>-16.381466593400081</v>
      </c>
      <c r="AT13" s="16">
        <f>20.065+9.29+26.118+112.4+50.159</f>
        <v>218.03199999999998</v>
      </c>
      <c r="AU13" s="3">
        <f>3.428+1.63+10.389+100.344+22.683</f>
        <v>138.47399999999999</v>
      </c>
      <c r="AV13" s="3">
        <f t="shared" si="43"/>
        <v>356.50599999999997</v>
      </c>
      <c r="AW13" s="6">
        <f t="shared" si="44"/>
        <v>4.6580962622183133</v>
      </c>
      <c r="AX13" s="28">
        <f t="shared" si="45"/>
        <v>-2.7892074658813697</v>
      </c>
      <c r="AY13" s="16">
        <f>26.518+8.405+100.201+114.391</f>
        <v>249.51499999999999</v>
      </c>
      <c r="AZ13" s="3">
        <f>4.035+1.451+8.833+150.198</f>
        <v>164.517</v>
      </c>
      <c r="BA13" s="3">
        <f t="shared" si="46"/>
        <v>414.03199999999998</v>
      </c>
      <c r="BB13" s="6">
        <f t="shared" si="47"/>
        <v>9.3412301990814246</v>
      </c>
      <c r="BC13" s="28">
        <f t="shared" si="48"/>
        <v>16.13605381115606</v>
      </c>
      <c r="BD13" s="16">
        <f>33.169+11.269+172.579+138.927</f>
        <v>355.94399999999996</v>
      </c>
      <c r="BE13" s="3">
        <f>3.617+0.945+9.242+136.128</f>
        <v>149.93199999999999</v>
      </c>
      <c r="BF13" s="3">
        <f t="shared" si="49"/>
        <v>505.87599999999998</v>
      </c>
      <c r="BG13" s="6">
        <f t="shared" si="1"/>
        <v>11.633483946456298</v>
      </c>
      <c r="BH13" s="28">
        <f t="shared" si="50"/>
        <v>22.18282644819724</v>
      </c>
      <c r="BI13" s="16">
        <v>215.75299999999993</v>
      </c>
      <c r="BJ13" s="3">
        <v>165.21</v>
      </c>
      <c r="BK13" s="3">
        <f t="shared" si="51"/>
        <v>380.96299999999997</v>
      </c>
      <c r="BL13" s="6">
        <f t="shared" si="3"/>
        <v>8.430768699645613</v>
      </c>
      <c r="BM13" s="28">
        <f t="shared" si="11"/>
        <v>-24.692414741952575</v>
      </c>
      <c r="BN13" s="16">
        <v>222.745</v>
      </c>
      <c r="BO13" s="3">
        <v>187.15200000000002</v>
      </c>
      <c r="BP13" s="3">
        <f t="shared" si="52"/>
        <v>409.89700000000005</v>
      </c>
      <c r="BQ13" s="6">
        <f t="shared" si="4"/>
        <v>8.4704321067889801</v>
      </c>
      <c r="BR13" s="28">
        <f t="shared" si="12"/>
        <v>7.5949632903983026</v>
      </c>
      <c r="BS13" s="16">
        <v>210.98400000000001</v>
      </c>
      <c r="BT13" s="3">
        <v>179.54</v>
      </c>
      <c r="BU13" s="3">
        <f t="shared" si="53"/>
        <v>390.524</v>
      </c>
      <c r="BV13" s="6">
        <f t="shared" si="5"/>
        <v>7.2128745869936504</v>
      </c>
      <c r="BW13" s="28">
        <f t="shared" si="13"/>
        <v>-4.7263092923344265</v>
      </c>
      <c r="BX13" s="16">
        <v>189.45999999999998</v>
      </c>
      <c r="BY13" s="3">
        <v>202.98099999999999</v>
      </c>
      <c r="BZ13" s="3">
        <f t="shared" si="54"/>
        <v>392.44099999999997</v>
      </c>
      <c r="CA13" s="6">
        <f t="shared" si="6"/>
        <v>6.7861226876809306</v>
      </c>
      <c r="CB13" s="28">
        <f t="shared" si="14"/>
        <v>0.49087892165397601</v>
      </c>
      <c r="CC13" s="61">
        <v>232</v>
      </c>
      <c r="CD13" s="62">
        <v>151</v>
      </c>
      <c r="CE13" s="62">
        <f t="shared" si="55"/>
        <v>383</v>
      </c>
      <c r="CF13" s="6">
        <f t="shared" si="7"/>
        <v>7.1863545144306995</v>
      </c>
      <c r="CG13" s="28">
        <f t="shared" si="15"/>
        <v>-2.4057119414128429</v>
      </c>
      <c r="CH13" s="61">
        <v>209</v>
      </c>
      <c r="CI13" s="62">
        <v>216</v>
      </c>
      <c r="CJ13" s="62">
        <f t="shared" si="56"/>
        <v>425</v>
      </c>
      <c r="CK13" s="6">
        <f t="shared" si="8"/>
        <v>7.1782868109923363</v>
      </c>
      <c r="CL13" s="28">
        <f t="shared" si="16"/>
        <v>10.966057441253264</v>
      </c>
      <c r="CM13" s="61">
        <v>166</v>
      </c>
      <c r="CN13" s="62">
        <v>27</v>
      </c>
      <c r="CO13" s="62">
        <f t="shared" si="57"/>
        <v>193</v>
      </c>
      <c r="CP13" s="6">
        <f t="shared" si="9"/>
        <v>4.0803364115915173</v>
      </c>
      <c r="CQ13" s="28">
        <f t="shared" si="58"/>
        <v>-54.588235294117645</v>
      </c>
      <c r="CR13" s="61">
        <v>159</v>
      </c>
      <c r="CS13" s="62">
        <v>28</v>
      </c>
      <c r="CT13" s="62">
        <f t="shared" si="59"/>
        <v>187</v>
      </c>
      <c r="CU13" s="6">
        <f t="shared" si="10"/>
        <v>3.9149876226734976</v>
      </c>
      <c r="CV13" s="28">
        <f t="shared" si="17"/>
        <v>-3.1088082901554404</v>
      </c>
    </row>
    <row r="14" spans="1:100" ht="15.75" customHeight="1" x14ac:dyDescent="0.2">
      <c r="A14" s="35" t="s">
        <v>15</v>
      </c>
      <c r="B14" s="16">
        <f>52.25+2.691+8.883+0.722+267.945</f>
        <v>332.49099999999999</v>
      </c>
      <c r="C14" s="3">
        <f>40.502+0.132+0.335+0.007+4.428</f>
        <v>45.403999999999996</v>
      </c>
      <c r="D14" s="3">
        <f t="shared" si="18"/>
        <v>377.89499999999998</v>
      </c>
      <c r="E14" s="17">
        <f t="shared" si="19"/>
        <v>11.389233641209378</v>
      </c>
      <c r="F14" s="16">
        <f>27.158+35.926+4.852+9.855+1.684+279.811</f>
        <v>359.286</v>
      </c>
      <c r="G14" s="3">
        <f>39.006+5.255+0.185+0.639+0.002+17.045</f>
        <v>62.132000000000012</v>
      </c>
      <c r="H14" s="3">
        <f t="shared" si="20"/>
        <v>421.41800000000001</v>
      </c>
      <c r="I14" s="6">
        <f t="shared" si="21"/>
        <v>11.81038058404798</v>
      </c>
      <c r="J14" s="28">
        <f>100*(H14-D14)/D14</f>
        <v>11.517220391907813</v>
      </c>
      <c r="K14" s="16">
        <f>25.394+35.168+6.402+16.362+1.128+358.738</f>
        <v>443.19200000000001</v>
      </c>
      <c r="L14" s="3">
        <f>39.444+5.284+0.71+0.849+0.003+3.018</f>
        <v>49.308</v>
      </c>
      <c r="M14" s="3">
        <f t="shared" si="22"/>
        <v>492.5</v>
      </c>
      <c r="N14" s="6">
        <f t="shared" si="23"/>
        <v>12.982897898800354</v>
      </c>
      <c r="O14" s="28">
        <f t="shared" si="24"/>
        <v>16.867338367131918</v>
      </c>
      <c r="P14" s="16">
        <f>26.98+36.383+19.048+35.496+1.114+358.726</f>
        <v>477.74700000000001</v>
      </c>
      <c r="Q14" s="3">
        <f>33.97+7.199+1.157+4.792+0.005+12.823</f>
        <v>59.945999999999998</v>
      </c>
      <c r="R14" s="3">
        <f t="shared" si="25"/>
        <v>537.69299999999998</v>
      </c>
      <c r="S14" s="6">
        <f t="shared" si="26"/>
        <v>12.824428027118399</v>
      </c>
      <c r="T14" s="28">
        <f t="shared" si="27"/>
        <v>9.176243654822331</v>
      </c>
      <c r="U14" s="16">
        <f>27.602+36.325+12.855+22.685+0.445+249.506</f>
        <v>349.41800000000001</v>
      </c>
      <c r="V14" s="3">
        <f>23.514+13.777+2.961+9.514+0.005+5.643</f>
        <v>55.413999999999994</v>
      </c>
      <c r="W14" s="3">
        <f t="shared" si="28"/>
        <v>404.83199999999999</v>
      </c>
      <c r="X14" s="6">
        <f t="shared" si="29"/>
        <v>9.8173029868141359</v>
      </c>
      <c r="Y14" s="28">
        <f t="shared" si="30"/>
        <v>-24.709453163794208</v>
      </c>
      <c r="Z14" s="16">
        <f>36.513+35.276+3.313+19.202+0.72+288.014</f>
        <v>383.03800000000001</v>
      </c>
      <c r="AA14" s="3">
        <f>34.907+128.389+0.912+5.123+0.004+20.478</f>
        <v>189.81299999999999</v>
      </c>
      <c r="AB14" s="3">
        <f t="shared" si="31"/>
        <v>572.851</v>
      </c>
      <c r="AC14" s="6">
        <f t="shared" si="32"/>
        <v>9.9564184764803176</v>
      </c>
      <c r="AD14" s="28">
        <f t="shared" si="33"/>
        <v>41.503389060153353</v>
      </c>
      <c r="AE14" s="16">
        <f>38.498+49.308+5.792+20.904+0.858+353.492</f>
        <v>468.85200000000003</v>
      </c>
      <c r="AF14" s="3">
        <f>28.389+10.558+0.854+4.59+0.062+15</f>
        <v>59.453000000000003</v>
      </c>
      <c r="AG14" s="3">
        <f t="shared" si="34"/>
        <v>528.30500000000006</v>
      </c>
      <c r="AH14" s="6">
        <f t="shared" si="35"/>
        <v>12.075741589347301</v>
      </c>
      <c r="AI14" s="28">
        <f t="shared" si="36"/>
        <v>-7.7761931112976903</v>
      </c>
      <c r="AJ14" s="16">
        <f>47.375+67.777+3.796+10.777+0.828+279.643</f>
        <v>410.19599999999997</v>
      </c>
      <c r="AK14" s="3">
        <f>42.689+11.631+0.597+5.455+0.038+22.006</f>
        <v>82.415999999999997</v>
      </c>
      <c r="AL14" s="3">
        <f t="shared" si="37"/>
        <v>492.61199999999997</v>
      </c>
      <c r="AM14" s="6">
        <f t="shared" si="38"/>
        <v>10.617722586315928</v>
      </c>
      <c r="AN14" s="28">
        <f t="shared" si="39"/>
        <v>-6.7561351870605222</v>
      </c>
      <c r="AO14" s="16">
        <f>37.665+90.615+6.694+42.756+0.674+307.836</f>
        <v>486.24</v>
      </c>
      <c r="AP14" s="3">
        <f>44.185+15.466+4.228</f>
        <v>63.879000000000005</v>
      </c>
      <c r="AQ14" s="3">
        <f t="shared" si="40"/>
        <v>550.11900000000003</v>
      </c>
      <c r="AR14" s="6">
        <f t="shared" si="41"/>
        <v>11.683931782297702</v>
      </c>
      <c r="AS14" s="28">
        <f t="shared" si="42"/>
        <v>11.673893449611473</v>
      </c>
      <c r="AT14" s="16">
        <f>41.005+148.018+2.565+28.253+0.575+299.501</f>
        <v>519.91699999999992</v>
      </c>
      <c r="AU14" s="3">
        <f>47.819+15.117+0.191+2.776+1.209+24.679</f>
        <v>91.791000000000011</v>
      </c>
      <c r="AV14" s="3">
        <f t="shared" si="43"/>
        <v>611.70799999999997</v>
      </c>
      <c r="AW14" s="6">
        <f t="shared" si="44"/>
        <v>7.9925576241887661</v>
      </c>
      <c r="AX14" s="28">
        <f t="shared" si="45"/>
        <v>11.195577684101066</v>
      </c>
      <c r="AY14" s="16">
        <f>41.264+104.962+7.344</f>
        <v>153.57</v>
      </c>
      <c r="AZ14" s="3">
        <f>50.01+29.128+2.738</f>
        <v>81.876000000000005</v>
      </c>
      <c r="BA14" s="3">
        <f t="shared" si="46"/>
        <v>235.446</v>
      </c>
      <c r="BB14" s="6">
        <f t="shared" si="47"/>
        <v>5.3120417877191253</v>
      </c>
      <c r="BC14" s="28">
        <f t="shared" si="48"/>
        <v>-61.51006689466216</v>
      </c>
      <c r="BD14" s="16">
        <f>40.313+68.725+3.416</f>
        <v>112.45399999999999</v>
      </c>
      <c r="BE14" s="3">
        <f>47.828+26.579+6.085</f>
        <v>80.492000000000004</v>
      </c>
      <c r="BF14" s="3">
        <f t="shared" si="49"/>
        <v>192.946</v>
      </c>
      <c r="BG14" s="6">
        <f t="shared" si="1"/>
        <v>4.4371233138811821</v>
      </c>
      <c r="BH14" s="28">
        <f t="shared" si="50"/>
        <v>-18.050848177501422</v>
      </c>
      <c r="BI14" s="16">
        <v>131.38799999999719</v>
      </c>
      <c r="BJ14" s="3">
        <v>94.827999999999861</v>
      </c>
      <c r="BK14" s="3">
        <f t="shared" si="51"/>
        <v>226.21599999999705</v>
      </c>
      <c r="BL14" s="6">
        <f t="shared" si="3"/>
        <v>5.0061942292532535</v>
      </c>
      <c r="BM14" s="28">
        <f t="shared" si="11"/>
        <v>17.243166481812036</v>
      </c>
      <c r="BN14" s="16">
        <v>149.58000000000038</v>
      </c>
      <c r="BO14" s="3">
        <v>84.733999999999924</v>
      </c>
      <c r="BP14" s="3">
        <f t="shared" si="52"/>
        <v>234.31400000000031</v>
      </c>
      <c r="BQ14" s="6">
        <f t="shared" si="4"/>
        <v>4.842047706302206</v>
      </c>
      <c r="BR14" s="28">
        <f t="shared" si="12"/>
        <v>3.5797644728946487</v>
      </c>
      <c r="BS14" s="16">
        <v>150.98099999999977</v>
      </c>
      <c r="BT14" s="3">
        <v>101.99800000000005</v>
      </c>
      <c r="BU14" s="3">
        <f t="shared" si="53"/>
        <v>252.97899999999981</v>
      </c>
      <c r="BV14" s="6">
        <f t="shared" si="5"/>
        <v>4.6724549583202704</v>
      </c>
      <c r="BW14" s="28">
        <f t="shared" si="13"/>
        <v>7.9658065672556848</v>
      </c>
      <c r="BX14" s="16">
        <v>168.82499999999999</v>
      </c>
      <c r="BY14" s="3">
        <v>125.557</v>
      </c>
      <c r="BZ14" s="3">
        <f t="shared" si="54"/>
        <v>294.38200000000001</v>
      </c>
      <c r="CA14" s="6">
        <f t="shared" si="6"/>
        <v>5.0904782350592521</v>
      </c>
      <c r="CB14" s="28">
        <f t="shared" si="14"/>
        <v>16.366180592065042</v>
      </c>
      <c r="CC14" s="61">
        <v>207.26650813000003</v>
      </c>
      <c r="CD14" s="62">
        <v>110.80099999999993</v>
      </c>
      <c r="CE14" s="62">
        <f t="shared" si="55"/>
        <v>318.06750812999996</v>
      </c>
      <c r="CF14" s="6">
        <f t="shared" si="7"/>
        <v>5.9680048901925549</v>
      </c>
      <c r="CG14" s="28">
        <f t="shared" si="15"/>
        <v>8.045841162163434</v>
      </c>
      <c r="CH14" s="61">
        <v>170</v>
      </c>
      <c r="CI14" s="62">
        <v>97</v>
      </c>
      <c r="CJ14" s="62">
        <f t="shared" si="56"/>
        <v>267</v>
      </c>
      <c r="CK14" s="6">
        <f t="shared" si="8"/>
        <v>4.5096531259645971</v>
      </c>
      <c r="CL14" s="28">
        <f t="shared" si="16"/>
        <v>-16.055556391232439</v>
      </c>
      <c r="CM14" s="61">
        <v>168</v>
      </c>
      <c r="CN14" s="62">
        <v>22.213448279999966</v>
      </c>
      <c r="CO14" s="62">
        <f t="shared" si="57"/>
        <v>190.21344827999997</v>
      </c>
      <c r="CP14" s="6">
        <f t="shared" si="9"/>
        <v>4.0214241398511081</v>
      </c>
      <c r="CQ14" s="28">
        <f t="shared" si="58"/>
        <v>-28.759008134831472</v>
      </c>
      <c r="CR14" s="61">
        <v>161</v>
      </c>
      <c r="CS14" s="62">
        <v>24</v>
      </c>
      <c r="CT14" s="62">
        <f t="shared" si="59"/>
        <v>185</v>
      </c>
      <c r="CU14" s="6">
        <f t="shared" si="10"/>
        <v>3.8731160972973107</v>
      </c>
      <c r="CV14" s="28">
        <f t="shared" si="17"/>
        <v>-2.7408410536386532</v>
      </c>
    </row>
    <row r="15" spans="1:100" s="2" customFormat="1" ht="15.75" customHeight="1" x14ac:dyDescent="0.2">
      <c r="A15" s="36" t="s">
        <v>2</v>
      </c>
      <c r="B15" s="18">
        <f>SUM(B9:B14)</f>
        <v>2448.337</v>
      </c>
      <c r="C15" s="4">
        <f t="shared" ref="C15:D15" si="60">SUM(C9:C14)</f>
        <v>518.09400000000005</v>
      </c>
      <c r="D15" s="4">
        <f t="shared" si="60"/>
        <v>2966.431</v>
      </c>
      <c r="E15" s="19">
        <f t="shared" si="19"/>
        <v>89.404135380268002</v>
      </c>
      <c r="F15" s="18">
        <f>SUM(F9:F14)</f>
        <v>2568.7200000000003</v>
      </c>
      <c r="G15" s="4">
        <f t="shared" ref="G15:H15" si="61">SUM(G9:G14)</f>
        <v>630.66300000000001</v>
      </c>
      <c r="H15" s="4">
        <f t="shared" si="61"/>
        <v>3199.3829999999998</v>
      </c>
      <c r="I15" s="29">
        <f t="shared" si="21"/>
        <v>89.663780057171678</v>
      </c>
      <c r="J15" s="30">
        <f>100*(H15-D15)/D15</f>
        <v>7.8529384300528058</v>
      </c>
      <c r="K15" s="18">
        <f>SUM(K9:K14)</f>
        <v>2720.2730000000001</v>
      </c>
      <c r="L15" s="4">
        <f t="shared" ref="L15:M15" si="62">SUM(L9:L14)</f>
        <v>582.21500000000003</v>
      </c>
      <c r="M15" s="4">
        <f t="shared" si="62"/>
        <v>3302.4879999999998</v>
      </c>
      <c r="N15" s="29">
        <f t="shared" si="23"/>
        <v>87.0575929259155</v>
      </c>
      <c r="O15" s="30">
        <f t="shared" si="24"/>
        <v>3.2226526177078525</v>
      </c>
      <c r="P15" s="18">
        <f>SUM(P9:P14)</f>
        <v>3180.0709999999999</v>
      </c>
      <c r="Q15" s="4">
        <f t="shared" ref="Q15:R15" si="63">SUM(Q9:Q14)</f>
        <v>587.01200000000006</v>
      </c>
      <c r="R15" s="4">
        <f t="shared" si="63"/>
        <v>3767.0830000000005</v>
      </c>
      <c r="S15" s="29">
        <f t="shared" si="26"/>
        <v>89.848082094580491</v>
      </c>
      <c r="T15" s="30">
        <f t="shared" si="27"/>
        <v>14.068029921683312</v>
      </c>
      <c r="U15" s="18">
        <f>SUM(U9:U14)</f>
        <v>2975.2460000000005</v>
      </c>
      <c r="V15" s="4">
        <f t="shared" ref="V15:W15" si="64">SUM(V9:V14)</f>
        <v>625.8599999999999</v>
      </c>
      <c r="W15" s="4">
        <f t="shared" si="64"/>
        <v>3601.1059999999998</v>
      </c>
      <c r="X15" s="29">
        <f t="shared" si="29"/>
        <v>87.327950087034381</v>
      </c>
      <c r="Y15" s="30">
        <f t="shared" si="30"/>
        <v>-4.4059820290660108</v>
      </c>
      <c r="Z15" s="18">
        <f>SUM(Z9:Z14)</f>
        <v>2820.9990000000003</v>
      </c>
      <c r="AA15" s="4">
        <f t="shared" ref="AA15:AB15" si="65">SUM(AA9:AA14)</f>
        <v>1695.5279999999998</v>
      </c>
      <c r="AB15" s="4">
        <f t="shared" si="65"/>
        <v>4516.5269999999991</v>
      </c>
      <c r="AC15" s="29">
        <f t="shared" si="32"/>
        <v>78.499353012078544</v>
      </c>
      <c r="AD15" s="30">
        <f t="shared" si="33"/>
        <v>25.420551352834362</v>
      </c>
      <c r="AE15" s="18">
        <f>SUM(AE9:AE14)</f>
        <v>3124.808</v>
      </c>
      <c r="AF15" s="4">
        <f t="shared" ref="AF15:AG15" si="66">SUM(AF9:AF14)</f>
        <v>715.96199999999999</v>
      </c>
      <c r="AG15" s="4">
        <f t="shared" si="66"/>
        <v>3840.7699999999995</v>
      </c>
      <c r="AH15" s="29">
        <f t="shared" si="35"/>
        <v>87.790473351790013</v>
      </c>
      <c r="AI15" s="30">
        <f t="shared" si="36"/>
        <v>-14.961872252728693</v>
      </c>
      <c r="AJ15" s="18">
        <f>SUM(AJ9:AJ14)</f>
        <v>3167.5209999999997</v>
      </c>
      <c r="AK15" s="4">
        <f t="shared" ref="AK15:AL15" si="67">SUM(AK9:AK14)</f>
        <v>769.64200000000005</v>
      </c>
      <c r="AL15" s="4">
        <f t="shared" si="67"/>
        <v>3937.1630000000005</v>
      </c>
      <c r="AM15" s="29">
        <f t="shared" si="38"/>
        <v>84.861319884833065</v>
      </c>
      <c r="AN15" s="30">
        <f t="shared" si="39"/>
        <v>2.5097311216240743</v>
      </c>
      <c r="AO15" s="18">
        <f>SUM(AO9:AO14)</f>
        <v>3161.1930000000002</v>
      </c>
      <c r="AP15" s="4">
        <f t="shared" ref="AP15:AQ15" si="68">SUM(AP9:AP14)</f>
        <v>772.59499999999991</v>
      </c>
      <c r="AQ15" s="4">
        <f t="shared" si="68"/>
        <v>3933.7880000000005</v>
      </c>
      <c r="AR15" s="29">
        <f t="shared" si="41"/>
        <v>83.549396835996049</v>
      </c>
      <c r="AS15" s="30">
        <f t="shared" si="42"/>
        <v>-8.572162239663432E-2</v>
      </c>
      <c r="AT15" s="18">
        <f>AT9+AT12+AT13+AT14</f>
        <v>3066.846</v>
      </c>
      <c r="AU15" s="4">
        <f>AU9+AU12+AU13+AU14</f>
        <v>787.95300000000009</v>
      </c>
      <c r="AV15" s="4">
        <f>AV9+AV12+AV13+AV14</f>
        <v>3854.799</v>
      </c>
      <c r="AW15" s="29">
        <f t="shared" si="44"/>
        <v>50.366683347553462</v>
      </c>
      <c r="AX15" s="30">
        <f t="shared" si="45"/>
        <v>-2.0079628083669094</v>
      </c>
      <c r="AY15" s="18">
        <f>AY9+AY12+AY13+AY14</f>
        <v>3013.0730000000003</v>
      </c>
      <c r="AZ15" s="4">
        <f>AZ9+AZ12+AZ13+AZ14</f>
        <v>784.70499999999993</v>
      </c>
      <c r="BA15" s="4">
        <f>BA9+BA12+BA13+BA14</f>
        <v>3797.7780000000002</v>
      </c>
      <c r="BB15" s="29">
        <f t="shared" si="47"/>
        <v>85.684001582020372</v>
      </c>
      <c r="BC15" s="30">
        <f t="shared" si="48"/>
        <v>-1.4792210955746261</v>
      </c>
      <c r="BD15" s="18">
        <f>BD9+BD12+BD13+BD14</f>
        <v>3036.8429999999998</v>
      </c>
      <c r="BE15" s="4">
        <f>BE9+BE12+BE13+BE14</f>
        <v>829.25099999999998</v>
      </c>
      <c r="BF15" s="4">
        <f>BF9+BF12+BF13+BF14</f>
        <v>3866.0940000000001</v>
      </c>
      <c r="BG15" s="29">
        <f t="shared" si="1"/>
        <v>88.907444679113098</v>
      </c>
      <c r="BH15" s="30">
        <f t="shared" si="50"/>
        <v>1.7988413224785598</v>
      </c>
      <c r="BI15" s="18">
        <f>BI9+BI12+BI13+BI14</f>
        <v>2916.0079999999971</v>
      </c>
      <c r="BJ15" s="4">
        <f>BJ9+BJ12+BJ13+BJ14</f>
        <v>988.88100000000009</v>
      </c>
      <c r="BK15" s="4">
        <f>BK9+BK12+BK13+BK14</f>
        <v>3904.8889999999969</v>
      </c>
      <c r="BL15" s="29">
        <f t="shared" si="3"/>
        <v>86.415783046622465</v>
      </c>
      <c r="BM15" s="30">
        <f t="shared" si="11"/>
        <v>1.0034675825263661</v>
      </c>
      <c r="BN15" s="18">
        <f>BN9+BN12+BN13+BN14</f>
        <v>3211.69</v>
      </c>
      <c r="BO15" s="4">
        <f>BO9+BO12+BO13+BO14</f>
        <v>1143.0229999999999</v>
      </c>
      <c r="BP15" s="4">
        <f>BP9+BP12+BP13+BP14</f>
        <v>4354.7130000000006</v>
      </c>
      <c r="BQ15" s="29">
        <f t="shared" si="4"/>
        <v>89.989194385544067</v>
      </c>
      <c r="BR15" s="30">
        <f t="shared" si="12"/>
        <v>11.519507980892776</v>
      </c>
      <c r="BS15" s="18">
        <f>BS9+BS12+BS13+BS14</f>
        <v>3466.6489999999999</v>
      </c>
      <c r="BT15" s="4">
        <f>BT9+BT12+BT13+BT14</f>
        <v>1309.9659999999999</v>
      </c>
      <c r="BU15" s="4">
        <f>BU9+BU12+BU13+BU14</f>
        <v>4776.6149999999998</v>
      </c>
      <c r="BV15" s="29">
        <f t="shared" si="5"/>
        <v>88.222810750050371</v>
      </c>
      <c r="BW15" s="30">
        <f t="shared" si="13"/>
        <v>9.6883996718038379</v>
      </c>
      <c r="BX15" s="18">
        <f>BX9+BX12+BX13+BX14</f>
        <v>3612.3209999999999</v>
      </c>
      <c r="BY15" s="4">
        <f>BY9+BY12+BY13+BY14</f>
        <v>1404.605</v>
      </c>
      <c r="BZ15" s="4">
        <f>BZ9+BZ12+BZ13+BZ14</f>
        <v>5016.9259999999986</v>
      </c>
      <c r="CA15" s="29">
        <f t="shared" si="6"/>
        <v>86.753105182731503</v>
      </c>
      <c r="CB15" s="30">
        <f t="shared" si="14"/>
        <v>5.0309895187281954</v>
      </c>
      <c r="CC15" s="65">
        <f>CC9+CC12+CC13+CC14</f>
        <v>3478.6794090300009</v>
      </c>
      <c r="CD15" s="66">
        <f>CD9+CD12+CD13+CD14</f>
        <v>1322.3704765799998</v>
      </c>
      <c r="CE15" s="66">
        <f>CE9+CE12+CE13+CE14</f>
        <v>4801.0498856100003</v>
      </c>
      <c r="CF15" s="29">
        <f t="shared" si="7"/>
        <v>90.083672374570284</v>
      </c>
      <c r="CG15" s="30">
        <f t="shared" si="15"/>
        <v>-4.3029559214147941</v>
      </c>
      <c r="CH15" s="65">
        <f>CH9+CH12+CH13+CH14</f>
        <v>3496.2335566600004</v>
      </c>
      <c r="CI15" s="66">
        <f>CI9+CI12+CI13+CI14</f>
        <v>1625.0357729000002</v>
      </c>
      <c r="CJ15" s="66">
        <f>CJ9+CJ12+CJ13+CJ14</f>
        <v>5121.2693295600002</v>
      </c>
      <c r="CK15" s="29">
        <f t="shared" si="8"/>
        <v>86.498682550400275</v>
      </c>
      <c r="CL15" s="30">
        <f t="shared" si="16"/>
        <v>6.6697795602953676</v>
      </c>
      <c r="CM15" s="65">
        <f>CM9+CM12+CM13+CM14</f>
        <v>3805.4592658499996</v>
      </c>
      <c r="CN15" s="66">
        <f>CN9+CN12+CN13+CN14</f>
        <v>311.65710961999997</v>
      </c>
      <c r="CO15" s="66">
        <f>CO9+CO12+CO13+CO14</f>
        <v>4117.1163754700001</v>
      </c>
      <c r="CP15" s="29">
        <f t="shared" si="9"/>
        <v>87.042589935699155</v>
      </c>
      <c r="CQ15" s="30">
        <f t="shared" si="58"/>
        <v>-19.607501372638669</v>
      </c>
      <c r="CR15" s="65">
        <f>CR9+CR12+CR13+CR14</f>
        <v>3890.5298870300003</v>
      </c>
      <c r="CS15" s="66">
        <f>CS9+CS12+CS13+CS14</f>
        <v>296.12685534999997</v>
      </c>
      <c r="CT15" s="66">
        <f>CT9+CT12+CT13+CT14</f>
        <v>4186.6567423800007</v>
      </c>
      <c r="CU15" s="29">
        <f t="shared" si="10"/>
        <v>87.650852014974589</v>
      </c>
      <c r="CV15" s="30">
        <f t="shared" si="17"/>
        <v>1.6890551679404981</v>
      </c>
    </row>
    <row r="16" spans="1:100" x14ac:dyDescent="0.2">
      <c r="A16" s="35"/>
      <c r="B16" s="16"/>
      <c r="C16" s="3"/>
      <c r="D16" s="3"/>
      <c r="E16" s="15"/>
      <c r="F16" s="16"/>
      <c r="G16" s="3"/>
      <c r="H16" s="3"/>
      <c r="I16" s="5"/>
      <c r="J16" s="27"/>
      <c r="K16" s="16"/>
      <c r="L16" s="3"/>
      <c r="M16" s="3"/>
      <c r="N16" s="5"/>
      <c r="O16" s="27"/>
      <c r="P16" s="16"/>
      <c r="Q16" s="3"/>
      <c r="R16" s="3"/>
      <c r="S16" s="5"/>
      <c r="T16" s="27"/>
      <c r="U16" s="16"/>
      <c r="V16" s="3"/>
      <c r="W16" s="3"/>
      <c r="X16" s="5"/>
      <c r="Y16" s="27"/>
      <c r="Z16" s="16"/>
      <c r="AA16" s="3"/>
      <c r="AB16" s="3"/>
      <c r="AC16" s="5"/>
      <c r="AD16" s="27"/>
      <c r="AE16" s="16"/>
      <c r="AF16" s="3"/>
      <c r="AG16" s="3"/>
      <c r="AH16" s="5"/>
      <c r="AI16" s="27"/>
      <c r="AJ16" s="16"/>
      <c r="AK16" s="3"/>
      <c r="AL16" s="3"/>
      <c r="AN16" s="27"/>
      <c r="AO16" s="16"/>
      <c r="AP16" s="3"/>
      <c r="AQ16" s="3"/>
      <c r="AS16" s="27"/>
      <c r="AT16" s="16"/>
      <c r="AU16" s="3"/>
      <c r="AV16" s="3"/>
      <c r="AW16" s="5"/>
      <c r="AX16" s="27"/>
      <c r="AY16" s="16"/>
      <c r="AZ16" s="3"/>
      <c r="BA16" s="3"/>
      <c r="BB16" s="5"/>
      <c r="BC16" s="27"/>
      <c r="BD16" s="16"/>
      <c r="BE16" s="3"/>
      <c r="BF16" s="3"/>
      <c r="BG16" s="5"/>
      <c r="BH16" s="27"/>
      <c r="BI16" s="16"/>
      <c r="BJ16" s="3"/>
      <c r="BK16" s="3"/>
      <c r="BL16" s="5"/>
      <c r="BM16" s="27"/>
      <c r="BN16" s="16"/>
      <c r="BO16" s="3"/>
      <c r="BP16" s="3"/>
      <c r="BQ16" s="5"/>
      <c r="BR16" s="27"/>
      <c r="BS16" s="16"/>
      <c r="BT16" s="3"/>
      <c r="BU16" s="3"/>
      <c r="BV16" s="5"/>
      <c r="BW16" s="27"/>
      <c r="BX16" s="16"/>
      <c r="BY16" s="3"/>
      <c r="BZ16" s="3"/>
      <c r="CA16" s="5"/>
      <c r="CB16" s="27"/>
      <c r="CC16" s="61"/>
      <c r="CD16" s="62"/>
      <c r="CE16" s="62"/>
      <c r="CF16" s="5"/>
      <c r="CG16" s="27"/>
      <c r="CH16" s="61"/>
      <c r="CI16" s="62"/>
      <c r="CJ16" s="62"/>
      <c r="CK16" s="5"/>
      <c r="CL16" s="27"/>
      <c r="CM16" s="61"/>
      <c r="CN16" s="62"/>
      <c r="CO16" s="62"/>
      <c r="CP16" s="5"/>
      <c r="CQ16" s="27"/>
      <c r="CR16" s="59"/>
      <c r="CS16" s="60"/>
      <c r="CT16" s="60"/>
      <c r="CU16" s="5"/>
      <c r="CV16" s="27"/>
    </row>
    <row r="17" spans="1:100" ht="15" customHeight="1" x14ac:dyDescent="0.2">
      <c r="A17" s="35" t="s">
        <v>3</v>
      </c>
      <c r="B17" s="16">
        <f>132.587+7.355</f>
        <v>139.94199999999998</v>
      </c>
      <c r="C17" s="3">
        <f>0.441+0.146</f>
        <v>0.58699999999999997</v>
      </c>
      <c r="D17" s="3">
        <f t="shared" ref="D17:D18" si="69">B17+C17</f>
        <v>140.52899999999997</v>
      </c>
      <c r="E17" s="17">
        <f t="shared" si="19"/>
        <v>4.2353500691078532</v>
      </c>
      <c r="F17" s="16">
        <f>169.96+7.264</f>
        <v>177.22400000000002</v>
      </c>
      <c r="G17" s="3">
        <f>2.147</f>
        <v>2.1469999999999998</v>
      </c>
      <c r="H17" s="3">
        <f t="shared" ref="H17:H18" si="70">F17+G17</f>
        <v>179.37100000000001</v>
      </c>
      <c r="I17" s="6">
        <f t="shared" si="21"/>
        <v>5.0269323468415452</v>
      </c>
      <c r="J17" s="28">
        <f>100*(H17-D17)/D17</f>
        <v>27.639846579709562</v>
      </c>
      <c r="K17" s="16">
        <f>265.9</f>
        <v>265.89999999999998</v>
      </c>
      <c r="L17" s="3">
        <f>0.984+0.117</f>
        <v>1.101</v>
      </c>
      <c r="M17" s="3">
        <f t="shared" ref="M17:M18" si="71">K17+L17</f>
        <v>267.00099999999998</v>
      </c>
      <c r="N17" s="6">
        <f t="shared" si="23"/>
        <v>7.0384705012743014</v>
      </c>
      <c r="O17" s="28">
        <f t="shared" si="24"/>
        <v>48.854051100791075</v>
      </c>
      <c r="P17" s="16">
        <f>221.565+3.365</f>
        <v>224.93</v>
      </c>
      <c r="Q17" s="3">
        <f>3.298+0.008</f>
        <v>3.306</v>
      </c>
      <c r="R17" s="3">
        <f t="shared" ref="R17:R18" si="72">P17+Q17</f>
        <v>228.23600000000002</v>
      </c>
      <c r="S17" s="6">
        <f t="shared" si="26"/>
        <v>5.4436196030028201</v>
      </c>
      <c r="T17" s="28">
        <f t="shared" si="27"/>
        <v>-14.518672214710792</v>
      </c>
      <c r="U17" s="16">
        <f>206.07+5.229</f>
        <v>211.29900000000001</v>
      </c>
      <c r="V17" s="3">
        <f>1.699+0.252</f>
        <v>1.9510000000000001</v>
      </c>
      <c r="W17" s="3">
        <f t="shared" ref="W17:W18" si="73">U17+V17</f>
        <v>213.25</v>
      </c>
      <c r="X17" s="6">
        <f t="shared" si="29"/>
        <v>5.1713793917924331</v>
      </c>
      <c r="Y17" s="28">
        <f t="shared" si="30"/>
        <v>-6.5660106205857165</v>
      </c>
      <c r="Z17" s="16">
        <f>184.083+14.203</f>
        <v>198.286</v>
      </c>
      <c r="AA17" s="3">
        <f>145.508+0.082</f>
        <v>145.59</v>
      </c>
      <c r="AB17" s="3">
        <f t="shared" ref="AB17:AB18" si="74">Z17+AA17</f>
        <v>343.87599999999998</v>
      </c>
      <c r="AC17" s="6">
        <f t="shared" si="32"/>
        <v>5.976725815296029</v>
      </c>
      <c r="AD17" s="28">
        <f t="shared" si="33"/>
        <v>61.254865181711601</v>
      </c>
      <c r="AE17" s="16">
        <f>267.46+2.758</f>
        <v>270.21799999999996</v>
      </c>
      <c r="AF17" s="3">
        <f>3.664+0.002</f>
        <v>3.6659999999999999</v>
      </c>
      <c r="AG17" s="3">
        <f t="shared" ref="AG17:AG18" si="75">AE17+AF17</f>
        <v>273.88399999999996</v>
      </c>
      <c r="AH17" s="6">
        <f t="shared" si="35"/>
        <v>6.260308741080995</v>
      </c>
      <c r="AI17" s="28">
        <f t="shared" si="36"/>
        <v>-20.353848480266148</v>
      </c>
      <c r="AJ17" s="16">
        <f>264.082+3.772</f>
        <v>267.85399999999998</v>
      </c>
      <c r="AK17" s="3">
        <f>2.553+0.281</f>
        <v>2.8340000000000001</v>
      </c>
      <c r="AL17" s="3">
        <f t="shared" ref="AL17:AL18" si="76">AJ17+AK17</f>
        <v>270.68799999999999</v>
      </c>
      <c r="AM17" s="6">
        <f t="shared" si="38"/>
        <v>5.8343891164743971</v>
      </c>
      <c r="AN17" s="28">
        <f t="shared" si="39"/>
        <v>-1.1669173810810307</v>
      </c>
      <c r="AO17" s="16">
        <f>232.113+19.285</f>
        <v>251.398</v>
      </c>
      <c r="AP17" s="3">
        <v>4.3310000000000004</v>
      </c>
      <c r="AQ17" s="3">
        <f t="shared" ref="AQ17:AQ18" si="77">AO17+AP17</f>
        <v>255.72899999999998</v>
      </c>
      <c r="AR17" s="6">
        <f t="shared" si="41"/>
        <v>5.4314070060390724</v>
      </c>
      <c r="AS17" s="28">
        <f t="shared" si="42"/>
        <v>-5.5262885683886998</v>
      </c>
      <c r="AT17" s="16">
        <f>366.859+6.382</f>
        <v>373.24099999999999</v>
      </c>
      <c r="AU17" s="3">
        <f>9.138</f>
        <v>9.1379999999999999</v>
      </c>
      <c r="AV17" s="3">
        <f t="shared" ref="AV17:AV18" si="78">AT17+AU17</f>
        <v>382.37899999999996</v>
      </c>
      <c r="AW17" s="6">
        <f t="shared" ref="AW17:AW19" si="79">100*AV17/AV$21</f>
        <v>4.9961520721973161</v>
      </c>
      <c r="AX17" s="28">
        <f t="shared" ref="AX17:AX19" si="80">100*(AV17-AQ17)/AQ17</f>
        <v>49.525083193536901</v>
      </c>
      <c r="AY17" s="16">
        <f>166.488+80.879</f>
        <v>247.36700000000002</v>
      </c>
      <c r="AZ17" s="3">
        <f>7.269+0.344</f>
        <v>7.6130000000000004</v>
      </c>
      <c r="BA17" s="3">
        <f t="shared" ref="BA17:BA18" si="81">AY17+AZ17</f>
        <v>254.98000000000002</v>
      </c>
      <c r="BB17" s="6">
        <f t="shared" ref="BB17:BB19" si="82">100*BA17/BA$21</f>
        <v>5.7527603570781531</v>
      </c>
      <c r="BC17" s="28">
        <f t="shared" ref="BC17:BC19" si="83">100*(BA17-AV17)/AV17</f>
        <v>-33.317467747967321</v>
      </c>
      <c r="BD17" s="16">
        <f>174.743+101.938</f>
        <v>276.68099999999998</v>
      </c>
      <c r="BE17" s="3">
        <f>11.638+6.885</f>
        <v>18.523</v>
      </c>
      <c r="BF17" s="3">
        <f t="shared" ref="BF17:BF18" si="84">BD17+BE17</f>
        <v>295.20400000000001</v>
      </c>
      <c r="BG17" s="6">
        <f t="shared" ref="BG17:BG19" si="85">100*BF17/BF$21</f>
        <v>6.7887209413565479</v>
      </c>
      <c r="BH17" s="28">
        <f t="shared" ref="BH17:BH19" si="86">100*(BF17-BA17)/BA17</f>
        <v>15.775354929798409</v>
      </c>
      <c r="BI17" s="16">
        <v>290.16800000000012</v>
      </c>
      <c r="BJ17" s="3">
        <v>7.3539999999999992</v>
      </c>
      <c r="BK17" s="3">
        <f t="shared" ref="BK17:BK18" si="87">BI17+BJ17</f>
        <v>297.52200000000011</v>
      </c>
      <c r="BL17" s="6">
        <f t="shared" ref="BL17:BL19" si="88">100*BK17/BK$21</f>
        <v>6.5842067735080914</v>
      </c>
      <c r="BM17" s="28">
        <f t="shared" ref="BM17:BM19" si="89">100*(BK17-BF17)/BF17</f>
        <v>0.78521971247005362</v>
      </c>
      <c r="BN17" s="16">
        <v>256.66000000000003</v>
      </c>
      <c r="BO17" s="3">
        <v>21.088000000000001</v>
      </c>
      <c r="BP17" s="3">
        <f t="shared" ref="BP17:BP18" si="90">BN17+BO17</f>
        <v>277.74800000000005</v>
      </c>
      <c r="BQ17" s="6">
        <f t="shared" ref="BQ17:BQ19" si="91">100*BP17/BP$21</f>
        <v>5.7396018433812044</v>
      </c>
      <c r="BR17" s="28">
        <f t="shared" ref="BR17:BR19" si="92">100*(BP17-BK17)/BK17</f>
        <v>-6.6462312030707142</v>
      </c>
      <c r="BS17" s="16">
        <v>295.49099999999999</v>
      </c>
      <c r="BT17" s="3">
        <v>22.256</v>
      </c>
      <c r="BU17" s="3">
        <f t="shared" ref="BU17:BU18" si="93">BS17+BT17</f>
        <v>317.74699999999996</v>
      </c>
      <c r="BV17" s="6">
        <f t="shared" ref="BV17:BV19" si="94">100*BU17/BU$21</f>
        <v>5.8687027209428129</v>
      </c>
      <c r="BW17" s="28">
        <f t="shared" ref="BW17:BW19" si="95">100*(BU17-BP17)/BP17</f>
        <v>14.401183806904065</v>
      </c>
      <c r="BX17" s="16">
        <v>304.88599999999997</v>
      </c>
      <c r="BY17" s="3">
        <v>2.9730000000000003</v>
      </c>
      <c r="BZ17" s="3">
        <f t="shared" ref="BZ17:BZ18" si="96">BX17+BY17</f>
        <v>307.85899999999998</v>
      </c>
      <c r="CA17" s="6">
        <f t="shared" ref="CA17:CA19" si="97">100*BZ17/BZ$21</f>
        <v>5.323523649432051</v>
      </c>
      <c r="CB17" s="28">
        <f t="shared" ref="CB17:CB19" si="98">100*(BZ17-BU17)/BU17</f>
        <v>-3.111909789864256</v>
      </c>
      <c r="CC17" s="61">
        <v>241.72026677999997</v>
      </c>
      <c r="CD17" s="62">
        <v>3.5474470200000008</v>
      </c>
      <c r="CE17" s="62">
        <f t="shared" ref="CE17:CE18" si="99">CC17+CD17</f>
        <v>245.26771379999997</v>
      </c>
      <c r="CF17" s="6">
        <f t="shared" ref="CF17:CF19" si="100">100*CE17/CE$21</f>
        <v>4.602038491672916</v>
      </c>
      <c r="CG17" s="28">
        <f t="shared" ref="CG17:CG19" si="101">100*(CE17-BZ17)/BZ17</f>
        <v>-20.331153612530418</v>
      </c>
      <c r="CH17" s="61">
        <v>253.49181551999999</v>
      </c>
      <c r="CI17" s="62">
        <v>3.8975298199999999</v>
      </c>
      <c r="CJ17" s="62">
        <f t="shared" ref="CJ17:CJ18" si="102">CH17+CI17</f>
        <v>257.38934533999998</v>
      </c>
      <c r="CK17" s="6">
        <f t="shared" ref="CK17:CK19" si="103">100*CJ17/CJ$21</f>
        <v>4.3473283363389967</v>
      </c>
      <c r="CL17" s="28">
        <f t="shared" ref="CL17:CL19" si="104">100*(CJ17-CE17)/CE17</f>
        <v>4.9422043171505319</v>
      </c>
      <c r="CM17" s="61">
        <v>377.59153753999999</v>
      </c>
      <c r="CN17" s="62">
        <v>7.1042083500000004</v>
      </c>
      <c r="CO17" s="62">
        <f t="shared" ref="CO17:CO18" si="105">CM17+CN17</f>
        <v>384.69574589000001</v>
      </c>
      <c r="CP17" s="6">
        <f t="shared" ref="CP17:CP19" si="106">100*CO17/CO$21</f>
        <v>8.1330987530534973</v>
      </c>
      <c r="CQ17" s="28">
        <f t="shared" ref="CQ17:CQ19" si="107">100*(CO17-CJ17)/CJ17</f>
        <v>49.460633415821427</v>
      </c>
      <c r="CR17" s="61">
        <v>277.33002712000001</v>
      </c>
      <c r="CS17" s="62">
        <v>1.4944536200000003</v>
      </c>
      <c r="CT17" s="62">
        <f t="shared" ref="CT17:CT18" si="108">CR17+CS17</f>
        <v>278.82448074000001</v>
      </c>
      <c r="CU17" s="6">
        <f t="shared" ref="CU17:CU19" si="109">100*CT17/CT$21</f>
        <v>5.8374031604035563</v>
      </c>
      <c r="CV17" s="28">
        <f t="shared" ref="CV17:CV19" si="110">100*(CT17-CO17)/CO17</f>
        <v>-27.520778766363808</v>
      </c>
    </row>
    <row r="18" spans="1:100" ht="15" customHeight="1" x14ac:dyDescent="0.2">
      <c r="A18" s="35" t="s">
        <v>16</v>
      </c>
      <c r="B18" s="16">
        <f>145.425+61.387</f>
        <v>206.81200000000001</v>
      </c>
      <c r="C18" s="3">
        <f>4.156+0.074</f>
        <v>4.2299999999999995</v>
      </c>
      <c r="D18" s="3">
        <f t="shared" si="69"/>
        <v>211.042</v>
      </c>
      <c r="E18" s="17">
        <f t="shared" si="19"/>
        <v>6.3605145506241412</v>
      </c>
      <c r="F18" s="16">
        <f>182.125</f>
        <v>182.125</v>
      </c>
      <c r="G18" s="3">
        <f>6.537+0.784</f>
        <v>7.3209999999999997</v>
      </c>
      <c r="H18" s="3">
        <f t="shared" si="70"/>
        <v>189.446</v>
      </c>
      <c r="I18" s="6">
        <f t="shared" si="21"/>
        <v>5.3092875959867722</v>
      </c>
      <c r="J18" s="28">
        <f>100*(H18-D18)/D18</f>
        <v>-10.233034182769309</v>
      </c>
      <c r="K18" s="16">
        <f>200.737</f>
        <v>200.73699999999999</v>
      </c>
      <c r="L18" s="3">
        <f>22.443+0.783</f>
        <v>23.226000000000003</v>
      </c>
      <c r="M18" s="3">
        <f t="shared" si="71"/>
        <v>223.96299999999999</v>
      </c>
      <c r="N18" s="6">
        <f t="shared" si="23"/>
        <v>5.9039365728102009</v>
      </c>
      <c r="O18" s="28">
        <f t="shared" si="24"/>
        <v>18.219967695279919</v>
      </c>
      <c r="P18" s="16">
        <f>185.992+3.798</f>
        <v>189.79</v>
      </c>
      <c r="Q18" s="3">
        <f>6.284+1.332</f>
        <v>7.6159999999999997</v>
      </c>
      <c r="R18" s="3">
        <f t="shared" si="72"/>
        <v>197.40600000000001</v>
      </c>
      <c r="S18" s="6">
        <f t="shared" si="26"/>
        <v>4.7082983024166865</v>
      </c>
      <c r="T18" s="28">
        <f t="shared" si="27"/>
        <v>-11.857762219652349</v>
      </c>
      <c r="U18" s="16">
        <f>212.499+52.391</f>
        <v>264.89</v>
      </c>
      <c r="V18" s="3">
        <f>43.482+0.93</f>
        <v>44.411999999999999</v>
      </c>
      <c r="W18" s="3">
        <f t="shared" si="73"/>
        <v>309.30199999999996</v>
      </c>
      <c r="X18" s="6">
        <f t="shared" si="29"/>
        <v>7.5006705211731921</v>
      </c>
      <c r="Y18" s="28">
        <f t="shared" si="30"/>
        <v>56.683180855698382</v>
      </c>
      <c r="Z18" s="16">
        <f>745.053+19.761</f>
        <v>764.81399999999996</v>
      </c>
      <c r="AA18" s="3">
        <f>128.058+0.31</f>
        <v>128.36799999999999</v>
      </c>
      <c r="AB18" s="3">
        <f t="shared" si="74"/>
        <v>893.18200000000002</v>
      </c>
      <c r="AC18" s="6">
        <f t="shared" si="32"/>
        <v>15.523921172625418</v>
      </c>
      <c r="AD18" s="28">
        <f t="shared" si="33"/>
        <v>188.7734317915824</v>
      </c>
      <c r="AE18" s="16">
        <f>223.173+18.991</f>
        <v>242.16399999999999</v>
      </c>
      <c r="AF18" s="3">
        <f>14.854+3.256</f>
        <v>18.11</v>
      </c>
      <c r="AG18" s="3">
        <f t="shared" si="75"/>
        <v>260.274</v>
      </c>
      <c r="AH18" s="6">
        <f t="shared" si="35"/>
        <v>5.9492179071289861</v>
      </c>
      <c r="AI18" s="28">
        <f t="shared" si="36"/>
        <v>-70.859914328770628</v>
      </c>
      <c r="AJ18" s="16">
        <f>351.425+33.914</f>
        <v>385.339</v>
      </c>
      <c r="AK18" s="3">
        <f>45.436+0.9</f>
        <v>46.335999999999999</v>
      </c>
      <c r="AL18" s="3">
        <f t="shared" si="76"/>
        <v>431.67500000000001</v>
      </c>
      <c r="AM18" s="6">
        <f t="shared" si="38"/>
        <v>9.3042909986925366</v>
      </c>
      <c r="AN18" s="28">
        <f t="shared" si="39"/>
        <v>65.854061489046174</v>
      </c>
      <c r="AO18" s="16">
        <f>363.822+119.895</f>
        <v>483.71699999999998</v>
      </c>
      <c r="AP18" s="3">
        <f>35.104</f>
        <v>35.103999999999999</v>
      </c>
      <c r="AQ18" s="3">
        <f t="shared" si="77"/>
        <v>518.82100000000003</v>
      </c>
      <c r="AR18" s="6">
        <f t="shared" si="41"/>
        <v>11.019196157964871</v>
      </c>
      <c r="AS18" s="28">
        <f t="shared" si="42"/>
        <v>20.187872820988016</v>
      </c>
      <c r="AT18" s="16">
        <f>2827.319+559.548</f>
        <v>3386.8670000000002</v>
      </c>
      <c r="AU18" s="3">
        <f>8.781+20.644</f>
        <v>29.424999999999997</v>
      </c>
      <c r="AV18" s="3">
        <f t="shared" si="78"/>
        <v>3416.2920000000004</v>
      </c>
      <c r="AW18" s="6">
        <f t="shared" si="79"/>
        <v>44.63716458024922</v>
      </c>
      <c r="AX18" s="28">
        <f t="shared" si="80"/>
        <v>558.47218983040398</v>
      </c>
      <c r="AY18" s="16">
        <v>376.74900000000002</v>
      </c>
      <c r="AZ18" s="3">
        <v>2.8</v>
      </c>
      <c r="BA18" s="3">
        <f t="shared" si="81"/>
        <v>379.54900000000004</v>
      </c>
      <c r="BB18" s="6">
        <f t="shared" si="82"/>
        <v>8.5632380609014671</v>
      </c>
      <c r="BC18" s="28">
        <f t="shared" si="83"/>
        <v>-88.890030477488466</v>
      </c>
      <c r="BD18" s="16">
        <v>170.041</v>
      </c>
      <c r="BE18" s="3">
        <v>17.109000000000002</v>
      </c>
      <c r="BF18" s="3">
        <f t="shared" si="84"/>
        <v>187.15</v>
      </c>
      <c r="BG18" s="6">
        <f t="shared" si="85"/>
        <v>4.3038343795303513</v>
      </c>
      <c r="BH18" s="28">
        <f t="shared" si="86"/>
        <v>-50.691478570619338</v>
      </c>
      <c r="BI18" s="16">
        <v>295.79300000000001</v>
      </c>
      <c r="BJ18" s="3">
        <v>20.518000000000001</v>
      </c>
      <c r="BK18" s="3">
        <f t="shared" si="87"/>
        <v>316.31100000000004</v>
      </c>
      <c r="BL18" s="6">
        <f t="shared" si="88"/>
        <v>7.0000101798694461</v>
      </c>
      <c r="BM18" s="28">
        <f t="shared" si="89"/>
        <v>69.014694095645211</v>
      </c>
      <c r="BN18" s="16">
        <v>189.48400000000001</v>
      </c>
      <c r="BO18" s="3">
        <v>17.206</v>
      </c>
      <c r="BP18" s="3">
        <f t="shared" si="90"/>
        <v>206.69</v>
      </c>
      <c r="BQ18" s="6">
        <f t="shared" si="91"/>
        <v>4.2712037710747186</v>
      </c>
      <c r="BR18" s="28">
        <f t="shared" si="92"/>
        <v>-34.656082147000902</v>
      </c>
      <c r="BS18" s="16">
        <v>299.43099999999998</v>
      </c>
      <c r="BT18" s="3">
        <v>20.47</v>
      </c>
      <c r="BU18" s="3">
        <f t="shared" si="93"/>
        <v>319.90099999999995</v>
      </c>
      <c r="BV18" s="6">
        <f t="shared" si="94"/>
        <v>5.9084865290068098</v>
      </c>
      <c r="BW18" s="28">
        <f t="shared" si="95"/>
        <v>54.773332043156394</v>
      </c>
      <c r="BX18" s="16">
        <v>415.548</v>
      </c>
      <c r="BY18" s="3">
        <v>42.660000000000004</v>
      </c>
      <c r="BZ18" s="3">
        <f t="shared" si="96"/>
        <v>458.20800000000003</v>
      </c>
      <c r="CA18" s="6">
        <f t="shared" si="97"/>
        <v>7.92337116783645</v>
      </c>
      <c r="CB18" s="28">
        <f t="shared" si="98"/>
        <v>43.234313115620175</v>
      </c>
      <c r="CC18" s="61">
        <v>239.39317370999999</v>
      </c>
      <c r="CD18" s="62">
        <v>43.834258799999994</v>
      </c>
      <c r="CE18" s="62">
        <f t="shared" si="99"/>
        <v>283.22743250999997</v>
      </c>
      <c r="CF18" s="6">
        <f t="shared" si="100"/>
        <v>5.3142891337568008</v>
      </c>
      <c r="CG18" s="28">
        <f t="shared" si="101"/>
        <v>-38.188021049392425</v>
      </c>
      <c r="CH18" s="61">
        <v>483.53634118999997</v>
      </c>
      <c r="CI18" s="62">
        <v>58.437736410000007</v>
      </c>
      <c r="CJ18" s="62">
        <f t="shared" si="102"/>
        <v>541.97407759999999</v>
      </c>
      <c r="CK18" s="6">
        <f t="shared" si="103"/>
        <v>9.1539891132607458</v>
      </c>
      <c r="CL18" s="28">
        <f t="shared" si="104"/>
        <v>91.356491423500927</v>
      </c>
      <c r="CM18" s="61">
        <v>227.87686158</v>
      </c>
      <c r="CN18" s="62">
        <v>0.31316716999999999</v>
      </c>
      <c r="CO18" s="62">
        <f t="shared" si="105"/>
        <v>228.19002875000001</v>
      </c>
      <c r="CP18" s="6">
        <f t="shared" si="106"/>
        <v>4.8243113112473592</v>
      </c>
      <c r="CQ18" s="28">
        <f t="shared" si="107"/>
        <v>-57.896504984060506</v>
      </c>
      <c r="CR18" s="61">
        <v>311.00247071000001</v>
      </c>
      <c r="CS18" s="62">
        <v>3.204576E-2</v>
      </c>
      <c r="CT18" s="62">
        <f t="shared" si="108"/>
        <v>311.03451647000003</v>
      </c>
      <c r="CU18" s="6">
        <f t="shared" si="109"/>
        <v>6.5117448246218519</v>
      </c>
      <c r="CV18" s="28">
        <f t="shared" si="110"/>
        <v>36.305042851264382</v>
      </c>
    </row>
    <row r="19" spans="1:100" s="2" customFormat="1" ht="15" customHeight="1" x14ac:dyDescent="0.2">
      <c r="A19" s="36" t="s">
        <v>4</v>
      </c>
      <c r="B19" s="18">
        <f>B17+B18+93.233</f>
        <v>439.98700000000002</v>
      </c>
      <c r="C19" s="4">
        <f t="shared" ref="C19:D19" si="111">C17+C18</f>
        <v>4.8169999999999993</v>
      </c>
      <c r="D19" s="4">
        <f t="shared" si="111"/>
        <v>351.57099999999997</v>
      </c>
      <c r="E19" s="19">
        <f t="shared" si="19"/>
        <v>10.595864619731994</v>
      </c>
      <c r="F19" s="18">
        <f>F17+F18+93.233</f>
        <v>452.58200000000005</v>
      </c>
      <c r="G19" s="4">
        <f t="shared" ref="G19:H19" si="112">G17+G18</f>
        <v>9.468</v>
      </c>
      <c r="H19" s="4">
        <f t="shared" si="112"/>
        <v>368.81700000000001</v>
      </c>
      <c r="I19" s="29">
        <f t="shared" si="21"/>
        <v>10.336219942828317</v>
      </c>
      <c r="J19" s="30">
        <f>100*(H19-D19)/D19</f>
        <v>4.9054102869690732</v>
      </c>
      <c r="K19" s="18">
        <f>K17+K18</f>
        <v>466.63699999999994</v>
      </c>
      <c r="L19" s="4">
        <f t="shared" ref="L19:M19" si="113">L17+L18</f>
        <v>24.327000000000002</v>
      </c>
      <c r="M19" s="4">
        <f t="shared" si="113"/>
        <v>490.96399999999994</v>
      </c>
      <c r="N19" s="29">
        <f t="shared" si="23"/>
        <v>12.942407074084501</v>
      </c>
      <c r="O19" s="30">
        <f t="shared" si="24"/>
        <v>33.118592689599431</v>
      </c>
      <c r="P19" s="18">
        <f>P17+P18</f>
        <v>414.72</v>
      </c>
      <c r="Q19" s="4">
        <f t="shared" ref="Q19:R19" si="114">Q17+Q18</f>
        <v>10.922000000000001</v>
      </c>
      <c r="R19" s="4">
        <f t="shared" si="114"/>
        <v>425.64200000000005</v>
      </c>
      <c r="S19" s="29">
        <f t="shared" si="26"/>
        <v>10.151917905419507</v>
      </c>
      <c r="T19" s="30">
        <f t="shared" si="27"/>
        <v>-13.304845161763367</v>
      </c>
      <c r="U19" s="18">
        <f>U17+U18</f>
        <v>476.18899999999996</v>
      </c>
      <c r="V19" s="4">
        <f t="shared" ref="V19:W19" si="115">V17+V18</f>
        <v>46.363</v>
      </c>
      <c r="W19" s="4">
        <f t="shared" si="115"/>
        <v>522.55199999999991</v>
      </c>
      <c r="X19" s="29">
        <f t="shared" si="29"/>
        <v>12.672049912965623</v>
      </c>
      <c r="Y19" s="30">
        <f t="shared" si="30"/>
        <v>22.767959928766391</v>
      </c>
      <c r="Z19" s="18">
        <f>Z17+Z18</f>
        <v>963.09999999999991</v>
      </c>
      <c r="AA19" s="4">
        <f t="shared" ref="AA19:AB19" si="116">AA17+AA18</f>
        <v>273.95799999999997</v>
      </c>
      <c r="AB19" s="4">
        <f t="shared" si="116"/>
        <v>1237.058</v>
      </c>
      <c r="AC19" s="29">
        <f t="shared" si="32"/>
        <v>21.500646987921449</v>
      </c>
      <c r="AD19" s="30">
        <f t="shared" si="33"/>
        <v>136.73395183637231</v>
      </c>
      <c r="AE19" s="18">
        <f>AE17+AE18</f>
        <v>512.38199999999995</v>
      </c>
      <c r="AF19" s="4">
        <f t="shared" ref="AF19:AG19" si="117">AF17+AF18</f>
        <v>21.776</v>
      </c>
      <c r="AG19" s="4">
        <f t="shared" si="117"/>
        <v>534.1579999999999</v>
      </c>
      <c r="AH19" s="29">
        <f t="shared" si="35"/>
        <v>12.20952664820998</v>
      </c>
      <c r="AI19" s="30">
        <f t="shared" si="36"/>
        <v>-56.820294602193279</v>
      </c>
      <c r="AJ19" s="18">
        <f>AJ17+AJ18</f>
        <v>653.19299999999998</v>
      </c>
      <c r="AK19" s="4">
        <f t="shared" ref="AK19:AL19" si="118">AK17+AK18</f>
        <v>49.17</v>
      </c>
      <c r="AL19" s="4">
        <f t="shared" si="118"/>
        <v>702.36300000000006</v>
      </c>
      <c r="AM19" s="29">
        <f t="shared" si="38"/>
        <v>15.138680115166936</v>
      </c>
      <c r="AN19" s="30">
        <f t="shared" si="39"/>
        <v>31.489746479506096</v>
      </c>
      <c r="AO19" s="18">
        <f>AO17+AO18</f>
        <v>735.11500000000001</v>
      </c>
      <c r="AP19" s="4">
        <f t="shared" ref="AP19:AQ19" si="119">AP17+AP18</f>
        <v>39.435000000000002</v>
      </c>
      <c r="AQ19" s="4">
        <f t="shared" si="119"/>
        <v>774.55</v>
      </c>
      <c r="AR19" s="29">
        <f t="shared" si="41"/>
        <v>16.45060316400394</v>
      </c>
      <c r="AS19" s="30">
        <f t="shared" si="42"/>
        <v>10.277733878350638</v>
      </c>
      <c r="AT19" s="18">
        <f>AT17+AT18</f>
        <v>3760.1080000000002</v>
      </c>
      <c r="AU19" s="4">
        <f t="shared" ref="AU19:AV19" si="120">AU17+AU18</f>
        <v>38.562999999999995</v>
      </c>
      <c r="AV19" s="4">
        <f t="shared" si="120"/>
        <v>3798.6710000000003</v>
      </c>
      <c r="AW19" s="29">
        <f t="shared" si="79"/>
        <v>49.633316652446538</v>
      </c>
      <c r="AX19" s="30">
        <f t="shared" si="80"/>
        <v>390.43586598670203</v>
      </c>
      <c r="AY19" s="18">
        <f>AY17+AY18</f>
        <v>624.11599999999999</v>
      </c>
      <c r="AZ19" s="4">
        <f t="shared" ref="AZ19:BA19" si="121">AZ17+AZ18</f>
        <v>10.413</v>
      </c>
      <c r="BA19" s="4">
        <f t="shared" si="121"/>
        <v>634.529</v>
      </c>
      <c r="BB19" s="29">
        <f t="shared" si="82"/>
        <v>14.315998417979619</v>
      </c>
      <c r="BC19" s="30">
        <f t="shared" si="83"/>
        <v>-83.296026426084282</v>
      </c>
      <c r="BD19" s="18">
        <f>BD17+BD18</f>
        <v>446.72199999999998</v>
      </c>
      <c r="BE19" s="4">
        <f t="shared" ref="BE19:BF19" si="122">BE17+BE18</f>
        <v>35.632000000000005</v>
      </c>
      <c r="BF19" s="4">
        <f t="shared" si="122"/>
        <v>482.35400000000004</v>
      </c>
      <c r="BG19" s="29">
        <f t="shared" si="85"/>
        <v>11.0925553208869</v>
      </c>
      <c r="BH19" s="30">
        <f t="shared" si="86"/>
        <v>-23.982355416379704</v>
      </c>
      <c r="BI19" s="18">
        <f>BI17+BI18</f>
        <v>585.96100000000013</v>
      </c>
      <c r="BJ19" s="4">
        <f t="shared" ref="BJ19:BK19" si="123">BJ17+BJ18</f>
        <v>27.872</v>
      </c>
      <c r="BK19" s="4">
        <f t="shared" si="123"/>
        <v>613.83300000000008</v>
      </c>
      <c r="BL19" s="29">
        <f t="shared" si="88"/>
        <v>13.584216953377537</v>
      </c>
      <c r="BM19" s="30">
        <f t="shared" si="89"/>
        <v>27.257781629259846</v>
      </c>
      <c r="BN19" s="18">
        <f>BN17+BN18</f>
        <v>446.14400000000001</v>
      </c>
      <c r="BO19" s="4">
        <f t="shared" ref="BO19:BP19" si="124">BO17+BO18</f>
        <v>38.293999999999997</v>
      </c>
      <c r="BP19" s="4">
        <f t="shared" si="124"/>
        <v>484.43800000000005</v>
      </c>
      <c r="BQ19" s="29">
        <f t="shared" si="91"/>
        <v>10.010805614455924</v>
      </c>
      <c r="BR19" s="30">
        <f t="shared" si="92"/>
        <v>-21.07983767571962</v>
      </c>
      <c r="BS19" s="18">
        <f>BS17+BS18</f>
        <v>594.92200000000003</v>
      </c>
      <c r="BT19" s="4">
        <f t="shared" ref="BT19:BU19" si="125">BT17+BT18</f>
        <v>42.725999999999999</v>
      </c>
      <c r="BU19" s="4">
        <f t="shared" si="125"/>
        <v>637.64799999999991</v>
      </c>
      <c r="BV19" s="29">
        <f t="shared" si="94"/>
        <v>11.777189249949622</v>
      </c>
      <c r="BW19" s="30">
        <f t="shared" si="95"/>
        <v>31.626338148534973</v>
      </c>
      <c r="BX19" s="18">
        <f>BX17+BX18</f>
        <v>720.43399999999997</v>
      </c>
      <c r="BY19" s="4">
        <f t="shared" ref="BY19:BZ19" si="126">BY17+BY18</f>
        <v>45.633000000000003</v>
      </c>
      <c r="BZ19" s="4">
        <f t="shared" si="126"/>
        <v>766.06700000000001</v>
      </c>
      <c r="CA19" s="29">
        <f t="shared" si="97"/>
        <v>13.246894817268501</v>
      </c>
      <c r="CB19" s="30">
        <f t="shared" si="98"/>
        <v>20.139481343938993</v>
      </c>
      <c r="CC19" s="65">
        <f>CC17+CC18</f>
        <v>481.11344048999996</v>
      </c>
      <c r="CD19" s="66">
        <f t="shared" ref="CD19:CE19" si="127">CD17+CD18</f>
        <v>47.381705819999993</v>
      </c>
      <c r="CE19" s="66">
        <f t="shared" si="127"/>
        <v>528.49514630999988</v>
      </c>
      <c r="CF19" s="29">
        <f t="shared" si="100"/>
        <v>9.9163276254297159</v>
      </c>
      <c r="CG19" s="30">
        <f t="shared" si="101"/>
        <v>-31.011889781181036</v>
      </c>
      <c r="CH19" s="65">
        <f>CH17+CH18</f>
        <v>737.02815670999996</v>
      </c>
      <c r="CI19" s="66">
        <f t="shared" ref="CI19:CJ19" si="128">CI17+CI18</f>
        <v>62.335266230000009</v>
      </c>
      <c r="CJ19" s="66">
        <f t="shared" si="128"/>
        <v>799.36342293999996</v>
      </c>
      <c r="CK19" s="29">
        <f t="shared" si="103"/>
        <v>13.501317449599743</v>
      </c>
      <c r="CL19" s="30">
        <f t="shared" si="104"/>
        <v>51.252746315879428</v>
      </c>
      <c r="CM19" s="65">
        <f>CM17+CM18</f>
        <v>605.46839911999996</v>
      </c>
      <c r="CN19" s="66">
        <f t="shared" ref="CN19:CO19" si="129">CN17+CN18</f>
        <v>7.4173755200000002</v>
      </c>
      <c r="CO19" s="66">
        <f t="shared" si="129"/>
        <v>612.88577464000002</v>
      </c>
      <c r="CP19" s="29">
        <f t="shared" si="106"/>
        <v>12.957410064300856</v>
      </c>
      <c r="CQ19" s="30">
        <f t="shared" si="107"/>
        <v>-23.328268838490111</v>
      </c>
      <c r="CR19" s="65">
        <f>CR17+CR18</f>
        <v>588.33249782999997</v>
      </c>
      <c r="CS19" s="66">
        <f t="shared" ref="CS19:CT19" si="130">CS17+CS18</f>
        <v>1.5264993800000002</v>
      </c>
      <c r="CT19" s="66">
        <f t="shared" si="130"/>
        <v>589.8589972100001</v>
      </c>
      <c r="CU19" s="29">
        <f t="shared" si="109"/>
        <v>12.349147985025409</v>
      </c>
      <c r="CV19" s="30">
        <f t="shared" si="110"/>
        <v>-3.7571075040084772</v>
      </c>
    </row>
    <row r="20" spans="1:100" x14ac:dyDescent="0.2">
      <c r="A20" s="35"/>
      <c r="B20" s="16"/>
      <c r="C20" s="3"/>
      <c r="D20" s="3"/>
      <c r="E20" s="17"/>
      <c r="F20" s="16"/>
      <c r="G20" s="3"/>
      <c r="H20" s="3"/>
      <c r="I20" s="6"/>
      <c r="J20" s="27"/>
      <c r="K20" s="16"/>
      <c r="L20" s="3"/>
      <c r="M20" s="3"/>
      <c r="N20" s="6"/>
      <c r="O20" s="27"/>
      <c r="P20" s="16"/>
      <c r="Q20" s="3"/>
      <c r="R20" s="3"/>
      <c r="S20" s="6"/>
      <c r="T20" s="27"/>
      <c r="U20" s="16"/>
      <c r="V20" s="3"/>
      <c r="W20" s="3"/>
      <c r="X20" s="6"/>
      <c r="Y20" s="27"/>
      <c r="Z20" s="16"/>
      <c r="AA20" s="3"/>
      <c r="AB20" s="3"/>
      <c r="AC20" s="6"/>
      <c r="AD20" s="27"/>
      <c r="AE20" s="16"/>
      <c r="AF20" s="3"/>
      <c r="AG20" s="3"/>
      <c r="AH20" s="6"/>
      <c r="AI20" s="27"/>
      <c r="AJ20" s="16"/>
      <c r="AK20" s="3"/>
      <c r="AL20" s="3"/>
      <c r="AM20" s="6"/>
      <c r="AN20" s="27"/>
      <c r="AO20" s="16"/>
      <c r="AP20" s="3"/>
      <c r="AQ20" s="3"/>
      <c r="AR20" s="6"/>
      <c r="AS20" s="27"/>
      <c r="AT20" s="16"/>
      <c r="AU20" s="3"/>
      <c r="AV20" s="3"/>
      <c r="AW20" s="6"/>
      <c r="AX20" s="27"/>
      <c r="AY20" s="16"/>
      <c r="AZ20" s="3"/>
      <c r="BA20" s="3"/>
      <c r="BB20" s="6"/>
      <c r="BC20" s="27"/>
      <c r="BD20" s="16"/>
      <c r="BE20" s="3"/>
      <c r="BF20" s="3"/>
      <c r="BG20" s="6"/>
      <c r="BH20" s="27"/>
      <c r="BI20" s="16"/>
      <c r="BJ20" s="3"/>
      <c r="BK20" s="3"/>
      <c r="BL20" s="6"/>
      <c r="BM20" s="27"/>
      <c r="BN20" s="16"/>
      <c r="BO20" s="3"/>
      <c r="BP20" s="3"/>
      <c r="BQ20" s="6"/>
      <c r="BR20" s="27"/>
      <c r="BS20" s="16"/>
      <c r="BT20" s="3"/>
      <c r="BU20" s="3"/>
      <c r="BV20" s="6"/>
      <c r="BW20" s="27"/>
      <c r="BX20" s="16"/>
      <c r="BY20" s="3"/>
      <c r="BZ20" s="3"/>
      <c r="CA20" s="6"/>
      <c r="CB20" s="27"/>
      <c r="CC20" s="61"/>
      <c r="CD20" s="62"/>
      <c r="CE20" s="62"/>
      <c r="CF20" s="6"/>
      <c r="CG20" s="27"/>
      <c r="CH20" s="61"/>
      <c r="CI20" s="62"/>
      <c r="CJ20" s="62"/>
      <c r="CK20" s="6"/>
      <c r="CL20" s="27"/>
      <c r="CM20" s="61"/>
      <c r="CN20" s="62"/>
      <c r="CO20" s="62"/>
      <c r="CP20" s="6"/>
      <c r="CQ20" s="27"/>
      <c r="CR20" s="61"/>
      <c r="CS20" s="62"/>
      <c r="CT20" s="62"/>
      <c r="CU20" s="6"/>
      <c r="CV20" s="27"/>
    </row>
    <row r="21" spans="1:100" s="2" customFormat="1" ht="15" customHeight="1" thickBot="1" x14ac:dyDescent="0.25">
      <c r="A21" s="37" t="s">
        <v>5</v>
      </c>
      <c r="B21" s="20">
        <f>B15+B19</f>
        <v>2888.3240000000001</v>
      </c>
      <c r="C21" s="21">
        <f t="shared" ref="C21:D21" si="131">C15+C19</f>
        <v>522.91100000000006</v>
      </c>
      <c r="D21" s="21">
        <f t="shared" si="131"/>
        <v>3318.002</v>
      </c>
      <c r="E21" s="22">
        <f t="shared" si="19"/>
        <v>100</v>
      </c>
      <c r="F21" s="20">
        <f>F15+F19</f>
        <v>3021.3020000000001</v>
      </c>
      <c r="G21" s="21">
        <f t="shared" ref="G21:H21" si="132">G15+G19</f>
        <v>640.13099999999997</v>
      </c>
      <c r="H21" s="21">
        <f t="shared" si="132"/>
        <v>3568.2</v>
      </c>
      <c r="I21" s="31">
        <f t="shared" si="21"/>
        <v>100</v>
      </c>
      <c r="J21" s="32">
        <f>100*(H21-D21)/D21</f>
        <v>7.5406223383831561</v>
      </c>
      <c r="K21" s="20">
        <f>K15+K19</f>
        <v>3186.91</v>
      </c>
      <c r="L21" s="21">
        <f t="shared" ref="L21:M21" si="133">L15+L19</f>
        <v>606.54200000000003</v>
      </c>
      <c r="M21" s="21">
        <f t="shared" si="133"/>
        <v>3793.4519999999998</v>
      </c>
      <c r="N21" s="31">
        <f t="shared" si="23"/>
        <v>100</v>
      </c>
      <c r="O21" s="32">
        <f t="shared" si="24"/>
        <v>6.3127627375147126</v>
      </c>
      <c r="P21" s="20">
        <f>P15+P19</f>
        <v>3594.7910000000002</v>
      </c>
      <c r="Q21" s="21">
        <f t="shared" ref="Q21:R21" si="134">Q15+Q19</f>
        <v>597.93400000000008</v>
      </c>
      <c r="R21" s="21">
        <f t="shared" si="134"/>
        <v>4192.7250000000004</v>
      </c>
      <c r="S21" s="31">
        <f t="shared" si="26"/>
        <v>100</v>
      </c>
      <c r="T21" s="32">
        <f t="shared" si="27"/>
        <v>10.52532100050299</v>
      </c>
      <c r="U21" s="20">
        <f>U15+U19</f>
        <v>3451.4350000000004</v>
      </c>
      <c r="V21" s="21">
        <f t="shared" ref="V21:W21" si="135">V15+V19</f>
        <v>672.22299999999996</v>
      </c>
      <c r="W21" s="21">
        <f t="shared" si="135"/>
        <v>4123.6579999999994</v>
      </c>
      <c r="X21" s="31">
        <f t="shared" si="29"/>
        <v>100</v>
      </c>
      <c r="Y21" s="32">
        <f t="shared" si="30"/>
        <v>-1.6473057498405193</v>
      </c>
      <c r="Z21" s="20">
        <f>Z15+Z19</f>
        <v>3784.0990000000002</v>
      </c>
      <c r="AA21" s="21">
        <f t="shared" ref="AA21:AB21" si="136">AA15+AA19</f>
        <v>1969.4859999999999</v>
      </c>
      <c r="AB21" s="21">
        <f t="shared" si="136"/>
        <v>5753.5849999999991</v>
      </c>
      <c r="AC21" s="31">
        <f t="shared" si="32"/>
        <v>100</v>
      </c>
      <c r="AD21" s="32">
        <f t="shared" si="33"/>
        <v>39.526241021927611</v>
      </c>
      <c r="AE21" s="20">
        <f>AE15+AE19</f>
        <v>3637.19</v>
      </c>
      <c r="AF21" s="21">
        <f t="shared" ref="AF21:AG21" si="137">AF15+AF19</f>
        <v>737.73799999999994</v>
      </c>
      <c r="AG21" s="21">
        <f t="shared" si="137"/>
        <v>4374.9279999999999</v>
      </c>
      <c r="AH21" s="31">
        <f t="shared" si="35"/>
        <v>100</v>
      </c>
      <c r="AI21" s="32">
        <f t="shared" si="36"/>
        <v>-23.961703876800282</v>
      </c>
      <c r="AJ21" s="20">
        <f>AJ15+AJ19</f>
        <v>3820.7139999999999</v>
      </c>
      <c r="AK21" s="21">
        <f t="shared" ref="AK21:AL21" si="138">AK15+AK19</f>
        <v>818.81200000000001</v>
      </c>
      <c r="AL21" s="21">
        <f t="shared" si="138"/>
        <v>4639.5260000000007</v>
      </c>
      <c r="AM21" s="31">
        <f t="shared" si="38"/>
        <v>100</v>
      </c>
      <c r="AN21" s="32">
        <f t="shared" si="39"/>
        <v>6.0480538194000193</v>
      </c>
      <c r="AO21" s="20">
        <f>AO15+AO19</f>
        <v>3896.308</v>
      </c>
      <c r="AP21" s="21">
        <f t="shared" ref="AP21:AQ21" si="139">AP15+AP19</f>
        <v>812.03</v>
      </c>
      <c r="AQ21" s="21">
        <f t="shared" si="139"/>
        <v>4708.3380000000006</v>
      </c>
      <c r="AR21" s="31">
        <f t="shared" si="41"/>
        <v>100</v>
      </c>
      <c r="AS21" s="32">
        <f t="shared" si="42"/>
        <v>1.483168754739167</v>
      </c>
      <c r="AT21" s="20">
        <f>AT15+AT19</f>
        <v>6826.9539999999997</v>
      </c>
      <c r="AU21" s="21">
        <f t="shared" ref="AU21:AV21" si="140">AU15+AU19</f>
        <v>826.51600000000008</v>
      </c>
      <c r="AV21" s="21">
        <f t="shared" si="140"/>
        <v>7653.47</v>
      </c>
      <c r="AW21" s="31">
        <f t="shared" ref="AW21" si="141">100*AV21/AV$21</f>
        <v>100</v>
      </c>
      <c r="AX21" s="32">
        <f t="shared" ref="AX21" si="142">100*(AV21-AQ21)/AQ21</f>
        <v>62.551414108332899</v>
      </c>
      <c r="AY21" s="20">
        <f>AY15+AY19</f>
        <v>3637.1890000000003</v>
      </c>
      <c r="AZ21" s="21">
        <f t="shared" ref="AZ21:BA21" si="143">AZ15+AZ19</f>
        <v>795.11799999999994</v>
      </c>
      <c r="BA21" s="21">
        <f t="shared" si="143"/>
        <v>4432.3070000000007</v>
      </c>
      <c r="BB21" s="31">
        <f t="shared" ref="BB21" si="144">100*BA21/BA$21</f>
        <v>100</v>
      </c>
      <c r="BC21" s="32">
        <f t="shared" ref="BC21" si="145">100*(BA21-AV21)/AV21</f>
        <v>-42.087615160182231</v>
      </c>
      <c r="BD21" s="20">
        <f>BD15+BD19</f>
        <v>3483.5649999999996</v>
      </c>
      <c r="BE21" s="21">
        <f t="shared" ref="BE21:BF21" si="146">BE15+BE19</f>
        <v>864.88300000000004</v>
      </c>
      <c r="BF21" s="21">
        <f t="shared" si="146"/>
        <v>4348.4480000000003</v>
      </c>
      <c r="BG21" s="31">
        <f t="shared" ref="BG21" si="147">100*BF21/BF$21</f>
        <v>100</v>
      </c>
      <c r="BH21" s="32">
        <f t="shared" ref="BH21" si="148">100*(BF21-BA21)/BA21</f>
        <v>-1.8919943947926072</v>
      </c>
      <c r="BI21" s="20">
        <f>BI15+BI19</f>
        <v>3501.9689999999973</v>
      </c>
      <c r="BJ21" s="21">
        <f t="shared" ref="BJ21:BK21" si="149">BJ15+BJ19</f>
        <v>1016.753</v>
      </c>
      <c r="BK21" s="21">
        <f t="shared" si="149"/>
        <v>4518.721999999997</v>
      </c>
      <c r="BL21" s="31">
        <f t="shared" ref="BL21" si="150">100*BK21/BK$21</f>
        <v>100</v>
      </c>
      <c r="BM21" s="32">
        <f t="shared" ref="BM21" si="151">100*(BK21-BF21)/BF21</f>
        <v>3.9157418922796521</v>
      </c>
      <c r="BN21" s="20">
        <f>BN15+BN19</f>
        <v>3657.8339999999998</v>
      </c>
      <c r="BO21" s="21">
        <f t="shared" ref="BO21:BP21" si="152">BO15+BO19</f>
        <v>1181.317</v>
      </c>
      <c r="BP21" s="21">
        <f t="shared" si="152"/>
        <v>4839.1510000000007</v>
      </c>
      <c r="BQ21" s="31">
        <f t="shared" ref="BQ21" si="153">100*BP21/BP$21</f>
        <v>100</v>
      </c>
      <c r="BR21" s="32">
        <f t="shared" ref="BR21" si="154">100*(BP21-BK21)/BK21</f>
        <v>7.091142141517091</v>
      </c>
      <c r="BS21" s="20">
        <f>BS15+BS19</f>
        <v>4061.5709999999999</v>
      </c>
      <c r="BT21" s="21">
        <f t="shared" ref="BT21:BU21" si="155">BT15+BT19</f>
        <v>1352.692</v>
      </c>
      <c r="BU21" s="21">
        <f t="shared" si="155"/>
        <v>5414.2629999999999</v>
      </c>
      <c r="BV21" s="31">
        <f t="shared" ref="BV21" si="156">100*BU21/BU$21</f>
        <v>100.00000000000001</v>
      </c>
      <c r="BW21" s="32">
        <f t="shared" ref="BW21" si="157">100*(BU21-BP21)/BP21</f>
        <v>11.884564048528329</v>
      </c>
      <c r="BX21" s="20">
        <f>BX15+BX19</f>
        <v>4332.7550000000001</v>
      </c>
      <c r="BY21" s="21">
        <f t="shared" ref="BY21:BZ21" si="158">BY15+BY19</f>
        <v>1450.2380000000001</v>
      </c>
      <c r="BZ21" s="21">
        <f t="shared" si="158"/>
        <v>5782.9929999999986</v>
      </c>
      <c r="CA21" s="31">
        <f t="shared" ref="CA21" si="159">100*BZ21/BZ$21</f>
        <v>99.999999999999986</v>
      </c>
      <c r="CB21" s="32">
        <f t="shared" ref="CB21" si="160">100*(BZ21-BU21)/BU21</f>
        <v>6.8103451937964357</v>
      </c>
      <c r="CC21" s="67">
        <f>CC15+CC19</f>
        <v>3959.7928495200008</v>
      </c>
      <c r="CD21" s="68">
        <f t="shared" ref="CD21:CE21" si="161">CD15+CD19</f>
        <v>1369.7521823999998</v>
      </c>
      <c r="CE21" s="68">
        <f t="shared" si="161"/>
        <v>5329.5450319199999</v>
      </c>
      <c r="CF21" s="31">
        <f t="shared" ref="CF21" si="162">100*CE21/CE$21</f>
        <v>100</v>
      </c>
      <c r="CG21" s="32">
        <f t="shared" ref="CG21" si="163">100*(CE21-BZ21)/BZ21</f>
        <v>-7.8410602966318441</v>
      </c>
      <c r="CH21" s="67">
        <f>CH15+CH19</f>
        <v>4233.2617133700005</v>
      </c>
      <c r="CI21" s="68">
        <f t="shared" ref="CI21:CJ21" si="164">CI15+CI19</f>
        <v>1687.3710391300003</v>
      </c>
      <c r="CJ21" s="68">
        <f t="shared" si="164"/>
        <v>5920.6327524999997</v>
      </c>
      <c r="CK21" s="31">
        <f t="shared" ref="CK21" si="165">100*CJ21/CJ$21</f>
        <v>100</v>
      </c>
      <c r="CL21" s="32">
        <f t="shared" ref="CL21" si="166">100*(CJ21-CE21)/CE21</f>
        <v>11.090772608915492</v>
      </c>
      <c r="CM21" s="67">
        <f>CM15+CM19</f>
        <v>4410.9276649699996</v>
      </c>
      <c r="CN21" s="68">
        <f t="shared" ref="CN21:CO21" si="167">CN15+CN19</f>
        <v>319.07448513999998</v>
      </c>
      <c r="CO21" s="68">
        <f t="shared" si="167"/>
        <v>4730.00215011</v>
      </c>
      <c r="CP21" s="31">
        <f t="shared" ref="CP21" si="168">100*CO21/CO$21</f>
        <v>100</v>
      </c>
      <c r="CQ21" s="32">
        <f t="shared" ref="CQ21" si="169">100*(CO21-CJ21)/CJ21</f>
        <v>-20.109853999764695</v>
      </c>
      <c r="CR21" s="67">
        <f>CR15+CR19</f>
        <v>4478.86238486</v>
      </c>
      <c r="CS21" s="68">
        <f t="shared" ref="CS21:CT21" si="170">CS15+CS19</f>
        <v>297.65335472999999</v>
      </c>
      <c r="CT21" s="68">
        <f t="shared" si="170"/>
        <v>4776.5157395900005</v>
      </c>
      <c r="CU21" s="31">
        <f t="shared" ref="CU21" si="171">100*CT21/CT$21</f>
        <v>100</v>
      </c>
      <c r="CV21" s="32">
        <f t="shared" ref="CV21" si="172">100*(CT21-CO21)/CO21</f>
        <v>0.98337353776718284</v>
      </c>
    </row>
    <row r="24" spans="1:100" x14ac:dyDescent="0.2">
      <c r="A24" s="1" t="s">
        <v>20</v>
      </c>
      <c r="BI24" s="3"/>
    </row>
    <row r="25" spans="1:100" x14ac:dyDescent="0.2">
      <c r="A25" s="1" t="s">
        <v>33</v>
      </c>
      <c r="BJ25" s="3"/>
      <c r="BN25" s="3"/>
      <c r="BO25" s="3"/>
      <c r="BP25" s="3"/>
      <c r="BQ25" s="3"/>
      <c r="BR25" s="3"/>
      <c r="BS25" s="3"/>
      <c r="BT25" s="3"/>
    </row>
    <row r="26" spans="1:100" x14ac:dyDescent="0.2">
      <c r="A26" s="1" t="s">
        <v>17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36e5d61-1ada-438e-901c-5e7398a51c1f}" enabled="0" method="" siteId="{436e5d61-1ada-438e-901c-5e7398a51c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yhteenveto</vt:lpstr>
      <vt:lpstr>perustaulukko kunnat ja kyt</vt:lpstr>
      <vt:lpstr>yhteenveto!Tulostusalue</vt:lpstr>
    </vt:vector>
  </TitlesOfParts>
  <Company>Suomen Kuntaliitto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 Heikki</dc:creator>
  <cp:lastModifiedBy>Mehtonen Mikko</cp:lastModifiedBy>
  <cp:lastPrinted>2017-12-14T11:03:12Z</cp:lastPrinted>
  <dcterms:created xsi:type="dcterms:W3CDTF">2015-01-08T11:49:32Z</dcterms:created>
  <dcterms:modified xsi:type="dcterms:W3CDTF">2025-08-14T11:57:08Z</dcterms:modified>
</cp:coreProperties>
</file>