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ämäTyökirja" defaultThemeVersion="124226"/>
  <mc:AlternateContent xmlns:mc="http://schemas.openxmlformats.org/markup-compatibility/2006">
    <mc:Choice Requires="x15">
      <x15ac:absPath xmlns:x15ac="http://schemas.microsoft.com/office/spreadsheetml/2010/11/ac" url="https://kuntaliittofi-my.sharepoint.com/personal/mikko_mehtonen_kuntaliitto_fi/Documents/LUKUKAUDET/Syys 2023/Sote-Uudistus/"/>
    </mc:Choice>
  </mc:AlternateContent>
  <xr:revisionPtr revIDLastSave="4" documentId="8_{E04E860D-3AE5-4763-A3F0-15220340F6D5}" xr6:coauthVersionLast="47" xr6:coauthVersionMax="47" xr10:uidLastSave="{88C49C16-2735-4664-A095-051D50DB5436}"/>
  <bookViews>
    <workbookView xWindow="-120" yWindow="-120" windowWidth="29040" windowHeight="15720" tabRatio="654" activeTab="2" xr2:uid="{00000000-000D-0000-FFFF-FFFF00000000}"/>
  </bookViews>
  <sheets>
    <sheet name="Info" sheetId="31" r:id="rId1"/>
    <sheet name="Kuviot" sheetId="11" r:id="rId2"/>
    <sheet name="Tuloslaskelma" sheetId="3" r:id="rId3"/>
    <sheet name="Muutosrajoitin (lopullinen)" sheetId="30" r:id="rId4"/>
    <sheet name="Siirtymätasaus (lopullinen)" sheetId="32" r:id="rId5"/>
    <sheet name="Rahoituslaskelma" sheetId="6" state="hidden" r:id="rId6"/>
    <sheet name="Tase" sheetId="5" state="hidden" r:id="rId7"/>
    <sheet name="Taustatiedot" sheetId="29" r:id="rId8"/>
    <sheet name="Painelaskelmat" sheetId="28" state="hidden" r:id="rId9"/>
    <sheet name="Väestötiedot" sheetId="24" state="hidden" r:id="rId10"/>
    <sheet name="Tilitykset" sheetId="26" state="hidden" r:id="rId11"/>
    <sheet name="Tausta1" sheetId="13" state="hidden" r:id="rId12"/>
  </sheets>
  <definedNames>
    <definedName name="_xlnm._FilterDatabase" localSheetId="2" hidden="1">Tuloslaskelma!$A$2:$H$10</definedName>
    <definedName name="alue5">Taustatiedot!$B$18:$EH$330</definedName>
    <definedName name="data">#REF!</definedName>
    <definedName name="kunnat">Taustatiedot!$B$18:$B$312</definedName>
    <definedName name="linkki">Tuloslaskelma!$A$8</definedName>
    <definedName name="painelaskelmat">Tuloslaskelma!$A$91:$A$92</definedName>
    <definedName name="paineprosentit">Painelaskelmat!$A$4:$L$299</definedName>
    <definedName name="pela_kerroin">Taustatiedot!$BQ$9</definedName>
    <definedName name="sote_kerroin">Taustatiedot!$BQ$8</definedName>
    <definedName name="_xlnm.Print_Area" localSheetId="2">Tuloslaskelma!$A$1:$B$59</definedName>
    <definedName name="vero2">Tuloslaskelma!$A$94:$A$95</definedName>
    <definedName name="vero4">Tilitykset!$B$4:$Z$350</definedName>
    <definedName name="väestö">Väestötiedot!$A$5:$B$300</definedName>
    <definedName name="väestö2">Taustatiedot!$B$18:$D$312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22" i="29" l="1"/>
  <c r="DC23" i="29"/>
  <c r="DC24" i="29"/>
  <c r="DC25" i="29"/>
  <c r="DC26" i="29"/>
  <c r="DC20" i="29"/>
  <c r="DC27" i="29"/>
  <c r="DC28" i="29"/>
  <c r="DC29" i="29"/>
  <c r="DC30" i="29"/>
  <c r="DC31" i="29"/>
  <c r="DC32" i="29"/>
  <c r="DC33" i="29"/>
  <c r="DC34" i="29"/>
  <c r="DC35" i="29"/>
  <c r="DC36" i="29"/>
  <c r="DC37" i="29"/>
  <c r="DC38" i="29"/>
  <c r="DC39" i="29"/>
  <c r="DC40" i="29"/>
  <c r="DC41" i="29"/>
  <c r="DC42" i="29"/>
  <c r="DC43" i="29"/>
  <c r="DC44" i="29"/>
  <c r="DC46" i="29"/>
  <c r="DC47" i="29"/>
  <c r="DC294" i="29"/>
  <c r="DC48" i="29"/>
  <c r="DC49" i="29"/>
  <c r="DC50" i="29"/>
  <c r="DC51" i="29"/>
  <c r="DC52" i="29"/>
  <c r="DC53" i="29"/>
  <c r="DC54" i="29"/>
  <c r="DC55" i="29"/>
  <c r="DC45" i="29"/>
  <c r="DC56" i="29"/>
  <c r="DC57" i="29"/>
  <c r="DC58" i="29"/>
  <c r="DC59" i="29"/>
  <c r="DC60" i="29"/>
  <c r="DC61" i="29"/>
  <c r="DC63" i="29"/>
  <c r="DC64" i="29"/>
  <c r="DC65" i="29"/>
  <c r="DC66" i="29"/>
  <c r="DC62" i="29"/>
  <c r="DC67" i="29"/>
  <c r="DC68" i="29"/>
  <c r="DC69" i="29"/>
  <c r="DC70" i="29"/>
  <c r="DC71" i="29"/>
  <c r="DC72" i="29"/>
  <c r="DC73" i="29"/>
  <c r="DC74" i="29"/>
  <c r="DC75" i="29"/>
  <c r="DC76" i="29"/>
  <c r="DC77" i="29"/>
  <c r="DC78" i="29"/>
  <c r="DC79" i="29"/>
  <c r="DC80" i="29"/>
  <c r="DC81" i="29"/>
  <c r="DC82" i="29"/>
  <c r="DC83" i="29"/>
  <c r="DC84" i="29"/>
  <c r="DC85" i="29"/>
  <c r="DC86" i="29"/>
  <c r="DC87" i="29"/>
  <c r="DC88" i="29"/>
  <c r="DC89" i="29"/>
  <c r="DC90" i="29"/>
  <c r="DC91" i="29"/>
  <c r="DC92" i="29"/>
  <c r="DC93" i="29"/>
  <c r="DC94" i="29"/>
  <c r="DC95" i="29"/>
  <c r="DC96" i="29"/>
  <c r="DC97" i="29"/>
  <c r="DC98" i="29"/>
  <c r="DC100" i="29"/>
  <c r="DC102" i="29"/>
  <c r="DC103" i="29"/>
  <c r="DC104" i="29"/>
  <c r="DC105" i="29"/>
  <c r="DC106" i="29"/>
  <c r="DC107" i="29"/>
  <c r="DC108" i="29"/>
  <c r="DC109" i="29"/>
  <c r="DC110" i="29"/>
  <c r="DC111" i="29"/>
  <c r="DC112" i="29"/>
  <c r="DC113" i="29"/>
  <c r="DC114" i="29"/>
  <c r="DC115" i="29"/>
  <c r="DC116" i="29"/>
  <c r="DC117" i="29"/>
  <c r="DC118" i="29"/>
  <c r="DC119" i="29"/>
  <c r="DC120" i="29"/>
  <c r="DC121" i="29"/>
  <c r="DC122" i="29"/>
  <c r="DC123" i="29"/>
  <c r="DC124" i="29"/>
  <c r="DC125" i="29"/>
  <c r="DC126" i="29"/>
  <c r="DC127" i="29"/>
  <c r="DC128" i="29"/>
  <c r="DC129" i="29"/>
  <c r="DC188" i="29"/>
  <c r="DC130" i="29"/>
  <c r="DC131" i="29"/>
  <c r="DC132" i="29"/>
  <c r="DC99" i="29"/>
  <c r="DC101" i="29"/>
  <c r="DC133" i="29"/>
  <c r="DC134" i="29"/>
  <c r="DC135" i="29"/>
  <c r="DC137" i="29"/>
  <c r="DC138" i="29"/>
  <c r="DC139" i="29"/>
  <c r="DC136" i="29"/>
  <c r="DC140" i="29"/>
  <c r="DC141" i="29"/>
  <c r="DC142" i="29"/>
  <c r="DC143" i="29"/>
  <c r="DC144" i="29"/>
  <c r="DC145" i="29"/>
  <c r="DC146" i="29"/>
  <c r="DC147" i="29"/>
  <c r="DC148" i="29"/>
  <c r="DC149" i="29"/>
  <c r="DC151" i="29"/>
  <c r="DC152" i="29"/>
  <c r="DC153" i="29"/>
  <c r="DC154" i="29"/>
  <c r="DC155" i="29"/>
  <c r="DC156" i="29"/>
  <c r="DC157" i="29"/>
  <c r="DC150" i="29"/>
  <c r="DC192" i="29"/>
  <c r="DC158" i="29"/>
  <c r="DC159" i="29"/>
  <c r="DC160" i="29"/>
  <c r="DC161" i="29"/>
  <c r="DC162" i="29"/>
  <c r="DC163" i="29"/>
  <c r="DC164" i="29"/>
  <c r="DC165" i="29"/>
  <c r="DC166" i="29"/>
  <c r="DC167" i="29"/>
  <c r="DC168" i="29"/>
  <c r="DC169" i="29"/>
  <c r="DC170" i="29"/>
  <c r="DC171" i="29"/>
  <c r="DC172" i="29"/>
  <c r="DC174" i="29"/>
  <c r="DC173" i="29"/>
  <c r="DC175" i="29"/>
  <c r="DC176" i="29"/>
  <c r="DC177" i="29"/>
  <c r="DC178" i="29"/>
  <c r="DC179" i="29"/>
  <c r="DC180" i="29"/>
  <c r="DC181" i="29"/>
  <c r="DC182" i="29"/>
  <c r="DC183" i="29"/>
  <c r="DC184" i="29"/>
  <c r="DC185" i="29"/>
  <c r="DC186" i="29"/>
  <c r="DC187" i="29"/>
  <c r="DC189" i="29"/>
  <c r="DC190" i="29"/>
  <c r="DC191" i="29"/>
  <c r="DC193" i="29"/>
  <c r="DC194" i="29"/>
  <c r="DC196" i="29"/>
  <c r="DC198" i="29"/>
  <c r="DC199" i="29"/>
  <c r="DC200" i="29"/>
  <c r="DC201" i="29"/>
  <c r="DC202" i="29"/>
  <c r="DC203" i="29"/>
  <c r="DC195" i="29"/>
  <c r="DC204" i="29"/>
  <c r="DC205" i="29"/>
  <c r="DC206" i="29"/>
  <c r="DC207" i="29"/>
  <c r="DC208" i="29"/>
  <c r="DC209" i="29"/>
  <c r="DC211" i="29"/>
  <c r="DC212" i="29"/>
  <c r="DC213" i="29"/>
  <c r="DC214" i="29"/>
  <c r="DC215" i="29"/>
  <c r="DC216" i="29"/>
  <c r="DC217" i="29"/>
  <c r="DC218" i="29"/>
  <c r="DC219" i="29"/>
  <c r="DC220" i="29"/>
  <c r="DC221" i="29"/>
  <c r="DC222" i="29"/>
  <c r="DC223" i="29"/>
  <c r="DC210" i="29"/>
  <c r="DC224" i="29"/>
  <c r="DC226" i="29"/>
  <c r="DC227" i="29"/>
  <c r="DC228" i="29"/>
  <c r="DC229" i="29"/>
  <c r="DC230" i="29"/>
  <c r="DC231" i="29"/>
  <c r="DC232" i="29"/>
  <c r="DC233" i="29"/>
  <c r="DC234" i="29"/>
  <c r="DC235" i="29"/>
  <c r="DC236" i="29"/>
  <c r="DC237" i="29"/>
  <c r="DC238" i="29"/>
  <c r="DC239" i="29"/>
  <c r="DC240" i="29"/>
  <c r="DC225" i="29"/>
  <c r="DC241" i="29"/>
  <c r="DC242" i="29"/>
  <c r="DC243" i="29"/>
  <c r="DC245" i="29"/>
  <c r="DC246" i="29"/>
  <c r="DC247" i="29"/>
  <c r="DC248" i="29"/>
  <c r="DC249" i="29"/>
  <c r="DC250" i="29"/>
  <c r="DC251" i="29"/>
  <c r="DC252" i="29"/>
  <c r="DC254" i="29"/>
  <c r="DC255" i="29"/>
  <c r="DC256" i="29"/>
  <c r="DC257" i="29"/>
  <c r="DC258" i="29"/>
  <c r="DC259" i="29"/>
  <c r="DC260" i="29"/>
  <c r="DC261" i="29"/>
  <c r="DC262" i="29"/>
  <c r="DC263" i="29"/>
  <c r="DC264" i="29"/>
  <c r="DC265" i="29"/>
  <c r="DC266" i="29"/>
  <c r="DC267" i="29"/>
  <c r="DC291" i="29"/>
  <c r="DC244" i="29"/>
  <c r="DC253" i="29"/>
  <c r="DC268" i="29"/>
  <c r="DC269" i="29"/>
  <c r="DC270" i="29"/>
  <c r="DC271" i="29"/>
  <c r="DC272" i="29"/>
  <c r="DC273" i="29"/>
  <c r="DC274" i="29"/>
  <c r="DC275" i="29"/>
  <c r="DC276" i="29"/>
  <c r="DC277" i="29"/>
  <c r="DC278" i="29"/>
  <c r="DC279" i="29"/>
  <c r="DC280" i="29"/>
  <c r="DC197" i="29"/>
  <c r="DC281" i="29"/>
  <c r="DC282" i="29"/>
  <c r="DC283" i="29"/>
  <c r="DC284" i="29"/>
  <c r="DC285" i="29"/>
  <c r="DC286" i="29"/>
  <c r="DC287" i="29"/>
  <c r="DC288" i="29"/>
  <c r="DC289" i="29"/>
  <c r="DC290" i="29"/>
  <c r="DC292" i="29"/>
  <c r="DC293" i="29"/>
  <c r="DC295" i="29"/>
  <c r="DC296" i="29"/>
  <c r="DC297" i="29"/>
  <c r="DC298" i="29"/>
  <c r="DC299" i="29"/>
  <c r="DC300" i="29"/>
  <c r="DC301" i="29"/>
  <c r="DC302" i="29"/>
  <c r="DC303" i="29"/>
  <c r="DC304" i="29"/>
  <c r="DC305" i="29"/>
  <c r="DC306" i="29"/>
  <c r="DC307" i="29"/>
  <c r="DC308" i="29"/>
  <c r="DC309" i="29"/>
  <c r="DC310" i="29"/>
  <c r="DC311" i="29"/>
  <c r="DC312" i="29"/>
  <c r="DC21" i="29"/>
  <c r="B15" i="3" l="1"/>
  <c r="B16" i="3"/>
  <c r="F16" i="3" l="1"/>
  <c r="F15" i="3"/>
  <c r="C10" i="3" l="1"/>
  <c r="H62" i="3"/>
  <c r="G62" i="3"/>
  <c r="F62" i="3"/>
  <c r="E62" i="3"/>
  <c r="B62" i="3"/>
  <c r="B38" i="3"/>
  <c r="B30" i="3"/>
  <c r="C11" i="3"/>
  <c r="B11" i="3"/>
  <c r="B10" i="3"/>
  <c r="C22" i="3"/>
  <c r="P11" i="30" s="1"/>
  <c r="H21" i="3"/>
  <c r="G21" i="3"/>
  <c r="F21" i="3"/>
  <c r="E21" i="3"/>
  <c r="D21" i="3"/>
  <c r="D38" i="3"/>
  <c r="D34" i="3"/>
  <c r="D33" i="3"/>
  <c r="B32" i="3"/>
  <c r="D32" i="3"/>
  <c r="D31" i="3"/>
  <c r="D30" i="3"/>
  <c r="D27" i="3"/>
  <c r="D26" i="3"/>
  <c r="D25" i="3"/>
  <c r="B31" i="3"/>
  <c r="E31" i="3"/>
  <c r="E30" i="3"/>
  <c r="B27" i="3"/>
  <c r="E27" i="3" s="1"/>
  <c r="P22" i="29"/>
  <c r="P18" i="29" s="1"/>
  <c r="P23" i="29"/>
  <c r="P24" i="29"/>
  <c r="P25" i="29"/>
  <c r="P26" i="29"/>
  <c r="P20" i="29"/>
  <c r="P27" i="29"/>
  <c r="P28" i="29"/>
  <c r="P29" i="29"/>
  <c r="P30" i="29"/>
  <c r="P31" i="29"/>
  <c r="P32" i="29"/>
  <c r="P33" i="29"/>
  <c r="P34" i="29"/>
  <c r="P35" i="29"/>
  <c r="P36" i="29"/>
  <c r="P37" i="29"/>
  <c r="P38" i="29"/>
  <c r="P39" i="29"/>
  <c r="P40" i="29"/>
  <c r="P41" i="29"/>
  <c r="P42" i="29"/>
  <c r="P43" i="29"/>
  <c r="P44" i="29"/>
  <c r="P46" i="29"/>
  <c r="P47" i="29"/>
  <c r="P294" i="29"/>
  <c r="P48" i="29"/>
  <c r="P49" i="29"/>
  <c r="P50" i="29"/>
  <c r="P51" i="29"/>
  <c r="P52" i="29"/>
  <c r="P53" i="29"/>
  <c r="P54" i="29"/>
  <c r="P55" i="29"/>
  <c r="P45" i="29"/>
  <c r="P56" i="29"/>
  <c r="P57" i="29"/>
  <c r="P58" i="29"/>
  <c r="P59" i="29"/>
  <c r="P60" i="29"/>
  <c r="P61" i="29"/>
  <c r="P63" i="29"/>
  <c r="P64" i="29"/>
  <c r="P65" i="29"/>
  <c r="P66" i="29"/>
  <c r="P62" i="29"/>
  <c r="P67" i="29"/>
  <c r="P68" i="29"/>
  <c r="P69" i="29"/>
  <c r="P70" i="29"/>
  <c r="P71" i="29"/>
  <c r="P72" i="29"/>
  <c r="P73" i="29"/>
  <c r="P74" i="29"/>
  <c r="P75" i="29"/>
  <c r="P76" i="29"/>
  <c r="P77" i="29"/>
  <c r="P78" i="29"/>
  <c r="P79" i="29"/>
  <c r="P80" i="29"/>
  <c r="P81" i="29"/>
  <c r="P82" i="29"/>
  <c r="P83" i="29"/>
  <c r="P84" i="29"/>
  <c r="P85" i="29"/>
  <c r="P86" i="29"/>
  <c r="P87" i="29"/>
  <c r="P88" i="29"/>
  <c r="P89" i="29"/>
  <c r="P90" i="29"/>
  <c r="P91" i="29"/>
  <c r="P92" i="29"/>
  <c r="P93" i="29"/>
  <c r="P94" i="29"/>
  <c r="P95" i="29"/>
  <c r="P96" i="29"/>
  <c r="P97" i="29"/>
  <c r="P98" i="29"/>
  <c r="P100" i="29"/>
  <c r="P102" i="29"/>
  <c r="P103" i="29"/>
  <c r="P104" i="29"/>
  <c r="P105" i="29"/>
  <c r="P106" i="29"/>
  <c r="P107" i="29"/>
  <c r="P108" i="29"/>
  <c r="P109" i="29"/>
  <c r="P110" i="29"/>
  <c r="P111" i="29"/>
  <c r="P112" i="29"/>
  <c r="P113" i="29"/>
  <c r="P114" i="29"/>
  <c r="P115" i="29"/>
  <c r="P116" i="29"/>
  <c r="P117" i="29"/>
  <c r="P118" i="29"/>
  <c r="P119" i="29"/>
  <c r="P120" i="29"/>
  <c r="P121" i="29"/>
  <c r="P122" i="29"/>
  <c r="P123" i="29"/>
  <c r="P124" i="29"/>
  <c r="P125" i="29"/>
  <c r="P126" i="29"/>
  <c r="P127" i="29"/>
  <c r="P128" i="29"/>
  <c r="P129" i="29"/>
  <c r="P188" i="29"/>
  <c r="P130" i="29"/>
  <c r="P131" i="29"/>
  <c r="P132" i="29"/>
  <c r="P99" i="29"/>
  <c r="P101" i="29"/>
  <c r="P133" i="29"/>
  <c r="P134" i="29"/>
  <c r="P135" i="29"/>
  <c r="P137" i="29"/>
  <c r="P138" i="29"/>
  <c r="P139" i="29"/>
  <c r="P136" i="29"/>
  <c r="P140" i="29"/>
  <c r="P141" i="29"/>
  <c r="P142" i="29"/>
  <c r="P143" i="29"/>
  <c r="P144" i="29"/>
  <c r="P145" i="29"/>
  <c r="P146" i="29"/>
  <c r="P147" i="29"/>
  <c r="P148" i="29"/>
  <c r="P149" i="29"/>
  <c r="P151" i="29"/>
  <c r="P152" i="29"/>
  <c r="P153" i="29"/>
  <c r="P154" i="29"/>
  <c r="P155" i="29"/>
  <c r="P156" i="29"/>
  <c r="P157" i="29"/>
  <c r="P150" i="29"/>
  <c r="P192" i="29"/>
  <c r="P158" i="29"/>
  <c r="P159" i="29"/>
  <c r="P160" i="29"/>
  <c r="P161" i="29"/>
  <c r="P162" i="29"/>
  <c r="P163" i="29"/>
  <c r="P164" i="29"/>
  <c r="P165" i="29"/>
  <c r="P166" i="29"/>
  <c r="P167" i="29"/>
  <c r="P168" i="29"/>
  <c r="P169" i="29"/>
  <c r="P170" i="29"/>
  <c r="P171" i="29"/>
  <c r="P172" i="29"/>
  <c r="P174" i="29"/>
  <c r="P173" i="29"/>
  <c r="P175" i="29"/>
  <c r="P176" i="29"/>
  <c r="P177" i="29"/>
  <c r="P178" i="29"/>
  <c r="P179" i="29"/>
  <c r="P180" i="29"/>
  <c r="P181" i="29"/>
  <c r="P182" i="29"/>
  <c r="P183" i="29"/>
  <c r="P184" i="29"/>
  <c r="P185" i="29"/>
  <c r="P186" i="29"/>
  <c r="P187" i="29"/>
  <c r="P189" i="29"/>
  <c r="P190" i="29"/>
  <c r="P191" i="29"/>
  <c r="P193" i="29"/>
  <c r="P194" i="29"/>
  <c r="P196" i="29"/>
  <c r="P198" i="29"/>
  <c r="P199" i="29"/>
  <c r="P200" i="29"/>
  <c r="P201" i="29"/>
  <c r="P202" i="29"/>
  <c r="P203" i="29"/>
  <c r="P195" i="29"/>
  <c r="P204" i="29"/>
  <c r="P205" i="29"/>
  <c r="P206" i="29"/>
  <c r="P207" i="29"/>
  <c r="P208" i="29"/>
  <c r="P209" i="29"/>
  <c r="P211" i="29"/>
  <c r="P212" i="29"/>
  <c r="P213" i="29"/>
  <c r="P214" i="29"/>
  <c r="P215" i="29"/>
  <c r="P216" i="29"/>
  <c r="P217" i="29"/>
  <c r="P218" i="29"/>
  <c r="P219" i="29"/>
  <c r="P220" i="29"/>
  <c r="P221" i="29"/>
  <c r="P222" i="29"/>
  <c r="P223" i="29"/>
  <c r="P210" i="29"/>
  <c r="P224" i="29"/>
  <c r="P226" i="29"/>
  <c r="P227" i="29"/>
  <c r="P228" i="29"/>
  <c r="P229" i="29"/>
  <c r="P230" i="29"/>
  <c r="P231" i="29"/>
  <c r="P232" i="29"/>
  <c r="P233" i="29"/>
  <c r="P234" i="29"/>
  <c r="P235" i="29"/>
  <c r="P236" i="29"/>
  <c r="P237" i="29"/>
  <c r="P238" i="29"/>
  <c r="P239" i="29"/>
  <c r="P240" i="29"/>
  <c r="P225" i="29"/>
  <c r="P241" i="29"/>
  <c r="P242" i="29"/>
  <c r="P243" i="29"/>
  <c r="P245" i="29"/>
  <c r="P246" i="29"/>
  <c r="P247" i="29"/>
  <c r="P248" i="29"/>
  <c r="P249" i="29"/>
  <c r="P250" i="29"/>
  <c r="P251" i="29"/>
  <c r="P252" i="29"/>
  <c r="P254" i="29"/>
  <c r="P255" i="29"/>
  <c r="P256" i="29"/>
  <c r="P257" i="29"/>
  <c r="P258" i="29"/>
  <c r="P259" i="29"/>
  <c r="P260" i="29"/>
  <c r="P261" i="29"/>
  <c r="P262" i="29"/>
  <c r="P263" i="29"/>
  <c r="P264" i="29"/>
  <c r="P265" i="29"/>
  <c r="P266" i="29"/>
  <c r="P267" i="29"/>
  <c r="P291" i="29"/>
  <c r="P244" i="29"/>
  <c r="P253" i="29"/>
  <c r="P268" i="29"/>
  <c r="P269" i="29"/>
  <c r="P270" i="29"/>
  <c r="P271" i="29"/>
  <c r="P272" i="29"/>
  <c r="P273" i="29"/>
  <c r="P274" i="29"/>
  <c r="P275" i="29"/>
  <c r="P276" i="29"/>
  <c r="P277" i="29"/>
  <c r="P278" i="29"/>
  <c r="P279" i="29"/>
  <c r="P280" i="29"/>
  <c r="P197" i="29"/>
  <c r="P281" i="29"/>
  <c r="P282" i="29"/>
  <c r="P283" i="29"/>
  <c r="P284" i="29"/>
  <c r="P285" i="29"/>
  <c r="P286" i="29"/>
  <c r="P287" i="29"/>
  <c r="P288" i="29"/>
  <c r="P289" i="29"/>
  <c r="P290" i="29"/>
  <c r="P292" i="29"/>
  <c r="P293" i="29"/>
  <c r="P295" i="29"/>
  <c r="P296" i="29"/>
  <c r="P297" i="29"/>
  <c r="P298" i="29"/>
  <c r="P299" i="29"/>
  <c r="P300" i="29"/>
  <c r="P301" i="29"/>
  <c r="P302" i="29"/>
  <c r="P303" i="29"/>
  <c r="P304" i="29"/>
  <c r="P305" i="29"/>
  <c r="P306" i="29"/>
  <c r="P307" i="29"/>
  <c r="P308" i="29"/>
  <c r="P309" i="29"/>
  <c r="P310" i="29"/>
  <c r="P311" i="29"/>
  <c r="P312" i="29"/>
  <c r="P21" i="29"/>
  <c r="H68" i="3" s="1"/>
  <c r="O18" i="29"/>
  <c r="E68" i="3" l="1"/>
  <c r="F68" i="3"/>
  <c r="G68" i="3"/>
  <c r="D24" i="3"/>
  <c r="DX312" i="29" l="1"/>
  <c r="DY312" i="29" s="1"/>
  <c r="DO312" i="29"/>
  <c r="EA312" i="29" s="1"/>
  <c r="EB312" i="29" s="1"/>
  <c r="DX311" i="29"/>
  <c r="DY311" i="29" s="1"/>
  <c r="DO311" i="29"/>
  <c r="EA311" i="29" s="1"/>
  <c r="EB311" i="29" s="1"/>
  <c r="DX310" i="29"/>
  <c r="DY310" i="29" s="1"/>
  <c r="DO310" i="29"/>
  <c r="EA310" i="29" s="1"/>
  <c r="EB310" i="29" s="1"/>
  <c r="DX309" i="29"/>
  <c r="DY309" i="29" s="1"/>
  <c r="DO309" i="29"/>
  <c r="DP309" i="29" s="1"/>
  <c r="DX308" i="29"/>
  <c r="DY308" i="29" s="1"/>
  <c r="DO308" i="29"/>
  <c r="DP308" i="29" s="1"/>
  <c r="DX307" i="29"/>
  <c r="DY307" i="29" s="1"/>
  <c r="DO307" i="29"/>
  <c r="DP307" i="29" s="1"/>
  <c r="DX306" i="29"/>
  <c r="DO306" i="29"/>
  <c r="DP306" i="29" s="1"/>
  <c r="DX305" i="29"/>
  <c r="DY305" i="29" s="1"/>
  <c r="DO305" i="29"/>
  <c r="DP305" i="29" s="1"/>
  <c r="DX304" i="29"/>
  <c r="DY304" i="29" s="1"/>
  <c r="DO304" i="29"/>
  <c r="DP304" i="29" s="1"/>
  <c r="DX303" i="29"/>
  <c r="DY303" i="29" s="1"/>
  <c r="DO303" i="29"/>
  <c r="DP303" i="29" s="1"/>
  <c r="DX302" i="29"/>
  <c r="DY302" i="29" s="1"/>
  <c r="DO302" i="29"/>
  <c r="EA302" i="29" s="1"/>
  <c r="EB302" i="29" s="1"/>
  <c r="DX301" i="29"/>
  <c r="DY301" i="29" s="1"/>
  <c r="DO301" i="29"/>
  <c r="DP301" i="29" s="1"/>
  <c r="DX300" i="29"/>
  <c r="DY300" i="29" s="1"/>
  <c r="DO300" i="29"/>
  <c r="DP300" i="29" s="1"/>
  <c r="DX299" i="29"/>
  <c r="DY299" i="29" s="1"/>
  <c r="DO299" i="29"/>
  <c r="DX298" i="29"/>
  <c r="DY298" i="29" s="1"/>
  <c r="DO298" i="29"/>
  <c r="DX297" i="29"/>
  <c r="DY297" i="29" s="1"/>
  <c r="DO297" i="29"/>
  <c r="DP297" i="29" s="1"/>
  <c r="DX296" i="29"/>
  <c r="DO296" i="29"/>
  <c r="DP296" i="29" s="1"/>
  <c r="DX295" i="29"/>
  <c r="DY295" i="29" s="1"/>
  <c r="DO295" i="29"/>
  <c r="EA295" i="29" s="1"/>
  <c r="EB295" i="29" s="1"/>
  <c r="DX293" i="29"/>
  <c r="DY293" i="29" s="1"/>
  <c r="DO293" i="29"/>
  <c r="DX292" i="29"/>
  <c r="DY292" i="29" s="1"/>
  <c r="DO292" i="29"/>
  <c r="EA292" i="29" s="1"/>
  <c r="EB292" i="29" s="1"/>
  <c r="DX290" i="29"/>
  <c r="DY290" i="29" s="1"/>
  <c r="DO290" i="29"/>
  <c r="DX289" i="29"/>
  <c r="DY289" i="29" s="1"/>
  <c r="DO289" i="29"/>
  <c r="DX288" i="29"/>
  <c r="DY288" i="29" s="1"/>
  <c r="DO288" i="29"/>
  <c r="DP288" i="29" s="1"/>
  <c r="DX287" i="29"/>
  <c r="DY287" i="29" s="1"/>
  <c r="DO287" i="29"/>
  <c r="DP287" i="29" s="1"/>
  <c r="DX286" i="29"/>
  <c r="DY286" i="29" s="1"/>
  <c r="DO286" i="29"/>
  <c r="DP286" i="29" s="1"/>
  <c r="DX285" i="29"/>
  <c r="DY285" i="29" s="1"/>
  <c r="DO285" i="29"/>
  <c r="DX284" i="29"/>
  <c r="DO284" i="29"/>
  <c r="DP284" i="29" s="1"/>
  <c r="DX283" i="29"/>
  <c r="DO283" i="29"/>
  <c r="DP283" i="29" s="1"/>
  <c r="DX282" i="29"/>
  <c r="DY282" i="29" s="1"/>
  <c r="DO282" i="29"/>
  <c r="DP282" i="29" s="1"/>
  <c r="DX281" i="29"/>
  <c r="DO281" i="29"/>
  <c r="DP281" i="29" s="1"/>
  <c r="DX197" i="29"/>
  <c r="DY197" i="29" s="1"/>
  <c r="DO197" i="29"/>
  <c r="EA197" i="29" s="1"/>
  <c r="EB197" i="29" s="1"/>
  <c r="DX280" i="29"/>
  <c r="DY280" i="29" s="1"/>
  <c r="DO280" i="29"/>
  <c r="DP280" i="29" s="1"/>
  <c r="DX279" i="29"/>
  <c r="DY279" i="29" s="1"/>
  <c r="DO279" i="29"/>
  <c r="EA279" i="29" s="1"/>
  <c r="EB279" i="29" s="1"/>
  <c r="DX278" i="29"/>
  <c r="DY278" i="29" s="1"/>
  <c r="DO278" i="29"/>
  <c r="DP278" i="29" s="1"/>
  <c r="DX277" i="29"/>
  <c r="DY277" i="29" s="1"/>
  <c r="DO277" i="29"/>
  <c r="DX276" i="29"/>
  <c r="DY276" i="29" s="1"/>
  <c r="DO276" i="29"/>
  <c r="DX275" i="29"/>
  <c r="DY275" i="29" s="1"/>
  <c r="DO275" i="29"/>
  <c r="DP275" i="29" s="1"/>
  <c r="DX274" i="29"/>
  <c r="DY274" i="29" s="1"/>
  <c r="DO274" i="29"/>
  <c r="DP274" i="29" s="1"/>
  <c r="DX273" i="29"/>
  <c r="DY273" i="29" s="1"/>
  <c r="DO273" i="29"/>
  <c r="DX272" i="29"/>
  <c r="DY272" i="29" s="1"/>
  <c r="DO272" i="29"/>
  <c r="DP272" i="29" s="1"/>
  <c r="DX271" i="29"/>
  <c r="DY271" i="29" s="1"/>
  <c r="DO271" i="29"/>
  <c r="DX270" i="29"/>
  <c r="DY270" i="29" s="1"/>
  <c r="DO270" i="29"/>
  <c r="DP270" i="29" s="1"/>
  <c r="DX269" i="29"/>
  <c r="DY269" i="29" s="1"/>
  <c r="DO269" i="29"/>
  <c r="DX268" i="29"/>
  <c r="DY268" i="29" s="1"/>
  <c r="DO268" i="29"/>
  <c r="DX253" i="29"/>
  <c r="DY253" i="29" s="1"/>
  <c r="DO253" i="29"/>
  <c r="DP253" i="29" s="1"/>
  <c r="DX244" i="29"/>
  <c r="DY244" i="29" s="1"/>
  <c r="DO244" i="29"/>
  <c r="DP244" i="29" s="1"/>
  <c r="DX291" i="29"/>
  <c r="DY291" i="29" s="1"/>
  <c r="DO291" i="29"/>
  <c r="DP291" i="29" s="1"/>
  <c r="DX267" i="29"/>
  <c r="DY267" i="29" s="1"/>
  <c r="DO267" i="29"/>
  <c r="DP267" i="29" s="1"/>
  <c r="DX266" i="29"/>
  <c r="DY266" i="29" s="1"/>
  <c r="DO266" i="29"/>
  <c r="DX265" i="29"/>
  <c r="DY265" i="29" s="1"/>
  <c r="DO265" i="29"/>
  <c r="DP265" i="29" s="1"/>
  <c r="DX264" i="29"/>
  <c r="DY264" i="29" s="1"/>
  <c r="DO264" i="29"/>
  <c r="DX263" i="29"/>
  <c r="DO263" i="29"/>
  <c r="DP263" i="29" s="1"/>
  <c r="DX262" i="29"/>
  <c r="DY262" i="29" s="1"/>
  <c r="DO262" i="29"/>
  <c r="DX261" i="29"/>
  <c r="DY261" i="29" s="1"/>
  <c r="DO261" i="29"/>
  <c r="DP261" i="29" s="1"/>
  <c r="DX260" i="29"/>
  <c r="DY260" i="29" s="1"/>
  <c r="DO260" i="29"/>
  <c r="DP260" i="29" s="1"/>
  <c r="DX259" i="29"/>
  <c r="DO259" i="29"/>
  <c r="DP259" i="29" s="1"/>
  <c r="DX258" i="29"/>
  <c r="DY258" i="29" s="1"/>
  <c r="DO258" i="29"/>
  <c r="DP258" i="29" s="1"/>
  <c r="DX257" i="29"/>
  <c r="DY257" i="29" s="1"/>
  <c r="DO257" i="29"/>
  <c r="DP257" i="29" s="1"/>
  <c r="DX256" i="29"/>
  <c r="DY256" i="29" s="1"/>
  <c r="DO256" i="29"/>
  <c r="DX255" i="29"/>
  <c r="DO255" i="29"/>
  <c r="DP255" i="29" s="1"/>
  <c r="DX254" i="29"/>
  <c r="DY254" i="29" s="1"/>
  <c r="DO254" i="29"/>
  <c r="DP254" i="29" s="1"/>
  <c r="DX252" i="29"/>
  <c r="DY252" i="29" s="1"/>
  <c r="DO252" i="29"/>
  <c r="DX251" i="29"/>
  <c r="DO251" i="29"/>
  <c r="DP251" i="29" s="1"/>
  <c r="DX250" i="29"/>
  <c r="DY250" i="29" s="1"/>
  <c r="DO250" i="29"/>
  <c r="DP250" i="29" s="1"/>
  <c r="DX249" i="29"/>
  <c r="DY249" i="29" s="1"/>
  <c r="DO249" i="29"/>
  <c r="DP249" i="29" s="1"/>
  <c r="DX248" i="29"/>
  <c r="DY248" i="29" s="1"/>
  <c r="DO248" i="29"/>
  <c r="EA248" i="29" s="1"/>
  <c r="EB248" i="29" s="1"/>
  <c r="DX247" i="29"/>
  <c r="DO247" i="29"/>
  <c r="DP247" i="29" s="1"/>
  <c r="DY246" i="29"/>
  <c r="DX246" i="29"/>
  <c r="DO246" i="29"/>
  <c r="DP246" i="29" s="1"/>
  <c r="DX245" i="29"/>
  <c r="DY245" i="29" s="1"/>
  <c r="DO245" i="29"/>
  <c r="DP245" i="29" s="1"/>
  <c r="DX243" i="29"/>
  <c r="DY243" i="29" s="1"/>
  <c r="DO243" i="29"/>
  <c r="EA243" i="29" s="1"/>
  <c r="EB243" i="29" s="1"/>
  <c r="DX242" i="29"/>
  <c r="DY242" i="29" s="1"/>
  <c r="DO242" i="29"/>
  <c r="DP242" i="29" s="1"/>
  <c r="DX241" i="29"/>
  <c r="DY241" i="29" s="1"/>
  <c r="DO241" i="29"/>
  <c r="DP241" i="29" s="1"/>
  <c r="DX225" i="29"/>
  <c r="DY225" i="29" s="1"/>
  <c r="DO225" i="29"/>
  <c r="DP225" i="29" s="1"/>
  <c r="DX240" i="29"/>
  <c r="DY240" i="29" s="1"/>
  <c r="DO240" i="29"/>
  <c r="DX239" i="29"/>
  <c r="DY239" i="29" s="1"/>
  <c r="DO239" i="29"/>
  <c r="DP239" i="29" s="1"/>
  <c r="DX238" i="29"/>
  <c r="DY238" i="29" s="1"/>
  <c r="DO238" i="29"/>
  <c r="DP238" i="29" s="1"/>
  <c r="DX237" i="29"/>
  <c r="DO237" i="29"/>
  <c r="DP237" i="29" s="1"/>
  <c r="DX236" i="29"/>
  <c r="DY236" i="29" s="1"/>
  <c r="DO236" i="29"/>
  <c r="DX235" i="29"/>
  <c r="DY235" i="29" s="1"/>
  <c r="DO235" i="29"/>
  <c r="DP235" i="29" s="1"/>
  <c r="DX234" i="29"/>
  <c r="DY234" i="29" s="1"/>
  <c r="DO234" i="29"/>
  <c r="EA234" i="29" s="1"/>
  <c r="EB234" i="29" s="1"/>
  <c r="DX233" i="29"/>
  <c r="DO233" i="29"/>
  <c r="DP233" i="29" s="1"/>
  <c r="DX232" i="29"/>
  <c r="DY232" i="29" s="1"/>
  <c r="DO232" i="29"/>
  <c r="DX231" i="29"/>
  <c r="DY231" i="29" s="1"/>
  <c r="DO231" i="29"/>
  <c r="EA231" i="29" s="1"/>
  <c r="EB231" i="29" s="1"/>
  <c r="DX230" i="29"/>
  <c r="DY230" i="29" s="1"/>
  <c r="DO230" i="29"/>
  <c r="DX229" i="29"/>
  <c r="DO229" i="29"/>
  <c r="DP229" i="29" s="1"/>
  <c r="DX228" i="29"/>
  <c r="DY228" i="29" s="1"/>
  <c r="DO228" i="29"/>
  <c r="DX227" i="29"/>
  <c r="DY227" i="29" s="1"/>
  <c r="DO227" i="29"/>
  <c r="DP227" i="29" s="1"/>
  <c r="DX226" i="29"/>
  <c r="DY226" i="29" s="1"/>
  <c r="DO226" i="29"/>
  <c r="EA226" i="29" s="1"/>
  <c r="EB226" i="29" s="1"/>
  <c r="DX224" i="29"/>
  <c r="DO224" i="29"/>
  <c r="DP224" i="29" s="1"/>
  <c r="DX210" i="29"/>
  <c r="DY210" i="29" s="1"/>
  <c r="DO210" i="29"/>
  <c r="DX223" i="29"/>
  <c r="DY223" i="29" s="1"/>
  <c r="DO223" i="29"/>
  <c r="DP223" i="29" s="1"/>
  <c r="DX222" i="29"/>
  <c r="DY222" i="29" s="1"/>
  <c r="DO222" i="29"/>
  <c r="DP222" i="29" s="1"/>
  <c r="DX221" i="29"/>
  <c r="DY221" i="29" s="1"/>
  <c r="DO221" i="29"/>
  <c r="DP221" i="29" s="1"/>
  <c r="DX220" i="29"/>
  <c r="DY220" i="29" s="1"/>
  <c r="DO220" i="29"/>
  <c r="DP220" i="29" s="1"/>
  <c r="DX219" i="29"/>
  <c r="DY219" i="29" s="1"/>
  <c r="DO219" i="29"/>
  <c r="DP219" i="29" s="1"/>
  <c r="DX218" i="29"/>
  <c r="DY218" i="29" s="1"/>
  <c r="DO218" i="29"/>
  <c r="DX217" i="29"/>
  <c r="DY217" i="29" s="1"/>
  <c r="DO217" i="29"/>
  <c r="DP217" i="29" s="1"/>
  <c r="DX216" i="29"/>
  <c r="DO216" i="29"/>
  <c r="DP216" i="29" s="1"/>
  <c r="DX215" i="29"/>
  <c r="DY215" i="29" s="1"/>
  <c r="DO215" i="29"/>
  <c r="DP215" i="29" s="1"/>
  <c r="DX214" i="29"/>
  <c r="DY214" i="29" s="1"/>
  <c r="DO214" i="29"/>
  <c r="DX213" i="29"/>
  <c r="DY213" i="29" s="1"/>
  <c r="DO213" i="29"/>
  <c r="DP213" i="29" s="1"/>
  <c r="DX212" i="29"/>
  <c r="DY212" i="29" s="1"/>
  <c r="DO212" i="29"/>
  <c r="DX211" i="29"/>
  <c r="DO211" i="29"/>
  <c r="DP211" i="29" s="1"/>
  <c r="DX209" i="29"/>
  <c r="DY209" i="29" s="1"/>
  <c r="DO209" i="29"/>
  <c r="DP209" i="29" s="1"/>
  <c r="DX208" i="29"/>
  <c r="DY208" i="29" s="1"/>
  <c r="DO208" i="29"/>
  <c r="DP208" i="29" s="1"/>
  <c r="DX207" i="29"/>
  <c r="DY207" i="29" s="1"/>
  <c r="DO207" i="29"/>
  <c r="DP207" i="29" s="1"/>
  <c r="DX206" i="29"/>
  <c r="DY206" i="29" s="1"/>
  <c r="DO206" i="29"/>
  <c r="DP206" i="29" s="1"/>
  <c r="DX205" i="29"/>
  <c r="DY205" i="29" s="1"/>
  <c r="DO205" i="29"/>
  <c r="DX204" i="29"/>
  <c r="DY204" i="29" s="1"/>
  <c r="DO204" i="29"/>
  <c r="DP204" i="29" s="1"/>
  <c r="DX195" i="29"/>
  <c r="DY195" i="29" s="1"/>
  <c r="DO195" i="29"/>
  <c r="EA195" i="29" s="1"/>
  <c r="EB195" i="29" s="1"/>
  <c r="DX203" i="29"/>
  <c r="DY203" i="29" s="1"/>
  <c r="DO203" i="29"/>
  <c r="DP203" i="29" s="1"/>
  <c r="DX202" i="29"/>
  <c r="DY202" i="29" s="1"/>
  <c r="DO202" i="29"/>
  <c r="DP202" i="29" s="1"/>
  <c r="DX201" i="29"/>
  <c r="DY201" i="29" s="1"/>
  <c r="DO201" i="29"/>
  <c r="EA201" i="29" s="1"/>
  <c r="EB201" i="29" s="1"/>
  <c r="DX200" i="29"/>
  <c r="DY200" i="29" s="1"/>
  <c r="DO200" i="29"/>
  <c r="DP200" i="29" s="1"/>
  <c r="DX199" i="29"/>
  <c r="DY199" i="29" s="1"/>
  <c r="DO199" i="29"/>
  <c r="DP199" i="29" s="1"/>
  <c r="DX198" i="29"/>
  <c r="DY198" i="29" s="1"/>
  <c r="DO198" i="29"/>
  <c r="DX196" i="29"/>
  <c r="DY196" i="29" s="1"/>
  <c r="DO196" i="29"/>
  <c r="DX194" i="29"/>
  <c r="DY194" i="29" s="1"/>
  <c r="DO194" i="29"/>
  <c r="DP194" i="29" s="1"/>
  <c r="DX193" i="29"/>
  <c r="DY193" i="29" s="1"/>
  <c r="DO193" i="29"/>
  <c r="EA193" i="29" s="1"/>
  <c r="EB193" i="29" s="1"/>
  <c r="DX191" i="29"/>
  <c r="DY191" i="29" s="1"/>
  <c r="DO191" i="29"/>
  <c r="DP191" i="29" s="1"/>
  <c r="DX190" i="29"/>
  <c r="DY190" i="29" s="1"/>
  <c r="DO190" i="29"/>
  <c r="DP190" i="29" s="1"/>
  <c r="DX189" i="29"/>
  <c r="DY189" i="29" s="1"/>
  <c r="DO189" i="29"/>
  <c r="DP189" i="29" s="1"/>
  <c r="DY187" i="29"/>
  <c r="DX187" i="29"/>
  <c r="DO187" i="29"/>
  <c r="DX186" i="29"/>
  <c r="DY186" i="29" s="1"/>
  <c r="DO186" i="29"/>
  <c r="DP186" i="29" s="1"/>
  <c r="DX185" i="29"/>
  <c r="DY185" i="29" s="1"/>
  <c r="DO185" i="29"/>
  <c r="DX184" i="29"/>
  <c r="DY184" i="29" s="1"/>
  <c r="DO184" i="29"/>
  <c r="DP184" i="29" s="1"/>
  <c r="DX183" i="29"/>
  <c r="DY183" i="29" s="1"/>
  <c r="DO183" i="29"/>
  <c r="DX182" i="29"/>
  <c r="DY182" i="29" s="1"/>
  <c r="DO182" i="29"/>
  <c r="DX181" i="29"/>
  <c r="DY181" i="29" s="1"/>
  <c r="DO181" i="29"/>
  <c r="DP181" i="29" s="1"/>
  <c r="DX180" i="29"/>
  <c r="DY180" i="29" s="1"/>
  <c r="DO180" i="29"/>
  <c r="DP180" i="29" s="1"/>
  <c r="DX179" i="29"/>
  <c r="DO179" i="29"/>
  <c r="DP179" i="29" s="1"/>
  <c r="DX178" i="29"/>
  <c r="DY178" i="29" s="1"/>
  <c r="DO178" i="29"/>
  <c r="DX177" i="29"/>
  <c r="DY177" i="29" s="1"/>
  <c r="DO177" i="29"/>
  <c r="DP177" i="29" s="1"/>
  <c r="DX176" i="29"/>
  <c r="DO176" i="29"/>
  <c r="DP176" i="29" s="1"/>
  <c r="DX175" i="29"/>
  <c r="DY175" i="29" s="1"/>
  <c r="DO175" i="29"/>
  <c r="DP175" i="29" s="1"/>
  <c r="DX173" i="29"/>
  <c r="DY173" i="29" s="1"/>
  <c r="DO173" i="29"/>
  <c r="DP173" i="29" s="1"/>
  <c r="DX174" i="29"/>
  <c r="DY174" i="29" s="1"/>
  <c r="DO174" i="29"/>
  <c r="DP174" i="29" s="1"/>
  <c r="DX172" i="29"/>
  <c r="DY172" i="29" s="1"/>
  <c r="DO172" i="29"/>
  <c r="DX171" i="29"/>
  <c r="DY171" i="29" s="1"/>
  <c r="DO171" i="29"/>
  <c r="DX170" i="29"/>
  <c r="DY170" i="29" s="1"/>
  <c r="DO170" i="29"/>
  <c r="DP170" i="29" s="1"/>
  <c r="DX169" i="29"/>
  <c r="DY169" i="29" s="1"/>
  <c r="DO169" i="29"/>
  <c r="DP169" i="29" s="1"/>
  <c r="DX168" i="29"/>
  <c r="DY168" i="29" s="1"/>
  <c r="DO168" i="29"/>
  <c r="EA168" i="29" s="1"/>
  <c r="EB168" i="29" s="1"/>
  <c r="DX167" i="29"/>
  <c r="DY167" i="29" s="1"/>
  <c r="DO167" i="29"/>
  <c r="DX166" i="29"/>
  <c r="DY166" i="29" s="1"/>
  <c r="DO166" i="29"/>
  <c r="DP166" i="29" s="1"/>
  <c r="DX165" i="29"/>
  <c r="DY165" i="29" s="1"/>
  <c r="DO165" i="29"/>
  <c r="EA165" i="29" s="1"/>
  <c r="EB165" i="29" s="1"/>
  <c r="DX164" i="29"/>
  <c r="DY164" i="29" s="1"/>
  <c r="DO164" i="29"/>
  <c r="DP164" i="29" s="1"/>
  <c r="DX163" i="29"/>
  <c r="DY163" i="29" s="1"/>
  <c r="DO163" i="29"/>
  <c r="DP163" i="29" s="1"/>
  <c r="DX162" i="29"/>
  <c r="EA162" i="29" s="1"/>
  <c r="EB162" i="29" s="1"/>
  <c r="DO162" i="29"/>
  <c r="DP162" i="29" s="1"/>
  <c r="DX161" i="29"/>
  <c r="DY161" i="29" s="1"/>
  <c r="DO161" i="29"/>
  <c r="DX160" i="29"/>
  <c r="DY160" i="29" s="1"/>
  <c r="DO160" i="29"/>
  <c r="DP160" i="29" s="1"/>
  <c r="DX159" i="29"/>
  <c r="DY159" i="29" s="1"/>
  <c r="DO159" i="29"/>
  <c r="EA159" i="29" s="1"/>
  <c r="EB159" i="29" s="1"/>
  <c r="DX158" i="29"/>
  <c r="DY158" i="29" s="1"/>
  <c r="DO158" i="29"/>
  <c r="DP158" i="29" s="1"/>
  <c r="DX192" i="29"/>
  <c r="DY192" i="29" s="1"/>
  <c r="DO192" i="29"/>
  <c r="EA192" i="29" s="1"/>
  <c r="EB192" i="29" s="1"/>
  <c r="DX150" i="29"/>
  <c r="DY150" i="29" s="1"/>
  <c r="DO150" i="29"/>
  <c r="DX157" i="29"/>
  <c r="DY157" i="29" s="1"/>
  <c r="DO157" i="29"/>
  <c r="EA157" i="29" s="1"/>
  <c r="EB157" i="29" s="1"/>
  <c r="DX156" i="29"/>
  <c r="DY156" i="29" s="1"/>
  <c r="DP156" i="29"/>
  <c r="DO156" i="29"/>
  <c r="DX155" i="29"/>
  <c r="DY155" i="29" s="1"/>
  <c r="DO155" i="29"/>
  <c r="DP155" i="29" s="1"/>
  <c r="DX154" i="29"/>
  <c r="DY154" i="29" s="1"/>
  <c r="DO154" i="29"/>
  <c r="EA154" i="29" s="1"/>
  <c r="EB154" i="29" s="1"/>
  <c r="DX153" i="29"/>
  <c r="DO153" i="29"/>
  <c r="DP153" i="29" s="1"/>
  <c r="DX152" i="29"/>
  <c r="DY152" i="29" s="1"/>
  <c r="DO152" i="29"/>
  <c r="DX151" i="29"/>
  <c r="DY151" i="29" s="1"/>
  <c r="DO151" i="29"/>
  <c r="DP151" i="29" s="1"/>
  <c r="DX149" i="29"/>
  <c r="DY149" i="29" s="1"/>
  <c r="DO149" i="29"/>
  <c r="EA149" i="29" s="1"/>
  <c r="EB149" i="29" s="1"/>
  <c r="DX148" i="29"/>
  <c r="DY148" i="29" s="1"/>
  <c r="DO148" i="29"/>
  <c r="DP148" i="29" s="1"/>
  <c r="DX147" i="29"/>
  <c r="DY147" i="29" s="1"/>
  <c r="DO147" i="29"/>
  <c r="DX146" i="29"/>
  <c r="DY146" i="29" s="1"/>
  <c r="DO146" i="29"/>
  <c r="DX145" i="29"/>
  <c r="DY145" i="29" s="1"/>
  <c r="DO145" i="29"/>
  <c r="DX144" i="29"/>
  <c r="DY144" i="29" s="1"/>
  <c r="DO144" i="29"/>
  <c r="DX143" i="29"/>
  <c r="DY143" i="29" s="1"/>
  <c r="DO143" i="29"/>
  <c r="DP143" i="29" s="1"/>
  <c r="DX142" i="29"/>
  <c r="DY142" i="29" s="1"/>
  <c r="DO142" i="29"/>
  <c r="DP142" i="29" s="1"/>
  <c r="DX141" i="29"/>
  <c r="DO141" i="29"/>
  <c r="DP141" i="29" s="1"/>
  <c r="DX140" i="29"/>
  <c r="DY140" i="29" s="1"/>
  <c r="DO140" i="29"/>
  <c r="DP140" i="29" s="1"/>
  <c r="DX136" i="29"/>
  <c r="DY136" i="29" s="1"/>
  <c r="DO136" i="29"/>
  <c r="DP136" i="29" s="1"/>
  <c r="DX139" i="29"/>
  <c r="DY139" i="29" s="1"/>
  <c r="DO139" i="29"/>
  <c r="DX138" i="29"/>
  <c r="DY138" i="29" s="1"/>
  <c r="DO138" i="29"/>
  <c r="DP138" i="29" s="1"/>
  <c r="DX137" i="29"/>
  <c r="DY137" i="29" s="1"/>
  <c r="DO137" i="29"/>
  <c r="DX135" i="29"/>
  <c r="DY135" i="29" s="1"/>
  <c r="DO135" i="29"/>
  <c r="DX134" i="29"/>
  <c r="DY134" i="29" s="1"/>
  <c r="DO134" i="29"/>
  <c r="DP134" i="29" s="1"/>
  <c r="DX133" i="29"/>
  <c r="DY133" i="29" s="1"/>
  <c r="DO133" i="29"/>
  <c r="DP133" i="29" s="1"/>
  <c r="DX101" i="29"/>
  <c r="DY101" i="29" s="1"/>
  <c r="DO101" i="29"/>
  <c r="DP101" i="29" s="1"/>
  <c r="DX99" i="29"/>
  <c r="DY99" i="29" s="1"/>
  <c r="DO99" i="29"/>
  <c r="EA99" i="29" s="1"/>
  <c r="EB99" i="29" s="1"/>
  <c r="DX132" i="29"/>
  <c r="DY132" i="29" s="1"/>
  <c r="DO132" i="29"/>
  <c r="DP132" i="29" s="1"/>
  <c r="DX131" i="29"/>
  <c r="DY131" i="29" s="1"/>
  <c r="DP131" i="29"/>
  <c r="DO131" i="29"/>
  <c r="DX130" i="29"/>
  <c r="DY130" i="29" s="1"/>
  <c r="DO130" i="29"/>
  <c r="DP130" i="29" s="1"/>
  <c r="DX188" i="29"/>
  <c r="DY188" i="29" s="1"/>
  <c r="DO188" i="29"/>
  <c r="DP188" i="29" s="1"/>
  <c r="DX129" i="29"/>
  <c r="DY129" i="29" s="1"/>
  <c r="DO129" i="29"/>
  <c r="EA129" i="29" s="1"/>
  <c r="EB129" i="29" s="1"/>
  <c r="DX128" i="29"/>
  <c r="DY128" i="29" s="1"/>
  <c r="DO128" i="29"/>
  <c r="DX127" i="29"/>
  <c r="DY127" i="29" s="1"/>
  <c r="DO127" i="29"/>
  <c r="DX126" i="29"/>
  <c r="DY126" i="29" s="1"/>
  <c r="DO126" i="29"/>
  <c r="EA126" i="29" s="1"/>
  <c r="EB126" i="29" s="1"/>
  <c r="DX125" i="29"/>
  <c r="DY125" i="29" s="1"/>
  <c r="DO125" i="29"/>
  <c r="DP125" i="29" s="1"/>
  <c r="DX124" i="29"/>
  <c r="DY124" i="29" s="1"/>
  <c r="DO124" i="29"/>
  <c r="DP124" i="29" s="1"/>
  <c r="DX123" i="29"/>
  <c r="DY123" i="29" s="1"/>
  <c r="DO123" i="29"/>
  <c r="DX122" i="29"/>
  <c r="DY122" i="29" s="1"/>
  <c r="DO122" i="29"/>
  <c r="DX121" i="29"/>
  <c r="DY121" i="29" s="1"/>
  <c r="DO121" i="29"/>
  <c r="DP121" i="29" s="1"/>
  <c r="DX120" i="29"/>
  <c r="DY120" i="29" s="1"/>
  <c r="DO120" i="29"/>
  <c r="DP120" i="29" s="1"/>
  <c r="DX119" i="29"/>
  <c r="DY119" i="29" s="1"/>
  <c r="DO119" i="29"/>
  <c r="EA119" i="29" s="1"/>
  <c r="EB119" i="29" s="1"/>
  <c r="DX118" i="29"/>
  <c r="DY118" i="29" s="1"/>
  <c r="DO118" i="29"/>
  <c r="DP118" i="29" s="1"/>
  <c r="DX117" i="29"/>
  <c r="DY117" i="29" s="1"/>
  <c r="DO117" i="29"/>
  <c r="DP117" i="29" s="1"/>
  <c r="EA116" i="29"/>
  <c r="EB116" i="29" s="1"/>
  <c r="DX116" i="29"/>
  <c r="DY116" i="29" s="1"/>
  <c r="DO116" i="29"/>
  <c r="DP116" i="29" s="1"/>
  <c r="DY115" i="29"/>
  <c r="DX115" i="29"/>
  <c r="DO115" i="29"/>
  <c r="DX114" i="29"/>
  <c r="DY114" i="29" s="1"/>
  <c r="DO114" i="29"/>
  <c r="DP114" i="29" s="1"/>
  <c r="DX113" i="29"/>
  <c r="DY113" i="29" s="1"/>
  <c r="DO113" i="29"/>
  <c r="EA113" i="29" s="1"/>
  <c r="EB113" i="29" s="1"/>
  <c r="DX112" i="29"/>
  <c r="DY112" i="29" s="1"/>
  <c r="DO112" i="29"/>
  <c r="DX111" i="29"/>
  <c r="DY111" i="29" s="1"/>
  <c r="DO111" i="29"/>
  <c r="DX110" i="29"/>
  <c r="DY110" i="29" s="1"/>
  <c r="DO110" i="29"/>
  <c r="DP110" i="29" s="1"/>
  <c r="DX109" i="29"/>
  <c r="DY109" i="29" s="1"/>
  <c r="DO109" i="29"/>
  <c r="DP109" i="29" s="1"/>
  <c r="DX108" i="29"/>
  <c r="DY108" i="29" s="1"/>
  <c r="DO108" i="29"/>
  <c r="DX107" i="29"/>
  <c r="DO107" i="29"/>
  <c r="DP107" i="29" s="1"/>
  <c r="DX106" i="29"/>
  <c r="DY106" i="29" s="1"/>
  <c r="DO106" i="29"/>
  <c r="DX105" i="29"/>
  <c r="DY105" i="29" s="1"/>
  <c r="DO105" i="29"/>
  <c r="DP105" i="29" s="1"/>
  <c r="DX104" i="29"/>
  <c r="DY104" i="29" s="1"/>
  <c r="DO104" i="29"/>
  <c r="DP104" i="29" s="1"/>
  <c r="DX103" i="29"/>
  <c r="DY103" i="29" s="1"/>
  <c r="DO103" i="29"/>
  <c r="EA103" i="29" s="1"/>
  <c r="EB103" i="29" s="1"/>
  <c r="DX102" i="29"/>
  <c r="DY102" i="29" s="1"/>
  <c r="DO102" i="29"/>
  <c r="DP102" i="29" s="1"/>
  <c r="DX100" i="29"/>
  <c r="DY100" i="29" s="1"/>
  <c r="DO100" i="29"/>
  <c r="DP100" i="29" s="1"/>
  <c r="DX98" i="29"/>
  <c r="DY98" i="29" s="1"/>
  <c r="DO98" i="29"/>
  <c r="DP98" i="29" s="1"/>
  <c r="DX97" i="29"/>
  <c r="DY97" i="29" s="1"/>
  <c r="DO97" i="29"/>
  <c r="DX96" i="29"/>
  <c r="DY96" i="29" s="1"/>
  <c r="DO96" i="29"/>
  <c r="EA96" i="29" s="1"/>
  <c r="EB96" i="29" s="1"/>
  <c r="DX95" i="29"/>
  <c r="DY95" i="29" s="1"/>
  <c r="DO95" i="29"/>
  <c r="DP95" i="29" s="1"/>
  <c r="DX94" i="29"/>
  <c r="DY94" i="29" s="1"/>
  <c r="DO94" i="29"/>
  <c r="DP94" i="29" s="1"/>
  <c r="DX93" i="29"/>
  <c r="DY93" i="29" s="1"/>
  <c r="DO93" i="29"/>
  <c r="DP93" i="29" s="1"/>
  <c r="DX92" i="29"/>
  <c r="DY92" i="29" s="1"/>
  <c r="DO92" i="29"/>
  <c r="EA92" i="29" s="1"/>
  <c r="EB92" i="29" s="1"/>
  <c r="DX91" i="29"/>
  <c r="DY91" i="29" s="1"/>
  <c r="DO91" i="29"/>
  <c r="DP91" i="29" s="1"/>
  <c r="DX90" i="29"/>
  <c r="DY90" i="29" s="1"/>
  <c r="DO90" i="29"/>
  <c r="EA90" i="29" s="1"/>
  <c r="EB90" i="29" s="1"/>
  <c r="DX89" i="29"/>
  <c r="DY89" i="29" s="1"/>
  <c r="DO89" i="29"/>
  <c r="DX88" i="29"/>
  <c r="DY88" i="29" s="1"/>
  <c r="DO88" i="29"/>
  <c r="DP88" i="29" s="1"/>
  <c r="DX87" i="29"/>
  <c r="DY87" i="29" s="1"/>
  <c r="DO87" i="29"/>
  <c r="DX86" i="29"/>
  <c r="DO86" i="29"/>
  <c r="DP86" i="29" s="1"/>
  <c r="DX85" i="29"/>
  <c r="DY85" i="29" s="1"/>
  <c r="DO85" i="29"/>
  <c r="EA85" i="29" s="1"/>
  <c r="EB85" i="29" s="1"/>
  <c r="DX84" i="29"/>
  <c r="DO84" i="29"/>
  <c r="DP84" i="29" s="1"/>
  <c r="DX83" i="29"/>
  <c r="DY83" i="29" s="1"/>
  <c r="DO83" i="29"/>
  <c r="DP83" i="29" s="1"/>
  <c r="DX82" i="29"/>
  <c r="DY82" i="29" s="1"/>
  <c r="DO82" i="29"/>
  <c r="DP82" i="29" s="1"/>
  <c r="DX81" i="29"/>
  <c r="DY81" i="29" s="1"/>
  <c r="DO81" i="29"/>
  <c r="EA81" i="29" s="1"/>
  <c r="EB81" i="29" s="1"/>
  <c r="DX80" i="29"/>
  <c r="DY80" i="29" s="1"/>
  <c r="DO80" i="29"/>
  <c r="DX79" i="29"/>
  <c r="DY79" i="29" s="1"/>
  <c r="DO79" i="29"/>
  <c r="DP79" i="29" s="1"/>
  <c r="DX78" i="29"/>
  <c r="DY78" i="29" s="1"/>
  <c r="DO78" i="29"/>
  <c r="DP78" i="29" s="1"/>
  <c r="DX77" i="29"/>
  <c r="DY77" i="29" s="1"/>
  <c r="DO77" i="29"/>
  <c r="EA77" i="29" s="1"/>
  <c r="EB77" i="29" s="1"/>
  <c r="DX76" i="29"/>
  <c r="DY76" i="29" s="1"/>
  <c r="DO76" i="29"/>
  <c r="DP76" i="29" s="1"/>
  <c r="DX75" i="29"/>
  <c r="DY75" i="29" s="1"/>
  <c r="DO75" i="29"/>
  <c r="EA75" i="29" s="1"/>
  <c r="EB75" i="29" s="1"/>
  <c r="DX74" i="29"/>
  <c r="DY74" i="29" s="1"/>
  <c r="DO74" i="29"/>
  <c r="DP74" i="29" s="1"/>
  <c r="DX73" i="29"/>
  <c r="DY73" i="29" s="1"/>
  <c r="DO73" i="29"/>
  <c r="EA73" i="29" s="1"/>
  <c r="EB73" i="29" s="1"/>
  <c r="DX72" i="29"/>
  <c r="DY72" i="29" s="1"/>
  <c r="DO72" i="29"/>
  <c r="DX71" i="29"/>
  <c r="DY71" i="29" s="1"/>
  <c r="DO71" i="29"/>
  <c r="DP71" i="29" s="1"/>
  <c r="EA70" i="29"/>
  <c r="EB70" i="29" s="1"/>
  <c r="DX70" i="29"/>
  <c r="DY70" i="29" s="1"/>
  <c r="DO70" i="29"/>
  <c r="DP70" i="29" s="1"/>
  <c r="DX69" i="29"/>
  <c r="DY69" i="29" s="1"/>
  <c r="DO69" i="29"/>
  <c r="EA69" i="29" s="1"/>
  <c r="EB69" i="29" s="1"/>
  <c r="DX68" i="29"/>
  <c r="DY68" i="29" s="1"/>
  <c r="DO68" i="29"/>
  <c r="DP68" i="29" s="1"/>
  <c r="DX67" i="29"/>
  <c r="DY67" i="29" s="1"/>
  <c r="DO67" i="29"/>
  <c r="EA67" i="29" s="1"/>
  <c r="EB67" i="29" s="1"/>
  <c r="DX62" i="29"/>
  <c r="DY62" i="29" s="1"/>
  <c r="DO62" i="29"/>
  <c r="EA62" i="29" s="1"/>
  <c r="EB62" i="29" s="1"/>
  <c r="DX66" i="29"/>
  <c r="DY66" i="29" s="1"/>
  <c r="DO66" i="29"/>
  <c r="EA66" i="29" s="1"/>
  <c r="EB66" i="29" s="1"/>
  <c r="DX65" i="29"/>
  <c r="DY65" i="29" s="1"/>
  <c r="DO65" i="29"/>
  <c r="DX64" i="29"/>
  <c r="DY64" i="29" s="1"/>
  <c r="DO64" i="29"/>
  <c r="DP64" i="29" s="1"/>
  <c r="DX63" i="29"/>
  <c r="DY63" i="29" s="1"/>
  <c r="DO63" i="29"/>
  <c r="DP63" i="29" s="1"/>
  <c r="DX61" i="29"/>
  <c r="DY61" i="29" s="1"/>
  <c r="DO61" i="29"/>
  <c r="DX60" i="29"/>
  <c r="DY60" i="29" s="1"/>
  <c r="DO60" i="29"/>
  <c r="DP60" i="29" s="1"/>
  <c r="DX59" i="29"/>
  <c r="DY59" i="29" s="1"/>
  <c r="DO59" i="29"/>
  <c r="EA59" i="29" s="1"/>
  <c r="EB59" i="29" s="1"/>
  <c r="DX58" i="29"/>
  <c r="DY58" i="29" s="1"/>
  <c r="DO58" i="29"/>
  <c r="DP58" i="29" s="1"/>
  <c r="DX57" i="29"/>
  <c r="DY57" i="29" s="1"/>
  <c r="DO57" i="29"/>
  <c r="DP57" i="29" s="1"/>
  <c r="DX56" i="29"/>
  <c r="DY56" i="29" s="1"/>
  <c r="DO56" i="29"/>
  <c r="DP56" i="29" s="1"/>
  <c r="DX45" i="29"/>
  <c r="DY45" i="29" s="1"/>
  <c r="DO45" i="29"/>
  <c r="DP45" i="29" s="1"/>
  <c r="DX55" i="29"/>
  <c r="DY55" i="29" s="1"/>
  <c r="DO55" i="29"/>
  <c r="DX54" i="29"/>
  <c r="DY54" i="29" s="1"/>
  <c r="DO54" i="29"/>
  <c r="DX53" i="29"/>
  <c r="DY53" i="29" s="1"/>
  <c r="DO53" i="29"/>
  <c r="DP53" i="29" s="1"/>
  <c r="DX52" i="29"/>
  <c r="DY52" i="29" s="1"/>
  <c r="DO52" i="29"/>
  <c r="DP52" i="29" s="1"/>
  <c r="DX51" i="29"/>
  <c r="DY51" i="29" s="1"/>
  <c r="DO51" i="29"/>
  <c r="DP51" i="29" s="1"/>
  <c r="DX50" i="29"/>
  <c r="DO50" i="29"/>
  <c r="DP50" i="29" s="1"/>
  <c r="DX49" i="29"/>
  <c r="DY49" i="29" s="1"/>
  <c r="DO49" i="29"/>
  <c r="DP49" i="29" s="1"/>
  <c r="DX48" i="29"/>
  <c r="DY48" i="29" s="1"/>
  <c r="DO48" i="29"/>
  <c r="DX294" i="29"/>
  <c r="DY294" i="29" s="1"/>
  <c r="DO294" i="29"/>
  <c r="EB47" i="29"/>
  <c r="DX47" i="29"/>
  <c r="DY47" i="29" s="1"/>
  <c r="DO47" i="29"/>
  <c r="EA47" i="29" s="1"/>
  <c r="DX46" i="29"/>
  <c r="DY46" i="29" s="1"/>
  <c r="DO46" i="29"/>
  <c r="DP46" i="29" s="1"/>
  <c r="DX44" i="29"/>
  <c r="DY44" i="29" s="1"/>
  <c r="DO44" i="29"/>
  <c r="DX43" i="29"/>
  <c r="DY43" i="29" s="1"/>
  <c r="DO43" i="29"/>
  <c r="DP43" i="29" s="1"/>
  <c r="DX42" i="29"/>
  <c r="DY42" i="29" s="1"/>
  <c r="DO42" i="29"/>
  <c r="EA42" i="29" s="1"/>
  <c r="EB42" i="29" s="1"/>
  <c r="DX41" i="29"/>
  <c r="DY41" i="29" s="1"/>
  <c r="DO41" i="29"/>
  <c r="EA41" i="29" s="1"/>
  <c r="EB41" i="29" s="1"/>
  <c r="DX40" i="29"/>
  <c r="DY40" i="29" s="1"/>
  <c r="DO40" i="29"/>
  <c r="EA40" i="29" s="1"/>
  <c r="EB40" i="29" s="1"/>
  <c r="DX39" i="29"/>
  <c r="DY39" i="29" s="1"/>
  <c r="DO39" i="29"/>
  <c r="DX38" i="29"/>
  <c r="DY38" i="29" s="1"/>
  <c r="DO38" i="29"/>
  <c r="DP38" i="29" s="1"/>
  <c r="DX37" i="29"/>
  <c r="DY37" i="29" s="1"/>
  <c r="DO37" i="29"/>
  <c r="DX36" i="29"/>
  <c r="DO36" i="29"/>
  <c r="DP36" i="29" s="1"/>
  <c r="DX35" i="29"/>
  <c r="DY35" i="29" s="1"/>
  <c r="DO35" i="29"/>
  <c r="DX34" i="29"/>
  <c r="DY34" i="29" s="1"/>
  <c r="DO34" i="29"/>
  <c r="DP34" i="29" s="1"/>
  <c r="DX33" i="29"/>
  <c r="DY33" i="29" s="1"/>
  <c r="DO33" i="29"/>
  <c r="EA33" i="29" s="1"/>
  <c r="EB33" i="29" s="1"/>
  <c r="DX32" i="29"/>
  <c r="DY32" i="29" s="1"/>
  <c r="DO32" i="29"/>
  <c r="DX31" i="29"/>
  <c r="DY31" i="29" s="1"/>
  <c r="DO31" i="29"/>
  <c r="DP31" i="29" s="1"/>
  <c r="DX30" i="29"/>
  <c r="DY30" i="29" s="1"/>
  <c r="DO30" i="29"/>
  <c r="DP30" i="29" s="1"/>
  <c r="DX29" i="29"/>
  <c r="DO29" i="29"/>
  <c r="DP29" i="29" s="1"/>
  <c r="DX28" i="29"/>
  <c r="DY28" i="29" s="1"/>
  <c r="DO28" i="29"/>
  <c r="DP28" i="29" s="1"/>
  <c r="DX27" i="29"/>
  <c r="DY27" i="29" s="1"/>
  <c r="DO27" i="29"/>
  <c r="EA27" i="29" s="1"/>
  <c r="EB27" i="29" s="1"/>
  <c r="DX20" i="29"/>
  <c r="DY20" i="29" s="1"/>
  <c r="DO20" i="29"/>
  <c r="DP20" i="29" s="1"/>
  <c r="DX26" i="29"/>
  <c r="DY26" i="29" s="1"/>
  <c r="DO26" i="29"/>
  <c r="DX25" i="29"/>
  <c r="DY25" i="29" s="1"/>
  <c r="DO25" i="29"/>
  <c r="DP25" i="29" s="1"/>
  <c r="DX24" i="29"/>
  <c r="DY24" i="29" s="1"/>
  <c r="DO24" i="29"/>
  <c r="EA24" i="29" s="1"/>
  <c r="EB24" i="29" s="1"/>
  <c r="DX23" i="29"/>
  <c r="DY23" i="29" s="1"/>
  <c r="DO23" i="29"/>
  <c r="DP23" i="29" s="1"/>
  <c r="DX22" i="29"/>
  <c r="DY22" i="29" s="1"/>
  <c r="DO22" i="29"/>
  <c r="DP22" i="29" s="1"/>
  <c r="DX21" i="29"/>
  <c r="DO21" i="29"/>
  <c r="DW18" i="29"/>
  <c r="DV18" i="29"/>
  <c r="DU18" i="29"/>
  <c r="DT18" i="29"/>
  <c r="DS18" i="29"/>
  <c r="DR18" i="29"/>
  <c r="DN18" i="29"/>
  <c r="DM18" i="29"/>
  <c r="DL18" i="29"/>
  <c r="DK18" i="29"/>
  <c r="DJ18" i="29"/>
  <c r="DI18" i="29"/>
  <c r="DH18" i="29"/>
  <c r="DG18" i="29"/>
  <c r="DF18" i="29"/>
  <c r="DE18" i="29"/>
  <c r="DD18" i="29"/>
  <c r="EA208" i="29" l="1"/>
  <c r="EB208" i="29" s="1"/>
  <c r="EA283" i="29"/>
  <c r="EB283" i="29" s="1"/>
  <c r="EA166" i="29"/>
  <c r="EB166" i="29" s="1"/>
  <c r="DP193" i="29"/>
  <c r="DP62" i="29"/>
  <c r="EA93" i="29"/>
  <c r="EB93" i="29" s="1"/>
  <c r="EA175" i="29"/>
  <c r="EB175" i="29" s="1"/>
  <c r="EA25" i="29"/>
  <c r="EB25" i="29" s="1"/>
  <c r="EA35" i="29"/>
  <c r="EB35" i="29" s="1"/>
  <c r="EA61" i="29"/>
  <c r="EB61" i="29" s="1"/>
  <c r="EA86" i="29"/>
  <c r="EB86" i="29" s="1"/>
  <c r="EA239" i="29"/>
  <c r="EB239" i="29" s="1"/>
  <c r="EA251" i="29"/>
  <c r="EB251" i="29" s="1"/>
  <c r="EA224" i="29"/>
  <c r="EB224" i="29" s="1"/>
  <c r="EA254" i="29"/>
  <c r="EB254" i="29" s="1"/>
  <c r="EA174" i="29"/>
  <c r="EB174" i="29" s="1"/>
  <c r="EA190" i="29"/>
  <c r="EB190" i="29" s="1"/>
  <c r="EA202" i="29"/>
  <c r="EB202" i="29" s="1"/>
  <c r="EA133" i="29"/>
  <c r="EB133" i="29" s="1"/>
  <c r="EA36" i="29"/>
  <c r="EB36" i="29" s="1"/>
  <c r="EA138" i="29"/>
  <c r="EB138" i="29" s="1"/>
  <c r="EA146" i="29"/>
  <c r="EB146" i="29" s="1"/>
  <c r="EA155" i="29"/>
  <c r="EB155" i="29" s="1"/>
  <c r="EA206" i="29"/>
  <c r="EB206" i="29" s="1"/>
  <c r="EA255" i="29"/>
  <c r="EB255" i="29" s="1"/>
  <c r="DP197" i="29"/>
  <c r="DP99" i="29"/>
  <c r="EA50" i="29"/>
  <c r="EB50" i="29" s="1"/>
  <c r="DY36" i="29"/>
  <c r="DP47" i="29"/>
  <c r="EA80" i="29"/>
  <c r="EB80" i="29" s="1"/>
  <c r="EA97" i="29"/>
  <c r="EB97" i="29" s="1"/>
  <c r="EA107" i="29"/>
  <c r="EB107" i="29" s="1"/>
  <c r="EA266" i="29"/>
  <c r="EB266" i="29" s="1"/>
  <c r="EA84" i="29"/>
  <c r="EB84" i="29" s="1"/>
  <c r="EA72" i="29"/>
  <c r="EB72" i="29" s="1"/>
  <c r="EA89" i="29"/>
  <c r="EB89" i="29" s="1"/>
  <c r="EA108" i="29"/>
  <c r="EB108" i="29" s="1"/>
  <c r="EA218" i="29"/>
  <c r="EB218" i="29" s="1"/>
  <c r="EA273" i="29"/>
  <c r="EB273" i="29" s="1"/>
  <c r="EA198" i="29"/>
  <c r="EB198" i="29" s="1"/>
  <c r="EA48" i="29"/>
  <c r="EB48" i="29" s="1"/>
  <c r="EA68" i="29"/>
  <c r="EB68" i="29" s="1"/>
  <c r="EA94" i="29"/>
  <c r="EB94" i="29" s="1"/>
  <c r="EA124" i="29"/>
  <c r="EB124" i="29" s="1"/>
  <c r="EA156" i="29"/>
  <c r="EB156" i="29" s="1"/>
  <c r="EA167" i="29"/>
  <c r="EB167" i="29" s="1"/>
  <c r="EA173" i="29"/>
  <c r="EB173" i="29" s="1"/>
  <c r="DP198" i="29"/>
  <c r="EA228" i="29"/>
  <c r="EB228" i="29" s="1"/>
  <c r="EA241" i="29"/>
  <c r="EB241" i="29" s="1"/>
  <c r="EA264" i="29"/>
  <c r="EB264" i="29" s="1"/>
  <c r="EA269" i="29"/>
  <c r="EB269" i="29" s="1"/>
  <c r="EA290" i="29"/>
  <c r="EB290" i="29" s="1"/>
  <c r="EA300" i="29"/>
  <c r="EB300" i="29" s="1"/>
  <c r="DP103" i="29"/>
  <c r="EA141" i="29"/>
  <c r="EB141" i="29" s="1"/>
  <c r="DP168" i="29"/>
  <c r="EA284" i="29"/>
  <c r="EB284" i="29" s="1"/>
  <c r="EA308" i="29"/>
  <c r="EB308" i="29" s="1"/>
  <c r="DP42" i="29"/>
  <c r="EA64" i="29"/>
  <c r="EB64" i="29" s="1"/>
  <c r="DP77" i="29"/>
  <c r="EA130" i="29"/>
  <c r="EB130" i="29" s="1"/>
  <c r="EA134" i="29"/>
  <c r="EB134" i="29" s="1"/>
  <c r="DY141" i="29"/>
  <c r="EA181" i="29"/>
  <c r="EB181" i="29" s="1"/>
  <c r="EA221" i="29"/>
  <c r="EB221" i="29" s="1"/>
  <c r="EA229" i="29"/>
  <c r="EB229" i="29" s="1"/>
  <c r="EA271" i="29"/>
  <c r="EB271" i="29" s="1"/>
  <c r="EA285" i="29"/>
  <c r="EB285" i="29" s="1"/>
  <c r="EA250" i="29"/>
  <c r="EB250" i="29" s="1"/>
  <c r="EA65" i="29"/>
  <c r="EB65" i="29" s="1"/>
  <c r="EA104" i="29"/>
  <c r="EB104" i="29" s="1"/>
  <c r="EA111" i="29"/>
  <c r="EB111" i="29" s="1"/>
  <c r="EA131" i="29"/>
  <c r="EB131" i="29" s="1"/>
  <c r="EA135" i="29"/>
  <c r="EB135" i="29" s="1"/>
  <c r="EA142" i="29"/>
  <c r="EB142" i="29" s="1"/>
  <c r="EA182" i="29"/>
  <c r="EB182" i="29" s="1"/>
  <c r="EA199" i="29"/>
  <c r="EB199" i="29" s="1"/>
  <c r="EA222" i="29"/>
  <c r="EB222" i="29" s="1"/>
  <c r="EA237" i="29"/>
  <c r="EB237" i="29" s="1"/>
  <c r="EA258" i="29"/>
  <c r="EB258" i="29" s="1"/>
  <c r="DP271" i="29"/>
  <c r="EA278" i="29"/>
  <c r="EB278" i="29" s="1"/>
  <c r="DP285" i="29"/>
  <c r="EA293" i="29"/>
  <c r="EB293" i="29" s="1"/>
  <c r="DP96" i="29"/>
  <c r="EA21" i="29"/>
  <c r="DP85" i="29"/>
  <c r="EA238" i="29"/>
  <c r="EB238" i="29" s="1"/>
  <c r="EA245" i="29"/>
  <c r="EB245" i="29" s="1"/>
  <c r="EA44" i="29"/>
  <c r="EB44" i="29" s="1"/>
  <c r="EA53" i="29"/>
  <c r="EB53" i="29" s="1"/>
  <c r="DP59" i="29"/>
  <c r="EA78" i="29"/>
  <c r="EB78" i="29" s="1"/>
  <c r="EA171" i="29"/>
  <c r="EB171" i="29" s="1"/>
  <c r="EA191" i="29"/>
  <c r="EB191" i="29" s="1"/>
  <c r="EA216" i="29"/>
  <c r="EB216" i="29" s="1"/>
  <c r="EA223" i="29"/>
  <c r="EB223" i="29" s="1"/>
  <c r="EA286" i="29"/>
  <c r="EB286" i="29" s="1"/>
  <c r="DP310" i="29"/>
  <c r="EA106" i="29"/>
  <c r="EB106" i="29" s="1"/>
  <c r="EA210" i="29"/>
  <c r="EB210" i="29" s="1"/>
  <c r="EA296" i="29"/>
  <c r="EB296" i="29" s="1"/>
  <c r="DP69" i="29"/>
  <c r="EA109" i="29"/>
  <c r="EB109" i="29" s="1"/>
  <c r="EA213" i="29"/>
  <c r="EB213" i="29" s="1"/>
  <c r="EA56" i="29"/>
  <c r="EB56" i="29" s="1"/>
  <c r="DP89" i="29"/>
  <c r="EA309" i="29"/>
  <c r="EB309" i="29" s="1"/>
  <c r="DP192" i="29"/>
  <c r="DP27" i="29"/>
  <c r="EA184" i="29"/>
  <c r="EB184" i="29" s="1"/>
  <c r="EA303" i="29"/>
  <c r="EB303" i="29" s="1"/>
  <c r="DP295" i="29"/>
  <c r="EA22" i="29"/>
  <c r="EB22" i="29" s="1"/>
  <c r="EA37" i="29"/>
  <c r="EB37" i="29" s="1"/>
  <c r="EA60" i="29"/>
  <c r="EB60" i="29" s="1"/>
  <c r="DP73" i="29"/>
  <c r="DP92" i="29"/>
  <c r="EA121" i="29"/>
  <c r="EB121" i="29" s="1"/>
  <c r="EA139" i="29"/>
  <c r="EB139" i="29" s="1"/>
  <c r="EA145" i="29"/>
  <c r="EB145" i="29" s="1"/>
  <c r="EA153" i="29"/>
  <c r="EB153" i="29" s="1"/>
  <c r="EA158" i="29"/>
  <c r="EB158" i="29" s="1"/>
  <c r="EA164" i="29"/>
  <c r="EB164" i="29" s="1"/>
  <c r="EA178" i="29"/>
  <c r="EB178" i="29" s="1"/>
  <c r="EA185" i="29"/>
  <c r="EB185" i="29" s="1"/>
  <c r="EA217" i="29"/>
  <c r="EB217" i="29" s="1"/>
  <c r="EA246" i="29"/>
  <c r="EB246" i="29" s="1"/>
  <c r="EA274" i="29"/>
  <c r="EB274" i="29" s="1"/>
  <c r="EA259" i="29"/>
  <c r="EB259" i="29" s="1"/>
  <c r="EA43" i="29"/>
  <c r="EB43" i="29" s="1"/>
  <c r="EA28" i="29"/>
  <c r="EB28" i="29" s="1"/>
  <c r="EA54" i="29"/>
  <c r="EB54" i="29" s="1"/>
  <c r="EA98" i="29"/>
  <c r="EB98" i="29" s="1"/>
  <c r="EA114" i="29"/>
  <c r="EB114" i="29" s="1"/>
  <c r="EA287" i="29"/>
  <c r="EB287" i="29" s="1"/>
  <c r="EA305" i="29"/>
  <c r="EB305" i="29" s="1"/>
  <c r="EA148" i="29"/>
  <c r="EB148" i="29" s="1"/>
  <c r="EA151" i="29"/>
  <c r="EB151" i="29" s="1"/>
  <c r="DP279" i="29"/>
  <c r="DP80" i="29"/>
  <c r="DY86" i="29"/>
  <c r="DY107" i="29"/>
  <c r="EA115" i="29"/>
  <c r="EB115" i="29" s="1"/>
  <c r="DP129" i="29"/>
  <c r="DP159" i="29"/>
  <c r="DP165" i="29"/>
  <c r="EA209" i="29"/>
  <c r="EB209" i="29" s="1"/>
  <c r="EA247" i="29"/>
  <c r="EB247" i="29" s="1"/>
  <c r="DY255" i="29"/>
  <c r="EA244" i="29"/>
  <c r="EB244" i="29" s="1"/>
  <c r="EA281" i="29"/>
  <c r="EB281" i="29" s="1"/>
  <c r="EA82" i="29"/>
  <c r="EB82" i="29" s="1"/>
  <c r="EA257" i="29"/>
  <c r="EB257" i="29" s="1"/>
  <c r="DY251" i="29"/>
  <c r="DO18" i="29"/>
  <c r="DP18" i="29" s="1"/>
  <c r="EA118" i="29"/>
  <c r="EB118" i="29" s="1"/>
  <c r="DP24" i="29"/>
  <c r="EA29" i="29"/>
  <c r="EB29" i="29" s="1"/>
  <c r="EA55" i="29"/>
  <c r="EB55" i="29" s="1"/>
  <c r="EA122" i="29"/>
  <c r="EB122" i="29" s="1"/>
  <c r="DP195" i="29"/>
  <c r="DP226" i="29"/>
  <c r="DP234" i="29"/>
  <c r="DY281" i="29"/>
  <c r="EA306" i="29"/>
  <c r="EB306" i="29" s="1"/>
  <c r="EA211" i="29"/>
  <c r="EB211" i="29" s="1"/>
  <c r="EA256" i="29"/>
  <c r="EB256" i="29" s="1"/>
  <c r="EA276" i="29"/>
  <c r="EB276" i="29" s="1"/>
  <c r="EA125" i="29"/>
  <c r="EB125" i="29" s="1"/>
  <c r="EA169" i="29"/>
  <c r="EB169" i="29" s="1"/>
  <c r="DP66" i="29"/>
  <c r="EA87" i="29"/>
  <c r="EB87" i="29" s="1"/>
  <c r="EA294" i="29"/>
  <c r="EB294" i="29" s="1"/>
  <c r="EA74" i="29"/>
  <c r="EB74" i="29" s="1"/>
  <c r="DP87" i="29"/>
  <c r="EA102" i="29"/>
  <c r="EB102" i="29" s="1"/>
  <c r="EA123" i="29"/>
  <c r="EB123" i="29" s="1"/>
  <c r="EA140" i="29"/>
  <c r="EB140" i="29" s="1"/>
  <c r="EA160" i="29"/>
  <c r="EB160" i="29" s="1"/>
  <c r="EA180" i="29"/>
  <c r="EB180" i="29" s="1"/>
  <c r="EA212" i="29"/>
  <c r="EB212" i="29" s="1"/>
  <c r="DP256" i="29"/>
  <c r="DP276" i="29"/>
  <c r="EA289" i="29"/>
  <c r="EB289" i="29" s="1"/>
  <c r="EB21" i="29"/>
  <c r="DP268" i="29"/>
  <c r="EA268" i="29"/>
  <c r="EB268" i="29" s="1"/>
  <c r="EA23" i="29"/>
  <c r="EB23" i="29" s="1"/>
  <c r="EA136" i="29"/>
  <c r="EB136" i="29" s="1"/>
  <c r="DP149" i="29"/>
  <c r="DY162" i="29"/>
  <c r="DP182" i="29"/>
  <c r="DY233" i="29"/>
  <c r="EA233" i="29"/>
  <c r="EB233" i="29" s="1"/>
  <c r="DP243" i="29"/>
  <c r="DP289" i="29"/>
  <c r="EA30" i="29"/>
  <c r="EB30" i="29" s="1"/>
  <c r="EA34" i="29"/>
  <c r="EB34" i="29" s="1"/>
  <c r="EA38" i="29"/>
  <c r="EB38" i="29" s="1"/>
  <c r="DP67" i="29"/>
  <c r="DP106" i="29"/>
  <c r="DP115" i="29"/>
  <c r="EA132" i="29"/>
  <c r="EB132" i="29" s="1"/>
  <c r="DP135" i="29"/>
  <c r="EA177" i="29"/>
  <c r="EB177" i="29" s="1"/>
  <c r="EA194" i="29"/>
  <c r="EB194" i="29" s="1"/>
  <c r="DP212" i="29"/>
  <c r="DP228" i="29"/>
  <c r="EA249" i="29"/>
  <c r="EB249" i="29" s="1"/>
  <c r="EA260" i="29"/>
  <c r="EB260" i="29" s="1"/>
  <c r="DP39" i="29"/>
  <c r="EA39" i="29"/>
  <c r="EB39" i="29" s="1"/>
  <c r="EA51" i="29"/>
  <c r="EB51" i="29" s="1"/>
  <c r="EA71" i="29"/>
  <c r="EB71" i="29" s="1"/>
  <c r="EA83" i="29"/>
  <c r="EB83" i="29" s="1"/>
  <c r="DP111" i="29"/>
  <c r="DP145" i="29"/>
  <c r="DP183" i="29"/>
  <c r="EA183" i="29"/>
  <c r="EB183" i="29" s="1"/>
  <c r="DP196" i="29"/>
  <c r="EA196" i="29"/>
  <c r="EB196" i="29" s="1"/>
  <c r="DP269" i="29"/>
  <c r="DY284" i="29"/>
  <c r="DP273" i="29"/>
  <c r="EA63" i="29"/>
  <c r="EB63" i="29" s="1"/>
  <c r="EA100" i="29"/>
  <c r="EB100" i="29" s="1"/>
  <c r="EA163" i="29"/>
  <c r="EB163" i="29" s="1"/>
  <c r="DP40" i="29"/>
  <c r="DP44" i="29"/>
  <c r="DP48" i="29"/>
  <c r="EA52" i="29"/>
  <c r="EB52" i="29" s="1"/>
  <c r="DP65" i="29"/>
  <c r="DY84" i="29"/>
  <c r="EA88" i="29"/>
  <c r="EB88" i="29" s="1"/>
  <c r="EA120" i="29"/>
  <c r="EB120" i="29" s="1"/>
  <c r="EA203" i="29"/>
  <c r="EB203" i="29" s="1"/>
  <c r="DP210" i="29"/>
  <c r="DY229" i="29"/>
  <c r="EA262" i="29"/>
  <c r="EB262" i="29" s="1"/>
  <c r="DP262" i="29"/>
  <c r="EA267" i="29"/>
  <c r="EB267" i="29" s="1"/>
  <c r="DP292" i="29"/>
  <c r="DP201" i="29"/>
  <c r="DP167" i="29"/>
  <c r="DP72" i="29"/>
  <c r="DP240" i="29"/>
  <c r="EA240" i="29"/>
  <c r="EB240" i="29" s="1"/>
  <c r="EA76" i="29"/>
  <c r="EB76" i="29" s="1"/>
  <c r="EA112" i="29"/>
  <c r="EB112" i="29" s="1"/>
  <c r="EA101" i="29"/>
  <c r="EB101" i="29" s="1"/>
  <c r="EA207" i="29"/>
  <c r="EB207" i="29" s="1"/>
  <c r="DP230" i="29"/>
  <c r="EA230" i="29"/>
  <c r="EB230" i="29" s="1"/>
  <c r="EA225" i="29"/>
  <c r="EB225" i="29" s="1"/>
  <c r="DP299" i="29"/>
  <c r="EA299" i="29"/>
  <c r="EB299" i="29" s="1"/>
  <c r="EA304" i="29"/>
  <c r="EB304" i="29" s="1"/>
  <c r="DY176" i="29"/>
  <c r="EA176" i="29"/>
  <c r="EB176" i="29" s="1"/>
  <c r="DP123" i="29"/>
  <c r="DY216" i="29"/>
  <c r="EA172" i="29"/>
  <c r="EB172" i="29" s="1"/>
  <c r="DP172" i="29"/>
  <c r="DP302" i="29"/>
  <c r="DP294" i="29"/>
  <c r="EA95" i="29"/>
  <c r="EB95" i="29" s="1"/>
  <c r="EA280" i="29"/>
  <c r="EB280" i="29" s="1"/>
  <c r="DP298" i="29"/>
  <c r="EA298" i="29"/>
  <c r="EB298" i="29" s="1"/>
  <c r="EA31" i="29"/>
  <c r="EB31" i="29" s="1"/>
  <c r="DP21" i="29"/>
  <c r="EA32" i="29"/>
  <c r="EB32" i="29" s="1"/>
  <c r="DP32" i="29"/>
  <c r="DP97" i="29"/>
  <c r="DP112" i="29"/>
  <c r="EA188" i="29"/>
  <c r="EB188" i="29" s="1"/>
  <c r="DP146" i="29"/>
  <c r="EA152" i="29"/>
  <c r="EB152" i="29" s="1"/>
  <c r="DP152" i="29"/>
  <c r="EA214" i="29"/>
  <c r="EB214" i="29" s="1"/>
  <c r="DP214" i="29"/>
  <c r="EA219" i="29"/>
  <c r="EB219" i="29" s="1"/>
  <c r="EA235" i="29"/>
  <c r="EB235" i="29" s="1"/>
  <c r="EA270" i="29"/>
  <c r="EB270" i="29" s="1"/>
  <c r="DP154" i="29"/>
  <c r="DY211" i="29"/>
  <c r="EA91" i="29"/>
  <c r="EB91" i="29" s="1"/>
  <c r="DP119" i="29"/>
  <c r="EA137" i="29"/>
  <c r="EB137" i="29" s="1"/>
  <c r="DP137" i="29"/>
  <c r="EA189" i="29"/>
  <c r="EB189" i="29" s="1"/>
  <c r="DY179" i="29"/>
  <c r="EA179" i="29"/>
  <c r="EB179" i="29" s="1"/>
  <c r="EA236" i="29"/>
  <c r="EB236" i="29" s="1"/>
  <c r="DY21" i="29"/>
  <c r="DP81" i="29"/>
  <c r="DP108" i="29"/>
  <c r="DP126" i="29"/>
  <c r="DP157" i="29"/>
  <c r="DP185" i="29"/>
  <c r="DP231" i="29"/>
  <c r="DP236" i="29"/>
  <c r="EA291" i="29"/>
  <c r="EB291" i="29" s="1"/>
  <c r="EA242" i="29"/>
  <c r="EB242" i="29" s="1"/>
  <c r="EA20" i="29"/>
  <c r="EB20" i="29" s="1"/>
  <c r="DX18" i="29"/>
  <c r="DY18" i="29" s="1"/>
  <c r="EA79" i="29"/>
  <c r="EB79" i="29" s="1"/>
  <c r="DP35" i="29"/>
  <c r="EA45" i="29"/>
  <c r="EB45" i="29" s="1"/>
  <c r="DP139" i="29"/>
  <c r="EA220" i="29"/>
  <c r="EB220" i="29" s="1"/>
  <c r="DY247" i="29"/>
  <c r="DP311" i="29"/>
  <c r="DP37" i="29"/>
  <c r="DP54" i="29"/>
  <c r="DP61" i="29"/>
  <c r="EA128" i="29"/>
  <c r="EB128" i="29" s="1"/>
  <c r="DP128" i="29"/>
  <c r="DP144" i="29"/>
  <c r="EA144" i="29"/>
  <c r="EB144" i="29" s="1"/>
  <c r="EA187" i="29"/>
  <c r="EB187" i="29" s="1"/>
  <c r="DP187" i="29"/>
  <c r="EA227" i="29"/>
  <c r="EB227" i="29" s="1"/>
  <c r="DY283" i="29"/>
  <c r="DP55" i="29"/>
  <c r="DY263" i="29"/>
  <c r="EA263" i="29"/>
  <c r="EB263" i="29" s="1"/>
  <c r="EA252" i="29"/>
  <c r="EB252" i="29" s="1"/>
  <c r="DP252" i="29"/>
  <c r="DP293" i="29"/>
  <c r="EA170" i="29"/>
  <c r="EB170" i="29" s="1"/>
  <c r="EA26" i="29"/>
  <c r="EB26" i="29" s="1"/>
  <c r="DP26" i="29"/>
  <c r="DY29" i="29"/>
  <c r="EA46" i="29"/>
  <c r="EB46" i="29" s="1"/>
  <c r="DP90" i="29"/>
  <c r="DP127" i="29"/>
  <c r="EA127" i="29"/>
  <c r="EB127" i="29" s="1"/>
  <c r="DY153" i="29"/>
  <c r="EA161" i="29"/>
  <c r="EB161" i="29" s="1"/>
  <c r="DP161" i="29"/>
  <c r="EA215" i="29"/>
  <c r="EB215" i="29" s="1"/>
  <c r="DY237" i="29"/>
  <c r="DP264" i="29"/>
  <c r="DY306" i="29"/>
  <c r="EA58" i="29"/>
  <c r="EB58" i="29" s="1"/>
  <c r="DP75" i="29"/>
  <c r="EA297" i="29"/>
  <c r="EB297" i="29" s="1"/>
  <c r="DP178" i="29"/>
  <c r="DP33" i="29"/>
  <c r="EA49" i="29"/>
  <c r="EB49" i="29" s="1"/>
  <c r="DP122" i="29"/>
  <c r="DY224" i="29"/>
  <c r="DP277" i="29"/>
  <c r="EA277" i="29"/>
  <c r="EB277" i="29" s="1"/>
  <c r="DY50" i="29"/>
  <c r="EA57" i="29"/>
  <c r="EB57" i="29" s="1"/>
  <c r="EA143" i="29"/>
  <c r="EB143" i="29" s="1"/>
  <c r="DP150" i="29"/>
  <c r="EA150" i="29"/>
  <c r="EB150" i="29" s="1"/>
  <c r="EA200" i="29"/>
  <c r="EB200" i="29" s="1"/>
  <c r="EA204" i="29"/>
  <c r="EB204" i="29" s="1"/>
  <c r="EA232" i="29"/>
  <c r="EB232" i="29" s="1"/>
  <c r="EA272" i="29"/>
  <c r="EB272" i="29" s="1"/>
  <c r="EA282" i="29"/>
  <c r="EB282" i="29" s="1"/>
  <c r="EA307" i="29"/>
  <c r="EB307" i="29" s="1"/>
  <c r="EA265" i="29"/>
  <c r="EB265" i="29" s="1"/>
  <c r="DP147" i="29"/>
  <c r="EA147" i="29"/>
  <c r="EB147" i="29" s="1"/>
  <c r="DP41" i="29"/>
  <c r="DP113" i="29"/>
  <c r="EA105" i="29"/>
  <c r="EB105" i="29" s="1"/>
  <c r="DP171" i="29"/>
  <c r="EA205" i="29"/>
  <c r="EB205" i="29" s="1"/>
  <c r="DP205" i="29"/>
  <c r="DP232" i="29"/>
  <c r="DP248" i="29"/>
  <c r="DY259" i="29"/>
  <c r="EA288" i="29"/>
  <c r="EB288" i="29" s="1"/>
  <c r="EA301" i="29"/>
  <c r="EB301" i="29" s="1"/>
  <c r="EA186" i="29"/>
  <c r="EB186" i="29" s="1"/>
  <c r="EA261" i="29"/>
  <c r="EB261" i="29" s="1"/>
  <c r="DP218" i="29"/>
  <c r="DP266" i="29"/>
  <c r="EA117" i="29"/>
  <c r="EB117" i="29" s="1"/>
  <c r="EA110" i="29"/>
  <c r="EB110" i="29" s="1"/>
  <c r="EA253" i="29"/>
  <c r="EB253" i="29" s="1"/>
  <c r="EA275" i="29"/>
  <c r="EB275" i="29" s="1"/>
  <c r="DP290" i="29"/>
  <c r="DY296" i="29"/>
  <c r="DP312" i="29"/>
  <c r="EA18" i="29" l="1"/>
  <c r="EB18" i="29" s="1"/>
  <c r="CY18" i="29" l="1"/>
  <c r="CX18" i="29"/>
  <c r="CW18" i="29" l="1"/>
  <c r="E32" i="3"/>
  <c r="CV18" i="29"/>
  <c r="CT18" i="29"/>
  <c r="CU18" i="29"/>
  <c r="CQ18" i="29"/>
  <c r="CR18" i="29"/>
  <c r="CS18" i="29"/>
  <c r="DB18" i="29"/>
  <c r="DA18" i="29"/>
  <c r="C31" i="3" l="1"/>
  <c r="C30" i="3"/>
  <c r="CO18" i="29" l="1"/>
  <c r="CP18" i="29"/>
  <c r="BQ18" i="29"/>
  <c r="BR18" i="29"/>
  <c r="BS18" i="29"/>
  <c r="BP18" i="29"/>
  <c r="BO18" i="29"/>
  <c r="CB21" i="29"/>
  <c r="CD21" i="29" s="1"/>
  <c r="CC21" i="29"/>
  <c r="CE21" i="29" l="1"/>
  <c r="CF21" i="29" s="1"/>
  <c r="CJ21" i="29" s="1"/>
  <c r="A76" i="3"/>
  <c r="E35" i="3" l="1"/>
  <c r="E36" i="3" s="1"/>
  <c r="F35" i="3"/>
  <c r="F36" i="3" s="1"/>
  <c r="G35" i="3"/>
  <c r="H35" i="3"/>
  <c r="BQ9" i="29"/>
  <c r="BQ8" i="29"/>
  <c r="B25" i="3" l="1"/>
  <c r="C25" i="3" s="1"/>
  <c r="CB22" i="29"/>
  <c r="CB23" i="29"/>
  <c r="CB24" i="29"/>
  <c r="CB25" i="29"/>
  <c r="CB26" i="29"/>
  <c r="CB20" i="29"/>
  <c r="CB27" i="29"/>
  <c r="CB28" i="29"/>
  <c r="CB29" i="29"/>
  <c r="CB30" i="29"/>
  <c r="CB31" i="29"/>
  <c r="CB32" i="29"/>
  <c r="CB33" i="29"/>
  <c r="CB34" i="29"/>
  <c r="CB35" i="29"/>
  <c r="CB36" i="29"/>
  <c r="CB37" i="29"/>
  <c r="CB38" i="29"/>
  <c r="CB39" i="29"/>
  <c r="CB40" i="29"/>
  <c r="CB41" i="29"/>
  <c r="CB42" i="29"/>
  <c r="CB43" i="29"/>
  <c r="CB44" i="29"/>
  <c r="CB46" i="29"/>
  <c r="CB47" i="29"/>
  <c r="CB294" i="29"/>
  <c r="CB48" i="29"/>
  <c r="CB49" i="29"/>
  <c r="CB50" i="29"/>
  <c r="CB51" i="29"/>
  <c r="CB52" i="29"/>
  <c r="CB53" i="29"/>
  <c r="CB54" i="29"/>
  <c r="CB55" i="29"/>
  <c r="CB45" i="29"/>
  <c r="CB56" i="29"/>
  <c r="CB57" i="29"/>
  <c r="CB58" i="29"/>
  <c r="CB59" i="29"/>
  <c r="CB60" i="29"/>
  <c r="CB61" i="29"/>
  <c r="CB63" i="29"/>
  <c r="CB64" i="29"/>
  <c r="CB65" i="29"/>
  <c r="CB66" i="29"/>
  <c r="CB62" i="29"/>
  <c r="CB67" i="29"/>
  <c r="CB68" i="29"/>
  <c r="CB69" i="29"/>
  <c r="CB70" i="29"/>
  <c r="CB71" i="29"/>
  <c r="CB72" i="29"/>
  <c r="CB73" i="29"/>
  <c r="CB74" i="29"/>
  <c r="CB75" i="29"/>
  <c r="CB76" i="29"/>
  <c r="CB77" i="29"/>
  <c r="CB78" i="29"/>
  <c r="CB79" i="29"/>
  <c r="CB80" i="29"/>
  <c r="CB81" i="29"/>
  <c r="CB82" i="29"/>
  <c r="CB83" i="29"/>
  <c r="CB84" i="29"/>
  <c r="CB85" i="29"/>
  <c r="CB86" i="29"/>
  <c r="CB87" i="29"/>
  <c r="CB88" i="29"/>
  <c r="CB89" i="29"/>
  <c r="CB90" i="29"/>
  <c r="CB91" i="29"/>
  <c r="CB92" i="29"/>
  <c r="CB93" i="29"/>
  <c r="CB94" i="29"/>
  <c r="CB95" i="29"/>
  <c r="CB96" i="29"/>
  <c r="CB97" i="29"/>
  <c r="CB98" i="29"/>
  <c r="CB100" i="29"/>
  <c r="CB102" i="29"/>
  <c r="CB103" i="29"/>
  <c r="CB104" i="29"/>
  <c r="CB105" i="29"/>
  <c r="CB106" i="29"/>
  <c r="CB107" i="29"/>
  <c r="CB108" i="29"/>
  <c r="CB109" i="29"/>
  <c r="CB110" i="29"/>
  <c r="CB111" i="29"/>
  <c r="CB112" i="29"/>
  <c r="CB113" i="29"/>
  <c r="CB114" i="29"/>
  <c r="CB115" i="29"/>
  <c r="CB116" i="29"/>
  <c r="CB117" i="29"/>
  <c r="CB118" i="29"/>
  <c r="CB119" i="29"/>
  <c r="CB120" i="29"/>
  <c r="CB121" i="29"/>
  <c r="CB122" i="29"/>
  <c r="CB123" i="29"/>
  <c r="CB124" i="29"/>
  <c r="CB125" i="29"/>
  <c r="CB126" i="29"/>
  <c r="CB127" i="29"/>
  <c r="CB128" i="29"/>
  <c r="CB129" i="29"/>
  <c r="CB188" i="29"/>
  <c r="CB130" i="29"/>
  <c r="CB131" i="29"/>
  <c r="CB132" i="29"/>
  <c r="CB99" i="29"/>
  <c r="CB101" i="29"/>
  <c r="CB133" i="29"/>
  <c r="CB134" i="29"/>
  <c r="CB135" i="29"/>
  <c r="CB137" i="29"/>
  <c r="CB138" i="29"/>
  <c r="CB139" i="29"/>
  <c r="CB136" i="29"/>
  <c r="CB140" i="29"/>
  <c r="CB141" i="29"/>
  <c r="CB142" i="29"/>
  <c r="CB143" i="29"/>
  <c r="CB144" i="29"/>
  <c r="CB145" i="29"/>
  <c r="CB146" i="29"/>
  <c r="CB147" i="29"/>
  <c r="CB148" i="29"/>
  <c r="CB149" i="29"/>
  <c r="CB151" i="29"/>
  <c r="CB152" i="29"/>
  <c r="CB153" i="29"/>
  <c r="CB154" i="29"/>
  <c r="CB155" i="29"/>
  <c r="CB156" i="29"/>
  <c r="CB157" i="29"/>
  <c r="CB150" i="29"/>
  <c r="CB192" i="29"/>
  <c r="CB158" i="29"/>
  <c r="CB159" i="29"/>
  <c r="CB160" i="29"/>
  <c r="CB161" i="29"/>
  <c r="CB162" i="29"/>
  <c r="CB163" i="29"/>
  <c r="CB164" i="29"/>
  <c r="CB165" i="29"/>
  <c r="CB166" i="29"/>
  <c r="CB167" i="29"/>
  <c r="CB168" i="29"/>
  <c r="CB169" i="29"/>
  <c r="CB170" i="29"/>
  <c r="CB171" i="29"/>
  <c r="CB172" i="29"/>
  <c r="CB174" i="29"/>
  <c r="CB173" i="29"/>
  <c r="CB175" i="29"/>
  <c r="CB176" i="29"/>
  <c r="CB177" i="29"/>
  <c r="CB178" i="29"/>
  <c r="CB179" i="29"/>
  <c r="CB180" i="29"/>
  <c r="CB181" i="29"/>
  <c r="CB182" i="29"/>
  <c r="CB183" i="29"/>
  <c r="CB184" i="29"/>
  <c r="CB185" i="29"/>
  <c r="CB186" i="29"/>
  <c r="CB187" i="29"/>
  <c r="CB189" i="29"/>
  <c r="CB190" i="29"/>
  <c r="CB191" i="29"/>
  <c r="CB193" i="29"/>
  <c r="CB194" i="29"/>
  <c r="CB196" i="29"/>
  <c r="CB198" i="29"/>
  <c r="CB199" i="29"/>
  <c r="CB200" i="29"/>
  <c r="CB201" i="29"/>
  <c r="CB202" i="29"/>
  <c r="CB203" i="29"/>
  <c r="CB195" i="29"/>
  <c r="CB204" i="29"/>
  <c r="CB205" i="29"/>
  <c r="CB206" i="29"/>
  <c r="CB207" i="29"/>
  <c r="CB208" i="29"/>
  <c r="CB209" i="29"/>
  <c r="CB211" i="29"/>
  <c r="CB212" i="29"/>
  <c r="CB213" i="29"/>
  <c r="CB214" i="29"/>
  <c r="CB215" i="29"/>
  <c r="CB216" i="29"/>
  <c r="CB217" i="29"/>
  <c r="CB218" i="29"/>
  <c r="CB219" i="29"/>
  <c r="CB220" i="29"/>
  <c r="CB221" i="29"/>
  <c r="CB222" i="29"/>
  <c r="CB223" i="29"/>
  <c r="CB210" i="29"/>
  <c r="CB224" i="29"/>
  <c r="CB226" i="29"/>
  <c r="CB227" i="29"/>
  <c r="CB228" i="29"/>
  <c r="CB229" i="29"/>
  <c r="CB230" i="29"/>
  <c r="CB231" i="29"/>
  <c r="CB232" i="29"/>
  <c r="CB233" i="29"/>
  <c r="CB234" i="29"/>
  <c r="CB235" i="29"/>
  <c r="CB236" i="29"/>
  <c r="CB237" i="29"/>
  <c r="CB238" i="29"/>
  <c r="CB239" i="29"/>
  <c r="CB240" i="29"/>
  <c r="CB225" i="29"/>
  <c r="CB241" i="29"/>
  <c r="CB242" i="29"/>
  <c r="CB243" i="29"/>
  <c r="CB245" i="29"/>
  <c r="CB246" i="29"/>
  <c r="CB247" i="29"/>
  <c r="CB248" i="29"/>
  <c r="CB249" i="29"/>
  <c r="CB250" i="29"/>
  <c r="CB251" i="29"/>
  <c r="CB252" i="29"/>
  <c r="CB254" i="29"/>
  <c r="CB255" i="29"/>
  <c r="CB256" i="29"/>
  <c r="CB257" i="29"/>
  <c r="CB258" i="29"/>
  <c r="CB259" i="29"/>
  <c r="CB260" i="29"/>
  <c r="CB261" i="29"/>
  <c r="CB262" i="29"/>
  <c r="CB263" i="29"/>
  <c r="CB264" i="29"/>
  <c r="CB265" i="29"/>
  <c r="CB266" i="29"/>
  <c r="CB267" i="29"/>
  <c r="CB291" i="29"/>
  <c r="CB244" i="29"/>
  <c r="CB253" i="29"/>
  <c r="CB268" i="29"/>
  <c r="CB269" i="29"/>
  <c r="CB270" i="29"/>
  <c r="CB271" i="29"/>
  <c r="CB272" i="29"/>
  <c r="CB273" i="29"/>
  <c r="CB274" i="29"/>
  <c r="CB275" i="29"/>
  <c r="CB276" i="29"/>
  <c r="CB277" i="29"/>
  <c r="CB278" i="29"/>
  <c r="CB279" i="29"/>
  <c r="CB280" i="29"/>
  <c r="CB197" i="29"/>
  <c r="CB281" i="29"/>
  <c r="CB282" i="29"/>
  <c r="CB283" i="29"/>
  <c r="CB284" i="29"/>
  <c r="CB285" i="29"/>
  <c r="CB286" i="29"/>
  <c r="CB287" i="29"/>
  <c r="CB288" i="29"/>
  <c r="CB289" i="29"/>
  <c r="CB290" i="29"/>
  <c r="CB292" i="29"/>
  <c r="CB293" i="29"/>
  <c r="CB295" i="29"/>
  <c r="CB296" i="29"/>
  <c r="CB297" i="29"/>
  <c r="CB298" i="29"/>
  <c r="CB299" i="29"/>
  <c r="CB300" i="29"/>
  <c r="CB301" i="29"/>
  <c r="CB302" i="29"/>
  <c r="CB303" i="29"/>
  <c r="CB304" i="29"/>
  <c r="CB305" i="29"/>
  <c r="CB306" i="29"/>
  <c r="CB307" i="29"/>
  <c r="CB308" i="29"/>
  <c r="CB309" i="29"/>
  <c r="CB310" i="29"/>
  <c r="CB311" i="29"/>
  <c r="CB312" i="29"/>
  <c r="CC22" i="29"/>
  <c r="CC23" i="29"/>
  <c r="CC24" i="29"/>
  <c r="CC25" i="29"/>
  <c r="CC26" i="29"/>
  <c r="CC20" i="29"/>
  <c r="CC27" i="29"/>
  <c r="CC28" i="29"/>
  <c r="CC29" i="29"/>
  <c r="CC30" i="29"/>
  <c r="CC31" i="29"/>
  <c r="CC32" i="29"/>
  <c r="CC33" i="29"/>
  <c r="CC34" i="29"/>
  <c r="CC35" i="29"/>
  <c r="CC36" i="29"/>
  <c r="CC37" i="29"/>
  <c r="CC38" i="29"/>
  <c r="CC39" i="29"/>
  <c r="CC40" i="29"/>
  <c r="CC41" i="29"/>
  <c r="CC42" i="29"/>
  <c r="CC43" i="29"/>
  <c r="CC44" i="29"/>
  <c r="CC46" i="29"/>
  <c r="CC47" i="29"/>
  <c r="CC294" i="29"/>
  <c r="CC48" i="29"/>
  <c r="CC49" i="29"/>
  <c r="CC50" i="29"/>
  <c r="CC51" i="29"/>
  <c r="CC52" i="29"/>
  <c r="CC53" i="29"/>
  <c r="CC54" i="29"/>
  <c r="CC55" i="29"/>
  <c r="CC45" i="29"/>
  <c r="CC56" i="29"/>
  <c r="CC57" i="29"/>
  <c r="CC58" i="29"/>
  <c r="CC59" i="29"/>
  <c r="CC60" i="29"/>
  <c r="CC61" i="29"/>
  <c r="CC63" i="29"/>
  <c r="CC64" i="29"/>
  <c r="CC65" i="29"/>
  <c r="CC66" i="29"/>
  <c r="CC62" i="29"/>
  <c r="CC67" i="29"/>
  <c r="CC68" i="29"/>
  <c r="CC69" i="29"/>
  <c r="CC70" i="29"/>
  <c r="CC71" i="29"/>
  <c r="CC72" i="29"/>
  <c r="CC73" i="29"/>
  <c r="CC74" i="29"/>
  <c r="CC75" i="29"/>
  <c r="CC76" i="29"/>
  <c r="CC77" i="29"/>
  <c r="CC78" i="29"/>
  <c r="CC79" i="29"/>
  <c r="CC80" i="29"/>
  <c r="CC81" i="29"/>
  <c r="CC82" i="29"/>
  <c r="CC83" i="29"/>
  <c r="CC84" i="29"/>
  <c r="CC85" i="29"/>
  <c r="CC86" i="29"/>
  <c r="CC87" i="29"/>
  <c r="CC88" i="29"/>
  <c r="CC89" i="29"/>
  <c r="CC90" i="29"/>
  <c r="CC91" i="29"/>
  <c r="CC92" i="29"/>
  <c r="CC93" i="29"/>
  <c r="CC94" i="29"/>
  <c r="CC95" i="29"/>
  <c r="CC96" i="29"/>
  <c r="CC97" i="29"/>
  <c r="CC98" i="29"/>
  <c r="CC100" i="29"/>
  <c r="CC102" i="29"/>
  <c r="CC103" i="29"/>
  <c r="CC104" i="29"/>
  <c r="CC105" i="29"/>
  <c r="CC106" i="29"/>
  <c r="CC107" i="29"/>
  <c r="CC108" i="29"/>
  <c r="CC109" i="29"/>
  <c r="CC110" i="29"/>
  <c r="CC111" i="29"/>
  <c r="CC112" i="29"/>
  <c r="CC113" i="29"/>
  <c r="CC114" i="29"/>
  <c r="CC115" i="29"/>
  <c r="CC116" i="29"/>
  <c r="CC117" i="29"/>
  <c r="CC118" i="29"/>
  <c r="CC119" i="29"/>
  <c r="CC120" i="29"/>
  <c r="CC121" i="29"/>
  <c r="CC122" i="29"/>
  <c r="CC123" i="29"/>
  <c r="CC124" i="29"/>
  <c r="CC125" i="29"/>
  <c r="CC126" i="29"/>
  <c r="CC127" i="29"/>
  <c r="CC128" i="29"/>
  <c r="CC129" i="29"/>
  <c r="CC188" i="29"/>
  <c r="CC130" i="29"/>
  <c r="CC131" i="29"/>
  <c r="CC132" i="29"/>
  <c r="CC99" i="29"/>
  <c r="CC101" i="29"/>
  <c r="CC133" i="29"/>
  <c r="CC134" i="29"/>
  <c r="CC135" i="29"/>
  <c r="CC137" i="29"/>
  <c r="CC138" i="29"/>
  <c r="CC139" i="29"/>
  <c r="CC136" i="29"/>
  <c r="CC140" i="29"/>
  <c r="CC141" i="29"/>
  <c r="CC142" i="29"/>
  <c r="CC143" i="29"/>
  <c r="CC144" i="29"/>
  <c r="CC145" i="29"/>
  <c r="CC146" i="29"/>
  <c r="CC147" i="29"/>
  <c r="CC148" i="29"/>
  <c r="CC149" i="29"/>
  <c r="CC151" i="29"/>
  <c r="CC152" i="29"/>
  <c r="CC153" i="29"/>
  <c r="CC154" i="29"/>
  <c r="CC155" i="29"/>
  <c r="CC156" i="29"/>
  <c r="CC157" i="29"/>
  <c r="CC150" i="29"/>
  <c r="CC192" i="29"/>
  <c r="CC158" i="29"/>
  <c r="CC159" i="29"/>
  <c r="CC160" i="29"/>
  <c r="CC161" i="29"/>
  <c r="CC162" i="29"/>
  <c r="CC163" i="29"/>
  <c r="CC164" i="29"/>
  <c r="CC165" i="29"/>
  <c r="CC166" i="29"/>
  <c r="CC167" i="29"/>
  <c r="CC168" i="29"/>
  <c r="CC169" i="29"/>
  <c r="CC170" i="29"/>
  <c r="CC171" i="29"/>
  <c r="CC172" i="29"/>
  <c r="CC174" i="29"/>
  <c r="CC173" i="29"/>
  <c r="CC175" i="29"/>
  <c r="CC176" i="29"/>
  <c r="CC177" i="29"/>
  <c r="CC178" i="29"/>
  <c r="CC179" i="29"/>
  <c r="CC180" i="29"/>
  <c r="CC181" i="29"/>
  <c r="CC182" i="29"/>
  <c r="CC183" i="29"/>
  <c r="CC184" i="29"/>
  <c r="CC185" i="29"/>
  <c r="CC186" i="29"/>
  <c r="CC187" i="29"/>
  <c r="CC189" i="29"/>
  <c r="CC190" i="29"/>
  <c r="CC191" i="29"/>
  <c r="CC193" i="29"/>
  <c r="CC194" i="29"/>
  <c r="CC196" i="29"/>
  <c r="CC198" i="29"/>
  <c r="CC199" i="29"/>
  <c r="CC200" i="29"/>
  <c r="CC201" i="29"/>
  <c r="CC202" i="29"/>
  <c r="CC203" i="29"/>
  <c r="CC195" i="29"/>
  <c r="CC204" i="29"/>
  <c r="CC205" i="29"/>
  <c r="CC206" i="29"/>
  <c r="CC207" i="29"/>
  <c r="CC208" i="29"/>
  <c r="CC209" i="29"/>
  <c r="CC211" i="29"/>
  <c r="CC212" i="29"/>
  <c r="CC213" i="29"/>
  <c r="CC214" i="29"/>
  <c r="CC215" i="29"/>
  <c r="CC216" i="29"/>
  <c r="CC217" i="29"/>
  <c r="CC218" i="29"/>
  <c r="CC219" i="29"/>
  <c r="CC220" i="29"/>
  <c r="CC221" i="29"/>
  <c r="CC222" i="29"/>
  <c r="CC223" i="29"/>
  <c r="CC210" i="29"/>
  <c r="CC224" i="29"/>
  <c r="CC226" i="29"/>
  <c r="CC227" i="29"/>
  <c r="CC228" i="29"/>
  <c r="CC229" i="29"/>
  <c r="CC230" i="29"/>
  <c r="CC231" i="29"/>
  <c r="CC232" i="29"/>
  <c r="CC233" i="29"/>
  <c r="CC234" i="29"/>
  <c r="CC235" i="29"/>
  <c r="CC236" i="29"/>
  <c r="CC237" i="29"/>
  <c r="CC238" i="29"/>
  <c r="CC239" i="29"/>
  <c r="CC240" i="29"/>
  <c r="CC225" i="29"/>
  <c r="CC241" i="29"/>
  <c r="CC242" i="29"/>
  <c r="CC243" i="29"/>
  <c r="CC245" i="29"/>
  <c r="CC246" i="29"/>
  <c r="CC247" i="29"/>
  <c r="CC248" i="29"/>
  <c r="CC249" i="29"/>
  <c r="CC250" i="29"/>
  <c r="CC251" i="29"/>
  <c r="CC252" i="29"/>
  <c r="CC254" i="29"/>
  <c r="CC255" i="29"/>
  <c r="CC256" i="29"/>
  <c r="CC257" i="29"/>
  <c r="CC258" i="29"/>
  <c r="CC259" i="29"/>
  <c r="CC260" i="29"/>
  <c r="CC261" i="29"/>
  <c r="CC262" i="29"/>
  <c r="CC263" i="29"/>
  <c r="CC264" i="29"/>
  <c r="CC265" i="29"/>
  <c r="CC266" i="29"/>
  <c r="CC267" i="29"/>
  <c r="CC291" i="29"/>
  <c r="CC244" i="29"/>
  <c r="CC253" i="29"/>
  <c r="CC268" i="29"/>
  <c r="CC269" i="29"/>
  <c r="CC270" i="29"/>
  <c r="CC271" i="29"/>
  <c r="CC272" i="29"/>
  <c r="CC273" i="29"/>
  <c r="CC274" i="29"/>
  <c r="CC275" i="29"/>
  <c r="CC276" i="29"/>
  <c r="CC277" i="29"/>
  <c r="CC278" i="29"/>
  <c r="CC279" i="29"/>
  <c r="CC280" i="29"/>
  <c r="CC197" i="29"/>
  <c r="CC281" i="29"/>
  <c r="CC282" i="29"/>
  <c r="CC283" i="29"/>
  <c r="CC284" i="29"/>
  <c r="CC285" i="29"/>
  <c r="CC286" i="29"/>
  <c r="CC287" i="29"/>
  <c r="CC288" i="29"/>
  <c r="CC289" i="29"/>
  <c r="CC290" i="29"/>
  <c r="CC292" i="29"/>
  <c r="CC293" i="29"/>
  <c r="CC295" i="29"/>
  <c r="CC296" i="29"/>
  <c r="CC297" i="29"/>
  <c r="CC298" i="29"/>
  <c r="CC299" i="29"/>
  <c r="CC300" i="29"/>
  <c r="CC301" i="29"/>
  <c r="CC302" i="29"/>
  <c r="CC303" i="29"/>
  <c r="CC304" i="29"/>
  <c r="CC305" i="29"/>
  <c r="CC306" i="29"/>
  <c r="CC307" i="29"/>
  <c r="CC308" i="29"/>
  <c r="CC309" i="29"/>
  <c r="CC310" i="29"/>
  <c r="CC311" i="29"/>
  <c r="CC312" i="29"/>
  <c r="BI18" i="29"/>
  <c r="D2" i="32" s="1"/>
  <c r="B26" i="3"/>
  <c r="C26" i="3" s="1"/>
  <c r="BV22" i="29"/>
  <c r="BV23" i="29"/>
  <c r="BV24" i="29"/>
  <c r="BV25" i="29"/>
  <c r="BV26" i="29"/>
  <c r="BV20" i="29"/>
  <c r="BV27" i="29"/>
  <c r="BV28" i="29"/>
  <c r="BV29" i="29"/>
  <c r="BV30" i="29"/>
  <c r="BV31" i="29"/>
  <c r="BV32" i="29"/>
  <c r="BV33" i="29"/>
  <c r="BV34" i="29"/>
  <c r="BV35" i="29"/>
  <c r="BV36" i="29"/>
  <c r="BV37" i="29"/>
  <c r="BV38" i="29"/>
  <c r="BV39" i="29"/>
  <c r="BV40" i="29"/>
  <c r="BV41" i="29"/>
  <c r="BV42" i="29"/>
  <c r="BV43" i="29"/>
  <c r="BV44" i="29"/>
  <c r="BV46" i="29"/>
  <c r="BV47" i="29"/>
  <c r="BV294" i="29"/>
  <c r="BV48" i="29"/>
  <c r="BV49" i="29"/>
  <c r="BV50" i="29"/>
  <c r="BV51" i="29"/>
  <c r="BV52" i="29"/>
  <c r="BV53" i="29"/>
  <c r="BV54" i="29"/>
  <c r="BV55" i="29"/>
  <c r="BV45" i="29"/>
  <c r="BV56" i="29"/>
  <c r="BV57" i="29"/>
  <c r="BV58" i="29"/>
  <c r="BV59" i="29"/>
  <c r="BV60" i="29"/>
  <c r="BV61" i="29"/>
  <c r="BV63" i="29"/>
  <c r="BV64" i="29"/>
  <c r="BV65" i="29"/>
  <c r="BV66" i="29"/>
  <c r="BV62" i="29"/>
  <c r="BV67" i="29"/>
  <c r="BV68" i="29"/>
  <c r="BV69" i="29"/>
  <c r="BV70" i="29"/>
  <c r="BV71" i="29"/>
  <c r="BV72" i="29"/>
  <c r="BV73" i="29"/>
  <c r="BV74" i="29"/>
  <c r="BV75" i="29"/>
  <c r="BV76" i="29"/>
  <c r="BV77" i="29"/>
  <c r="BV78" i="29"/>
  <c r="BV79" i="29"/>
  <c r="BV80" i="29"/>
  <c r="BV81" i="29"/>
  <c r="BV82" i="29"/>
  <c r="BV83" i="29"/>
  <c r="BV84" i="29"/>
  <c r="BV85" i="29"/>
  <c r="BV86" i="29"/>
  <c r="BV87" i="29"/>
  <c r="BV88" i="29"/>
  <c r="BV89" i="29"/>
  <c r="BV90" i="29"/>
  <c r="BV91" i="29"/>
  <c r="BV92" i="29"/>
  <c r="BV93" i="29"/>
  <c r="BV94" i="29"/>
  <c r="BV95" i="29"/>
  <c r="BV96" i="29"/>
  <c r="BV97" i="29"/>
  <c r="BV98" i="29"/>
  <c r="BV100" i="29"/>
  <c r="BV102" i="29"/>
  <c r="BV103" i="29"/>
  <c r="BV104" i="29"/>
  <c r="BV105" i="29"/>
  <c r="BV106" i="29"/>
  <c r="BV107" i="29"/>
  <c r="BV108" i="29"/>
  <c r="BV109" i="29"/>
  <c r="BV110" i="29"/>
  <c r="BV111" i="29"/>
  <c r="BV112" i="29"/>
  <c r="BV113" i="29"/>
  <c r="BV114" i="29"/>
  <c r="BV115" i="29"/>
  <c r="BV116" i="29"/>
  <c r="BV117" i="29"/>
  <c r="BV118" i="29"/>
  <c r="BV119" i="29"/>
  <c r="BV120" i="29"/>
  <c r="BV121" i="29"/>
  <c r="BV122" i="29"/>
  <c r="BV123" i="29"/>
  <c r="BV124" i="29"/>
  <c r="BV125" i="29"/>
  <c r="BV126" i="29"/>
  <c r="BV127" i="29"/>
  <c r="BV128" i="29"/>
  <c r="BV129" i="29"/>
  <c r="BV188" i="29"/>
  <c r="BV130" i="29"/>
  <c r="BV131" i="29"/>
  <c r="BV132" i="29"/>
  <c r="BV99" i="29"/>
  <c r="BV101" i="29"/>
  <c r="BV133" i="29"/>
  <c r="BV134" i="29"/>
  <c r="BV135" i="29"/>
  <c r="BV137" i="29"/>
  <c r="BV138" i="29"/>
  <c r="BV139" i="29"/>
  <c r="BV136" i="29"/>
  <c r="BV140" i="29"/>
  <c r="BV141" i="29"/>
  <c r="BV142" i="29"/>
  <c r="BV143" i="29"/>
  <c r="BV144" i="29"/>
  <c r="BV145" i="29"/>
  <c r="BV146" i="29"/>
  <c r="BV147" i="29"/>
  <c r="BV148" i="29"/>
  <c r="BV149" i="29"/>
  <c r="BV151" i="29"/>
  <c r="BV152" i="29"/>
  <c r="BV153" i="29"/>
  <c r="BV154" i="29"/>
  <c r="BV155" i="29"/>
  <c r="BV156" i="29"/>
  <c r="BV157" i="29"/>
  <c r="BV150" i="29"/>
  <c r="BV192" i="29"/>
  <c r="BV158" i="29"/>
  <c r="BV159" i="29"/>
  <c r="BV160" i="29"/>
  <c r="BV161" i="29"/>
  <c r="BV162" i="29"/>
  <c r="BV163" i="29"/>
  <c r="BV164" i="29"/>
  <c r="BV165" i="29"/>
  <c r="BV166" i="29"/>
  <c r="BV167" i="29"/>
  <c r="BV168" i="29"/>
  <c r="BV169" i="29"/>
  <c r="BV170" i="29"/>
  <c r="BV171" i="29"/>
  <c r="BV172" i="29"/>
  <c r="BV174" i="29"/>
  <c r="BV173" i="29"/>
  <c r="BV175" i="29"/>
  <c r="BV176" i="29"/>
  <c r="BV177" i="29"/>
  <c r="BV178" i="29"/>
  <c r="BV179" i="29"/>
  <c r="BV180" i="29"/>
  <c r="BV181" i="29"/>
  <c r="BV182" i="29"/>
  <c r="BV183" i="29"/>
  <c r="BV184" i="29"/>
  <c r="BV185" i="29"/>
  <c r="BV186" i="29"/>
  <c r="BV187" i="29"/>
  <c r="BV189" i="29"/>
  <c r="BV190" i="29"/>
  <c r="BV191" i="29"/>
  <c r="BV193" i="29"/>
  <c r="BV194" i="29"/>
  <c r="BV196" i="29"/>
  <c r="BV198" i="29"/>
  <c r="BV199" i="29"/>
  <c r="BV200" i="29"/>
  <c r="BV201" i="29"/>
  <c r="BV202" i="29"/>
  <c r="BV203" i="29"/>
  <c r="BV195" i="29"/>
  <c r="BV204" i="29"/>
  <c r="BV205" i="29"/>
  <c r="BV206" i="29"/>
  <c r="BV207" i="29"/>
  <c r="BV208" i="29"/>
  <c r="BV209" i="29"/>
  <c r="BV211" i="29"/>
  <c r="BV212" i="29"/>
  <c r="BV213" i="29"/>
  <c r="BV214" i="29"/>
  <c r="BV215" i="29"/>
  <c r="BV216" i="29"/>
  <c r="BV217" i="29"/>
  <c r="BV218" i="29"/>
  <c r="BV219" i="29"/>
  <c r="BV220" i="29"/>
  <c r="BV221" i="29"/>
  <c r="BV222" i="29"/>
  <c r="BV223" i="29"/>
  <c r="BV210" i="29"/>
  <c r="BV224" i="29"/>
  <c r="BV226" i="29"/>
  <c r="BV227" i="29"/>
  <c r="BV228" i="29"/>
  <c r="BV229" i="29"/>
  <c r="BV230" i="29"/>
  <c r="BV231" i="29"/>
  <c r="BV232" i="29"/>
  <c r="BV233" i="29"/>
  <c r="BV234" i="29"/>
  <c r="BV235" i="29"/>
  <c r="BV236" i="29"/>
  <c r="BV237" i="29"/>
  <c r="BV238" i="29"/>
  <c r="BV239" i="29"/>
  <c r="BV240" i="29"/>
  <c r="BV225" i="29"/>
  <c r="BV241" i="29"/>
  <c r="BV242" i="29"/>
  <c r="BV243" i="29"/>
  <c r="BV245" i="29"/>
  <c r="BV246" i="29"/>
  <c r="BV247" i="29"/>
  <c r="BV248" i="29"/>
  <c r="BV249" i="29"/>
  <c r="BV250" i="29"/>
  <c r="BV251" i="29"/>
  <c r="BV252" i="29"/>
  <c r="BV254" i="29"/>
  <c r="BV255" i="29"/>
  <c r="BV256" i="29"/>
  <c r="BV257" i="29"/>
  <c r="BV258" i="29"/>
  <c r="BV259" i="29"/>
  <c r="BV260" i="29"/>
  <c r="BV261" i="29"/>
  <c r="BV262" i="29"/>
  <c r="BV263" i="29"/>
  <c r="BV264" i="29"/>
  <c r="BV265" i="29"/>
  <c r="BV266" i="29"/>
  <c r="BV267" i="29"/>
  <c r="BV291" i="29"/>
  <c r="BV244" i="29"/>
  <c r="BV253" i="29"/>
  <c r="BV268" i="29"/>
  <c r="BV269" i="29"/>
  <c r="BV270" i="29"/>
  <c r="BV271" i="29"/>
  <c r="BV272" i="29"/>
  <c r="BV273" i="29"/>
  <c r="BV274" i="29"/>
  <c r="BV275" i="29"/>
  <c r="BV276" i="29"/>
  <c r="BV277" i="29"/>
  <c r="BV278" i="29"/>
  <c r="BV279" i="29"/>
  <c r="BV280" i="29"/>
  <c r="BV197" i="29"/>
  <c r="BV281" i="29"/>
  <c r="BV282" i="29"/>
  <c r="BV283" i="29"/>
  <c r="BV284" i="29"/>
  <c r="BV285" i="29"/>
  <c r="BV286" i="29"/>
  <c r="BV287" i="29"/>
  <c r="BV288" i="29"/>
  <c r="BV289" i="29"/>
  <c r="BV290" i="29"/>
  <c r="BV292" i="29"/>
  <c r="BV293" i="29"/>
  <c r="BV295" i="29"/>
  <c r="BV296" i="29"/>
  <c r="BV297" i="29"/>
  <c r="BV298" i="29"/>
  <c r="BV299" i="29"/>
  <c r="BV300" i="29"/>
  <c r="BV301" i="29"/>
  <c r="BV302" i="29"/>
  <c r="BV303" i="29"/>
  <c r="BV304" i="29"/>
  <c r="BV305" i="29"/>
  <c r="BV306" i="29"/>
  <c r="BV307" i="29"/>
  <c r="BV308" i="29"/>
  <c r="BV309" i="29"/>
  <c r="BV310" i="29"/>
  <c r="BV311" i="29"/>
  <c r="BV312" i="29"/>
  <c r="BV21" i="29"/>
  <c r="E25" i="3" l="1"/>
  <c r="C2" i="32"/>
  <c r="C21" i="3" l="1"/>
  <c r="B21" i="3" s="1"/>
  <c r="E26" i="3"/>
  <c r="C4" i="32"/>
  <c r="D4" i="32"/>
  <c r="H38" i="3"/>
  <c r="BI11" i="11" s="1"/>
  <c r="G38" i="3"/>
  <c r="BF11" i="11" s="1"/>
  <c r="AW11" i="11"/>
  <c r="AW7" i="11"/>
  <c r="E18" i="29"/>
  <c r="AN21" i="29"/>
  <c r="AX18" i="29"/>
  <c r="AM3" i="11"/>
  <c r="AE3" i="11"/>
  <c r="W3" i="11"/>
  <c r="Q3" i="11"/>
  <c r="I3" i="11"/>
  <c r="AS263" i="29"/>
  <c r="AR263" i="29"/>
  <c r="AQ263" i="29"/>
  <c r="AP263" i="29"/>
  <c r="AO263" i="29"/>
  <c r="AN263" i="29"/>
  <c r="AM263" i="29"/>
  <c r="AL263" i="29"/>
  <c r="AK263" i="29"/>
  <c r="Y263" i="29"/>
  <c r="Z263" i="29" s="1"/>
  <c r="Q263" i="29"/>
  <c r="AS262" i="29"/>
  <c r="AR262" i="29"/>
  <c r="AQ262" i="29"/>
  <c r="AP262" i="29"/>
  <c r="AO262" i="29"/>
  <c r="AN262" i="29"/>
  <c r="AM262" i="29"/>
  <c r="AL262" i="29"/>
  <c r="AK262" i="29"/>
  <c r="Y262" i="29"/>
  <c r="Z262" i="29" s="1"/>
  <c r="AS261" i="29"/>
  <c r="AR261" i="29"/>
  <c r="AQ261" i="29"/>
  <c r="AP261" i="29"/>
  <c r="AO261" i="29"/>
  <c r="AN261" i="29"/>
  <c r="AM261" i="29"/>
  <c r="AL261" i="29"/>
  <c r="AK261" i="29"/>
  <c r="Y261" i="29"/>
  <c r="Z261" i="29" s="1"/>
  <c r="Q261" i="29"/>
  <c r="AS260" i="29"/>
  <c r="AR260" i="29"/>
  <c r="AQ260" i="29"/>
  <c r="AP260" i="29"/>
  <c r="AO260" i="29"/>
  <c r="AN260" i="29"/>
  <c r="AM260" i="29"/>
  <c r="AL260" i="29"/>
  <c r="AK260" i="29"/>
  <c r="Y260" i="29"/>
  <c r="Z260" i="29" s="1"/>
  <c r="Q260" i="29"/>
  <c r="AS259" i="29"/>
  <c r="AR259" i="29"/>
  <c r="AQ259" i="29"/>
  <c r="AP259" i="29"/>
  <c r="AO259" i="29"/>
  <c r="AN259" i="29"/>
  <c r="AM259" i="29"/>
  <c r="AL259" i="29"/>
  <c r="AK259" i="29"/>
  <c r="Y259" i="29"/>
  <c r="Z259" i="29"/>
  <c r="Q259" i="29"/>
  <c r="AS258" i="29"/>
  <c r="AR258" i="29"/>
  <c r="AQ258" i="29"/>
  <c r="AP258" i="29"/>
  <c r="AO258" i="29"/>
  <c r="AN258" i="29"/>
  <c r="AM258" i="29"/>
  <c r="AL258" i="29"/>
  <c r="AK258" i="29"/>
  <c r="Y258" i="29"/>
  <c r="Z258" i="29" s="1"/>
  <c r="Q258" i="29"/>
  <c r="AS257" i="29"/>
  <c r="AR257" i="29"/>
  <c r="AQ257" i="29"/>
  <c r="AP257" i="29"/>
  <c r="AO257" i="29"/>
  <c r="AN257" i="29"/>
  <c r="AM257" i="29"/>
  <c r="AL257" i="29"/>
  <c r="AK257" i="29"/>
  <c r="Y257" i="29"/>
  <c r="Z257" i="29" s="1"/>
  <c r="Q257" i="29"/>
  <c r="AS255" i="29"/>
  <c r="AR255" i="29"/>
  <c r="AQ255" i="29"/>
  <c r="AP255" i="29"/>
  <c r="AO255" i="29"/>
  <c r="AN255" i="29"/>
  <c r="AM255" i="29"/>
  <c r="AL255" i="29"/>
  <c r="AK255" i="29"/>
  <c r="Y255" i="29"/>
  <c r="Z255" i="29" s="1"/>
  <c r="Q255" i="29"/>
  <c r="AS254" i="29"/>
  <c r="AR254" i="29"/>
  <c r="AQ254" i="29"/>
  <c r="AP254" i="29"/>
  <c r="AO254" i="29"/>
  <c r="AN254" i="29"/>
  <c r="AM254" i="29"/>
  <c r="AL254" i="29"/>
  <c r="AK254" i="29"/>
  <c r="Y254" i="29"/>
  <c r="Z254" i="29" s="1"/>
  <c r="Q254" i="29"/>
  <c r="AS252" i="29"/>
  <c r="AR252" i="29"/>
  <c r="AQ252" i="29"/>
  <c r="AP252" i="29"/>
  <c r="AO252" i="29"/>
  <c r="AN252" i="29"/>
  <c r="AM252" i="29"/>
  <c r="AL252" i="29"/>
  <c r="AK252" i="29"/>
  <c r="Y252" i="29"/>
  <c r="Z252" i="29" s="1"/>
  <c r="Q252" i="29"/>
  <c r="AS226" i="29"/>
  <c r="AR226" i="29"/>
  <c r="AQ226" i="29"/>
  <c r="AP226" i="29"/>
  <c r="AO226" i="29"/>
  <c r="AN226" i="29"/>
  <c r="AM226" i="29"/>
  <c r="AL226" i="29"/>
  <c r="AK226" i="29"/>
  <c r="Y226" i="29"/>
  <c r="Z226" i="29" s="1"/>
  <c r="AS127" i="29"/>
  <c r="AR127" i="29"/>
  <c r="AQ127" i="29"/>
  <c r="AP127" i="29"/>
  <c r="AO127" i="29"/>
  <c r="AN127" i="29"/>
  <c r="AM127" i="29"/>
  <c r="AL127" i="29"/>
  <c r="AK127" i="29"/>
  <c r="Y127" i="29"/>
  <c r="Z127" i="29" s="1"/>
  <c r="Q127" i="29"/>
  <c r="AS20" i="29"/>
  <c r="AR20" i="29"/>
  <c r="AQ20" i="29"/>
  <c r="AP20" i="29"/>
  <c r="AO20" i="29"/>
  <c r="AN20" i="29"/>
  <c r="AM20" i="29"/>
  <c r="AL20" i="29"/>
  <c r="AK20" i="29"/>
  <c r="Y20" i="29"/>
  <c r="Z20" i="29" s="1"/>
  <c r="Q20" i="29"/>
  <c r="B300" i="24"/>
  <c r="AS23" i="29"/>
  <c r="AS24" i="29"/>
  <c r="AS25" i="29"/>
  <c r="AS26" i="29"/>
  <c r="AS21" i="29"/>
  <c r="AS27" i="29"/>
  <c r="AS28" i="29"/>
  <c r="AS29" i="29"/>
  <c r="AS30" i="29"/>
  <c r="AS31" i="29"/>
  <c r="AS32" i="29"/>
  <c r="AS33" i="29"/>
  <c r="AS34" i="29"/>
  <c r="AS35" i="29"/>
  <c r="AS36" i="29"/>
  <c r="AS37" i="29"/>
  <c r="AS38" i="29"/>
  <c r="AS39" i="29"/>
  <c r="AS40" i="29"/>
  <c r="AS41" i="29"/>
  <c r="AS42" i="29"/>
  <c r="AS43" i="29"/>
  <c r="AS44" i="29"/>
  <c r="AS47" i="29"/>
  <c r="AS294" i="29"/>
  <c r="AS295" i="29"/>
  <c r="AS48" i="29"/>
  <c r="AS49" i="29"/>
  <c r="AS50" i="29"/>
  <c r="AS51" i="29"/>
  <c r="AS52" i="29"/>
  <c r="AS53" i="29"/>
  <c r="AS54" i="29"/>
  <c r="AS55" i="29"/>
  <c r="AS45" i="29"/>
  <c r="AS46" i="29"/>
  <c r="AS56" i="29"/>
  <c r="AS57" i="29"/>
  <c r="AS58" i="29"/>
  <c r="AS59" i="29"/>
  <c r="AS60" i="29"/>
  <c r="AS61" i="29"/>
  <c r="AS64" i="29"/>
  <c r="AS65" i="29"/>
  <c r="AS66" i="29"/>
  <c r="AS62" i="29"/>
  <c r="AS63" i="29"/>
  <c r="AS67" i="29"/>
  <c r="AS68" i="29"/>
  <c r="AS69" i="29"/>
  <c r="AS70" i="29"/>
  <c r="AS71" i="29"/>
  <c r="AS72" i="29"/>
  <c r="AS73" i="29"/>
  <c r="AS74" i="29"/>
  <c r="AS75" i="29"/>
  <c r="AS76" i="29"/>
  <c r="AS77" i="29"/>
  <c r="AS78" i="29"/>
  <c r="AS79" i="29"/>
  <c r="AS80" i="29"/>
  <c r="AS81" i="29"/>
  <c r="AS82" i="29"/>
  <c r="AS83" i="29"/>
  <c r="AS84" i="29"/>
  <c r="AS85" i="29"/>
  <c r="AS86" i="29"/>
  <c r="AS87" i="29"/>
  <c r="AS88" i="29"/>
  <c r="AS89" i="29"/>
  <c r="AS90" i="29"/>
  <c r="AS91" i="29"/>
  <c r="AS92" i="29"/>
  <c r="AS93" i="29"/>
  <c r="AS94" i="29"/>
  <c r="AS95" i="29"/>
  <c r="AS96" i="29"/>
  <c r="AS97" i="29"/>
  <c r="AS98" i="29"/>
  <c r="AS102" i="29"/>
  <c r="AS104" i="29"/>
  <c r="AS105" i="29"/>
  <c r="AS106" i="29"/>
  <c r="AS107" i="29"/>
  <c r="AS108" i="29"/>
  <c r="AS109" i="29"/>
  <c r="AS110" i="29"/>
  <c r="AS111" i="29"/>
  <c r="AS112" i="29"/>
  <c r="AS113" i="29"/>
  <c r="AS114" i="29"/>
  <c r="AS115" i="29"/>
  <c r="AS116" i="29"/>
  <c r="AS117" i="29"/>
  <c r="AS118" i="29"/>
  <c r="AS119" i="29"/>
  <c r="AS120" i="29"/>
  <c r="AS121" i="29"/>
  <c r="AS122" i="29"/>
  <c r="AS123" i="29"/>
  <c r="AS124" i="29"/>
  <c r="AS125" i="29"/>
  <c r="AS126" i="29"/>
  <c r="AS128" i="29"/>
  <c r="AS129" i="29"/>
  <c r="AS188" i="29"/>
  <c r="AS130" i="29"/>
  <c r="AS186" i="29"/>
  <c r="AS131" i="29"/>
  <c r="AS132" i="29"/>
  <c r="AS99" i="29"/>
  <c r="AS100" i="29"/>
  <c r="AS103" i="29"/>
  <c r="AS101" i="29"/>
  <c r="AS133" i="29"/>
  <c r="AS134" i="29"/>
  <c r="AS137" i="29"/>
  <c r="AS138" i="29"/>
  <c r="AS139" i="29"/>
  <c r="AS135" i="29"/>
  <c r="AS136" i="29"/>
  <c r="AS140" i="29"/>
  <c r="AS141" i="29"/>
  <c r="AS142" i="29"/>
  <c r="AS143" i="29"/>
  <c r="AS144" i="29"/>
  <c r="AS145" i="29"/>
  <c r="AS146" i="29"/>
  <c r="AS147" i="29"/>
  <c r="AS148" i="29"/>
  <c r="AS151" i="29"/>
  <c r="AS152" i="29"/>
  <c r="AS153" i="29"/>
  <c r="AS154" i="29"/>
  <c r="AS155" i="29"/>
  <c r="AS156" i="29"/>
  <c r="AS157" i="29"/>
  <c r="AS149" i="29"/>
  <c r="AS191" i="29"/>
  <c r="AS150" i="29"/>
  <c r="AS192" i="29"/>
  <c r="AS158" i="29"/>
  <c r="AS159" i="29"/>
  <c r="AS160" i="29"/>
  <c r="AS161" i="29"/>
  <c r="AS162" i="29"/>
  <c r="AS163" i="29"/>
  <c r="AS164" i="29"/>
  <c r="AS165" i="29"/>
  <c r="AS166" i="29"/>
  <c r="AS167" i="29"/>
  <c r="AS168" i="29"/>
  <c r="AS169" i="29"/>
  <c r="AS170" i="29"/>
  <c r="AS172" i="29"/>
  <c r="AS171" i="29"/>
  <c r="AS174" i="29"/>
  <c r="AS173" i="29"/>
  <c r="AS175" i="29"/>
  <c r="AS176" i="29"/>
  <c r="AS177" i="29"/>
  <c r="AS178" i="29"/>
  <c r="AS179" i="29"/>
  <c r="AS180" i="29"/>
  <c r="AS181" i="29"/>
  <c r="AS182" i="29"/>
  <c r="AS183" i="29"/>
  <c r="AS184" i="29"/>
  <c r="AS185" i="29"/>
  <c r="AS187" i="29"/>
  <c r="AS189" i="29"/>
  <c r="AS190" i="29"/>
  <c r="AS193" i="29"/>
  <c r="AS194" i="29"/>
  <c r="AS198" i="29"/>
  <c r="AS200" i="29"/>
  <c r="AS201" i="29"/>
  <c r="AS202" i="29"/>
  <c r="AS203" i="29"/>
  <c r="AS195" i="29"/>
  <c r="AS204" i="29"/>
  <c r="AS196" i="29"/>
  <c r="AS205" i="29"/>
  <c r="AS206" i="29"/>
  <c r="AS207" i="29"/>
  <c r="AS208" i="29"/>
  <c r="AS209" i="29"/>
  <c r="AS211" i="29"/>
  <c r="AS213" i="29"/>
  <c r="AS214" i="29"/>
  <c r="AS215" i="29"/>
  <c r="AS216" i="29"/>
  <c r="AS217" i="29"/>
  <c r="AS218" i="29"/>
  <c r="AS219" i="29"/>
  <c r="AS220" i="29"/>
  <c r="AS221" i="29"/>
  <c r="AS222" i="29"/>
  <c r="AS223" i="29"/>
  <c r="AS210" i="29"/>
  <c r="AS224" i="29"/>
  <c r="AS212" i="29"/>
  <c r="AS228" i="29"/>
  <c r="AS229" i="29"/>
  <c r="AS230" i="29"/>
  <c r="AS231" i="29"/>
  <c r="AS232" i="29"/>
  <c r="AS233" i="29"/>
  <c r="AS234" i="29"/>
  <c r="AS235" i="29"/>
  <c r="AS236" i="29"/>
  <c r="AS237" i="29"/>
  <c r="AS238" i="29"/>
  <c r="AS239" i="29"/>
  <c r="AS240" i="29"/>
  <c r="AS225" i="29"/>
  <c r="AS241" i="29"/>
  <c r="AS227" i="29"/>
  <c r="AS242" i="29"/>
  <c r="AS243" i="29"/>
  <c r="AS245" i="29"/>
  <c r="AS247" i="29"/>
  <c r="AS248" i="29"/>
  <c r="AS249" i="29"/>
  <c r="AS250" i="29"/>
  <c r="AS251" i="29"/>
  <c r="AS264" i="29"/>
  <c r="AS265" i="29"/>
  <c r="AS266" i="29"/>
  <c r="AS267" i="29"/>
  <c r="AS291" i="29"/>
  <c r="AS244" i="29"/>
  <c r="AS253" i="29"/>
  <c r="AS290" i="29"/>
  <c r="AS246" i="29"/>
  <c r="AS256" i="29"/>
  <c r="AS268" i="29"/>
  <c r="AS269" i="29"/>
  <c r="AS270" i="29"/>
  <c r="AS271" i="29"/>
  <c r="AS272" i="29"/>
  <c r="AS273" i="29"/>
  <c r="AS274" i="29"/>
  <c r="AS275" i="29"/>
  <c r="AS276" i="29"/>
  <c r="AS277" i="29"/>
  <c r="AS278" i="29"/>
  <c r="AS279" i="29"/>
  <c r="AS280" i="29"/>
  <c r="AS199" i="29"/>
  <c r="AS197" i="29"/>
  <c r="AS281" i="29"/>
  <c r="AS282" i="29"/>
  <c r="AS283" i="29"/>
  <c r="AS284" i="29"/>
  <c r="AS285" i="29"/>
  <c r="AS286" i="29"/>
  <c r="AS287" i="29"/>
  <c r="AS288" i="29"/>
  <c r="AS289" i="29"/>
  <c r="AS292" i="29"/>
  <c r="AS293" i="29"/>
  <c r="AS296" i="29"/>
  <c r="AS297" i="29"/>
  <c r="AS298" i="29"/>
  <c r="AS299" i="29"/>
  <c r="AS300" i="29"/>
  <c r="AS301" i="29"/>
  <c r="AS302" i="29"/>
  <c r="AS303" i="29"/>
  <c r="AS304" i="29"/>
  <c r="AS305" i="29"/>
  <c r="AS306" i="29"/>
  <c r="AS307" i="29"/>
  <c r="AS308" i="29"/>
  <c r="AS309" i="29"/>
  <c r="AS310" i="29"/>
  <c r="AS311" i="29"/>
  <c r="AS312" i="29"/>
  <c r="AS22" i="29"/>
  <c r="AR23" i="29"/>
  <c r="AR24" i="29"/>
  <c r="AR25" i="29"/>
  <c r="AR26" i="29"/>
  <c r="AR21" i="29"/>
  <c r="AR27" i="29"/>
  <c r="AR28" i="29"/>
  <c r="AR29" i="29"/>
  <c r="AR30" i="29"/>
  <c r="AR31" i="29"/>
  <c r="AR32" i="29"/>
  <c r="AR33" i="29"/>
  <c r="AR34" i="29"/>
  <c r="AR35" i="29"/>
  <c r="AR36" i="29"/>
  <c r="AR37" i="29"/>
  <c r="AR38" i="29"/>
  <c r="AR39" i="29"/>
  <c r="AR40" i="29"/>
  <c r="AR41" i="29"/>
  <c r="AR42" i="29"/>
  <c r="AR43" i="29"/>
  <c r="AR44" i="29"/>
  <c r="AR47" i="29"/>
  <c r="AR294" i="29"/>
  <c r="AR295" i="29"/>
  <c r="AR48" i="29"/>
  <c r="AR49" i="29"/>
  <c r="AR50" i="29"/>
  <c r="AR51" i="29"/>
  <c r="AR52" i="29"/>
  <c r="AR53" i="29"/>
  <c r="AR54" i="29"/>
  <c r="AR55" i="29"/>
  <c r="AR45" i="29"/>
  <c r="AR46" i="29"/>
  <c r="AR56" i="29"/>
  <c r="AR57" i="29"/>
  <c r="AR58" i="29"/>
  <c r="AR59" i="29"/>
  <c r="AR60" i="29"/>
  <c r="AR61" i="29"/>
  <c r="AR64" i="29"/>
  <c r="AR65" i="29"/>
  <c r="AR66" i="29"/>
  <c r="AR62" i="29"/>
  <c r="AR63" i="29"/>
  <c r="AR67" i="29"/>
  <c r="AR68" i="29"/>
  <c r="AR69" i="29"/>
  <c r="AR70" i="29"/>
  <c r="AR71" i="29"/>
  <c r="AR72" i="29"/>
  <c r="AR73" i="29"/>
  <c r="AR74" i="29"/>
  <c r="AR75" i="29"/>
  <c r="AR76" i="29"/>
  <c r="AR77" i="29"/>
  <c r="AR78" i="29"/>
  <c r="AR79" i="29"/>
  <c r="AR80" i="29"/>
  <c r="AR81" i="29"/>
  <c r="AR82" i="29"/>
  <c r="AR83" i="29"/>
  <c r="AR84" i="29"/>
  <c r="AR85" i="29"/>
  <c r="AR86" i="29"/>
  <c r="AR87" i="29"/>
  <c r="AR88" i="29"/>
  <c r="AR89" i="29"/>
  <c r="AR90" i="29"/>
  <c r="AR91" i="29"/>
  <c r="AR92" i="29"/>
  <c r="AR93" i="29"/>
  <c r="AR94" i="29"/>
  <c r="AR95" i="29"/>
  <c r="AR96" i="29"/>
  <c r="AR97" i="29"/>
  <c r="AR98" i="29"/>
  <c r="AR102" i="29"/>
  <c r="AR104" i="29"/>
  <c r="AR105" i="29"/>
  <c r="AR106" i="29"/>
  <c r="AR107" i="29"/>
  <c r="AR108" i="29"/>
  <c r="AR109" i="29"/>
  <c r="AR110" i="29"/>
  <c r="AR111" i="29"/>
  <c r="AR112" i="29"/>
  <c r="AR113" i="29"/>
  <c r="AR114" i="29"/>
  <c r="AR115" i="29"/>
  <c r="AR116" i="29"/>
  <c r="AR117" i="29"/>
  <c r="AR118" i="29"/>
  <c r="AR119" i="29"/>
  <c r="AR120" i="29"/>
  <c r="AR121" i="29"/>
  <c r="AR122" i="29"/>
  <c r="AR123" i="29"/>
  <c r="AR124" i="29"/>
  <c r="AR125" i="29"/>
  <c r="AR126" i="29"/>
  <c r="AR128" i="29"/>
  <c r="AR129" i="29"/>
  <c r="AR188" i="29"/>
  <c r="AR130" i="29"/>
  <c r="AR186" i="29"/>
  <c r="AR131" i="29"/>
  <c r="AR132" i="29"/>
  <c r="AR99" i="29"/>
  <c r="AR100" i="29"/>
  <c r="AR103" i="29"/>
  <c r="AR101" i="29"/>
  <c r="AR133" i="29"/>
  <c r="AR134" i="29"/>
  <c r="AR137" i="29"/>
  <c r="AR138" i="29"/>
  <c r="AR139" i="29"/>
  <c r="AR135" i="29"/>
  <c r="AR136" i="29"/>
  <c r="AR140" i="29"/>
  <c r="AR141" i="29"/>
  <c r="AR142" i="29"/>
  <c r="AR143" i="29"/>
  <c r="AR144" i="29"/>
  <c r="AR145" i="29"/>
  <c r="AR146" i="29"/>
  <c r="AR147" i="29"/>
  <c r="AR148" i="29"/>
  <c r="AR151" i="29"/>
  <c r="AR152" i="29"/>
  <c r="AR153" i="29"/>
  <c r="AR154" i="29"/>
  <c r="AR155" i="29"/>
  <c r="AR156" i="29"/>
  <c r="AR157" i="29"/>
  <c r="AR149" i="29"/>
  <c r="AR191" i="29"/>
  <c r="AR150" i="29"/>
  <c r="AR192" i="29"/>
  <c r="AR158" i="29"/>
  <c r="AR159" i="29"/>
  <c r="AR160" i="29"/>
  <c r="AR161" i="29"/>
  <c r="AR162" i="29"/>
  <c r="AR163" i="29"/>
  <c r="AR164" i="29"/>
  <c r="AR165" i="29"/>
  <c r="AR166" i="29"/>
  <c r="AR167" i="29"/>
  <c r="AR168" i="29"/>
  <c r="AR169" i="29"/>
  <c r="AR170" i="29"/>
  <c r="AR172" i="29"/>
  <c r="AR171" i="29"/>
  <c r="AR174" i="29"/>
  <c r="AR173" i="29"/>
  <c r="AR175" i="29"/>
  <c r="AR176" i="29"/>
  <c r="AR177" i="29"/>
  <c r="AR178" i="29"/>
  <c r="AR179" i="29"/>
  <c r="AR180" i="29"/>
  <c r="AR181" i="29"/>
  <c r="AR182" i="29"/>
  <c r="AR183" i="29"/>
  <c r="AR184" i="29"/>
  <c r="AR185" i="29"/>
  <c r="AR187" i="29"/>
  <c r="AR189" i="29"/>
  <c r="AR190" i="29"/>
  <c r="AR193" i="29"/>
  <c r="AR194" i="29"/>
  <c r="AR198" i="29"/>
  <c r="AR200" i="29"/>
  <c r="AR201" i="29"/>
  <c r="AR202" i="29"/>
  <c r="AR203" i="29"/>
  <c r="AR195" i="29"/>
  <c r="AR204" i="29"/>
  <c r="AR196" i="29"/>
  <c r="AR205" i="29"/>
  <c r="AR206" i="29"/>
  <c r="AR207" i="29"/>
  <c r="AR208" i="29"/>
  <c r="AR209" i="29"/>
  <c r="AR211" i="29"/>
  <c r="AR213" i="29"/>
  <c r="AR214" i="29"/>
  <c r="AR215" i="29"/>
  <c r="AR216" i="29"/>
  <c r="AR217" i="29"/>
  <c r="AR218" i="29"/>
  <c r="AR219" i="29"/>
  <c r="AR220" i="29"/>
  <c r="AR221" i="29"/>
  <c r="AR222" i="29"/>
  <c r="AR223" i="29"/>
  <c r="AR210" i="29"/>
  <c r="AR224" i="29"/>
  <c r="AR212" i="29"/>
  <c r="AR228" i="29"/>
  <c r="AR229" i="29"/>
  <c r="AR230" i="29"/>
  <c r="AR231" i="29"/>
  <c r="AR232" i="29"/>
  <c r="AR233" i="29"/>
  <c r="AR234" i="29"/>
  <c r="AR235" i="29"/>
  <c r="AR236" i="29"/>
  <c r="AR237" i="29"/>
  <c r="AR238" i="29"/>
  <c r="AR239" i="29"/>
  <c r="AR240" i="29"/>
  <c r="AR225" i="29"/>
  <c r="AR241" i="29"/>
  <c r="AR227" i="29"/>
  <c r="AR242" i="29"/>
  <c r="AR243" i="29"/>
  <c r="AR245" i="29"/>
  <c r="AR247" i="29"/>
  <c r="AR248" i="29"/>
  <c r="AR249" i="29"/>
  <c r="AR250" i="29"/>
  <c r="AR251" i="29"/>
  <c r="AR264" i="29"/>
  <c r="AR265" i="29"/>
  <c r="AR266" i="29"/>
  <c r="AR267" i="29"/>
  <c r="AR291" i="29"/>
  <c r="AR244" i="29"/>
  <c r="AR253" i="29"/>
  <c r="AR290" i="29"/>
  <c r="AR246" i="29"/>
  <c r="AR256" i="29"/>
  <c r="AR268" i="29"/>
  <c r="AR269" i="29"/>
  <c r="AR270" i="29"/>
  <c r="AR271" i="29"/>
  <c r="AR272" i="29"/>
  <c r="AR273" i="29"/>
  <c r="AR274" i="29"/>
  <c r="AR275" i="29"/>
  <c r="AR276" i="29"/>
  <c r="AR277" i="29"/>
  <c r="AR278" i="29"/>
  <c r="AR279" i="29"/>
  <c r="AR280" i="29"/>
  <c r="AR199" i="29"/>
  <c r="AR197" i="29"/>
  <c r="AR281" i="29"/>
  <c r="AR282" i="29"/>
  <c r="AR283" i="29"/>
  <c r="AR284" i="29"/>
  <c r="AR285" i="29"/>
  <c r="AR286" i="29"/>
  <c r="AR287" i="29"/>
  <c r="AR288" i="29"/>
  <c r="AR289" i="29"/>
  <c r="AR292" i="29"/>
  <c r="AR293" i="29"/>
  <c r="AR296" i="29"/>
  <c r="AR297" i="29"/>
  <c r="AR298" i="29"/>
  <c r="AR299" i="29"/>
  <c r="AR300" i="29"/>
  <c r="AR301" i="29"/>
  <c r="AR302" i="29"/>
  <c r="AR303" i="29"/>
  <c r="AR304" i="29"/>
  <c r="AR305" i="29"/>
  <c r="AR306" i="29"/>
  <c r="AR307" i="29"/>
  <c r="AR308" i="29"/>
  <c r="AR309" i="29"/>
  <c r="AR310" i="29"/>
  <c r="AR311" i="29"/>
  <c r="AR312" i="29"/>
  <c r="AR22" i="29"/>
  <c r="AQ23" i="29"/>
  <c r="AQ24" i="29"/>
  <c r="AQ25" i="29"/>
  <c r="AQ26" i="29"/>
  <c r="AQ21" i="29"/>
  <c r="AQ27" i="29"/>
  <c r="AQ28" i="29"/>
  <c r="AQ29" i="29"/>
  <c r="AQ30" i="29"/>
  <c r="AQ31" i="29"/>
  <c r="AQ32" i="29"/>
  <c r="AQ33" i="29"/>
  <c r="AQ34" i="29"/>
  <c r="AQ35" i="29"/>
  <c r="AQ36" i="29"/>
  <c r="AQ37" i="29"/>
  <c r="AQ38" i="29"/>
  <c r="AQ39" i="29"/>
  <c r="AQ40" i="29"/>
  <c r="AQ41" i="29"/>
  <c r="AQ42" i="29"/>
  <c r="AQ43" i="29"/>
  <c r="AQ44" i="29"/>
  <c r="AQ47" i="29"/>
  <c r="AQ294" i="29"/>
  <c r="AQ295" i="29"/>
  <c r="AQ48" i="29"/>
  <c r="AQ49" i="29"/>
  <c r="AQ50" i="29"/>
  <c r="AQ51" i="29"/>
  <c r="AQ52" i="29"/>
  <c r="AQ53" i="29"/>
  <c r="AQ54" i="29"/>
  <c r="AQ55" i="29"/>
  <c r="AQ45" i="29"/>
  <c r="AQ46" i="29"/>
  <c r="AQ56" i="29"/>
  <c r="AQ57" i="29"/>
  <c r="AQ58" i="29"/>
  <c r="AQ59" i="29"/>
  <c r="AQ60" i="29"/>
  <c r="AQ61" i="29"/>
  <c r="AQ64" i="29"/>
  <c r="AQ65" i="29"/>
  <c r="AQ66" i="29"/>
  <c r="AQ62" i="29"/>
  <c r="AQ63" i="29"/>
  <c r="AQ67" i="29"/>
  <c r="AQ68" i="29"/>
  <c r="AQ69" i="29"/>
  <c r="AQ70" i="29"/>
  <c r="AQ71" i="29"/>
  <c r="AQ72" i="29"/>
  <c r="AQ73" i="29"/>
  <c r="AQ74" i="29"/>
  <c r="AQ75" i="29"/>
  <c r="AQ76" i="29"/>
  <c r="AQ77" i="29"/>
  <c r="AQ78" i="29"/>
  <c r="AQ79" i="29"/>
  <c r="AQ80" i="29"/>
  <c r="AQ81" i="29"/>
  <c r="AQ82" i="29"/>
  <c r="AQ83" i="29"/>
  <c r="AQ84" i="29"/>
  <c r="AQ85" i="29"/>
  <c r="AQ86" i="29"/>
  <c r="AQ87" i="29"/>
  <c r="AQ88" i="29"/>
  <c r="AQ89" i="29"/>
  <c r="AQ90" i="29"/>
  <c r="AQ91" i="29"/>
  <c r="AQ92" i="29"/>
  <c r="AQ93" i="29"/>
  <c r="AQ94" i="29"/>
  <c r="AQ95" i="29"/>
  <c r="AQ96" i="29"/>
  <c r="AQ97" i="29"/>
  <c r="AQ98" i="29"/>
  <c r="AQ102" i="29"/>
  <c r="AQ104" i="29"/>
  <c r="AQ105" i="29"/>
  <c r="AQ106" i="29"/>
  <c r="AQ107" i="29"/>
  <c r="AQ108" i="29"/>
  <c r="AQ109" i="29"/>
  <c r="AQ110" i="29"/>
  <c r="AQ111" i="29"/>
  <c r="AQ112" i="29"/>
  <c r="AQ113" i="29"/>
  <c r="AQ114" i="29"/>
  <c r="AQ115" i="29"/>
  <c r="AQ116" i="29"/>
  <c r="AQ117" i="29"/>
  <c r="AQ118" i="29"/>
  <c r="AQ119" i="29"/>
  <c r="AQ120" i="29"/>
  <c r="AQ121" i="29"/>
  <c r="AQ122" i="29"/>
  <c r="AQ123" i="29"/>
  <c r="AQ124" i="29"/>
  <c r="AQ125" i="29"/>
  <c r="AQ126" i="29"/>
  <c r="AQ128" i="29"/>
  <c r="AQ129" i="29"/>
  <c r="AQ188" i="29"/>
  <c r="AQ130" i="29"/>
  <c r="AQ186" i="29"/>
  <c r="AQ131" i="29"/>
  <c r="AQ132" i="29"/>
  <c r="AQ99" i="29"/>
  <c r="AQ100" i="29"/>
  <c r="AQ103" i="29"/>
  <c r="AQ101" i="29"/>
  <c r="AQ133" i="29"/>
  <c r="AQ134" i="29"/>
  <c r="AQ137" i="29"/>
  <c r="AQ138" i="29"/>
  <c r="AQ139" i="29"/>
  <c r="AQ135" i="29"/>
  <c r="AQ136" i="29"/>
  <c r="AQ140" i="29"/>
  <c r="AQ141" i="29"/>
  <c r="AQ142" i="29"/>
  <c r="AQ143" i="29"/>
  <c r="AQ144" i="29"/>
  <c r="AQ145" i="29"/>
  <c r="AQ146" i="29"/>
  <c r="AQ147" i="29"/>
  <c r="AQ148" i="29"/>
  <c r="AQ151" i="29"/>
  <c r="AQ152" i="29"/>
  <c r="AQ153" i="29"/>
  <c r="AQ154" i="29"/>
  <c r="AQ155" i="29"/>
  <c r="AQ156" i="29"/>
  <c r="AQ157" i="29"/>
  <c r="AQ149" i="29"/>
  <c r="AQ191" i="29"/>
  <c r="AQ150" i="29"/>
  <c r="AQ192" i="29"/>
  <c r="AQ158" i="29"/>
  <c r="AQ159" i="29"/>
  <c r="AQ160" i="29"/>
  <c r="AQ161" i="29"/>
  <c r="AQ162" i="29"/>
  <c r="AQ163" i="29"/>
  <c r="AQ164" i="29"/>
  <c r="AQ165" i="29"/>
  <c r="AQ166" i="29"/>
  <c r="AQ167" i="29"/>
  <c r="AQ168" i="29"/>
  <c r="AQ169" i="29"/>
  <c r="AQ170" i="29"/>
  <c r="AQ172" i="29"/>
  <c r="AQ171" i="29"/>
  <c r="AQ174" i="29"/>
  <c r="AQ173" i="29"/>
  <c r="AQ175" i="29"/>
  <c r="AQ176" i="29"/>
  <c r="AQ177" i="29"/>
  <c r="AQ178" i="29"/>
  <c r="AQ179" i="29"/>
  <c r="AQ180" i="29"/>
  <c r="AQ181" i="29"/>
  <c r="AQ182" i="29"/>
  <c r="AQ183" i="29"/>
  <c r="AQ184" i="29"/>
  <c r="AQ185" i="29"/>
  <c r="AQ187" i="29"/>
  <c r="AQ189" i="29"/>
  <c r="AQ190" i="29"/>
  <c r="AQ193" i="29"/>
  <c r="AQ194" i="29"/>
  <c r="AQ198" i="29"/>
  <c r="AQ200" i="29"/>
  <c r="AQ201" i="29"/>
  <c r="AQ202" i="29"/>
  <c r="AQ203" i="29"/>
  <c r="AQ195" i="29"/>
  <c r="AQ204" i="29"/>
  <c r="AQ196" i="29"/>
  <c r="AQ205" i="29"/>
  <c r="AQ206" i="29"/>
  <c r="AQ207" i="29"/>
  <c r="AQ208" i="29"/>
  <c r="AQ209" i="29"/>
  <c r="AQ211" i="29"/>
  <c r="AQ213" i="29"/>
  <c r="AQ214" i="29"/>
  <c r="AQ215" i="29"/>
  <c r="AQ216" i="29"/>
  <c r="AQ217" i="29"/>
  <c r="AQ218" i="29"/>
  <c r="AQ219" i="29"/>
  <c r="AQ220" i="29"/>
  <c r="AQ221" i="29"/>
  <c r="AQ222" i="29"/>
  <c r="AQ223" i="29"/>
  <c r="AQ210" i="29"/>
  <c r="AQ224" i="29"/>
  <c r="AQ212" i="29"/>
  <c r="AQ228" i="29"/>
  <c r="AQ229" i="29"/>
  <c r="AQ230" i="29"/>
  <c r="AQ231" i="29"/>
  <c r="AQ232" i="29"/>
  <c r="AQ233" i="29"/>
  <c r="AQ234" i="29"/>
  <c r="AQ235" i="29"/>
  <c r="AQ236" i="29"/>
  <c r="AQ237" i="29"/>
  <c r="AQ238" i="29"/>
  <c r="AQ239" i="29"/>
  <c r="AQ240" i="29"/>
  <c r="AQ225" i="29"/>
  <c r="AQ241" i="29"/>
  <c r="AQ227" i="29"/>
  <c r="AQ242" i="29"/>
  <c r="AQ243" i="29"/>
  <c r="AQ245" i="29"/>
  <c r="AQ247" i="29"/>
  <c r="AQ248" i="29"/>
  <c r="AQ249" i="29"/>
  <c r="AQ250" i="29"/>
  <c r="AQ251" i="29"/>
  <c r="AQ264" i="29"/>
  <c r="AQ265" i="29"/>
  <c r="AQ266" i="29"/>
  <c r="AQ267" i="29"/>
  <c r="AQ291" i="29"/>
  <c r="AQ244" i="29"/>
  <c r="AQ253" i="29"/>
  <c r="AQ290" i="29"/>
  <c r="AQ246" i="29"/>
  <c r="AQ256" i="29"/>
  <c r="AQ268" i="29"/>
  <c r="AQ269" i="29"/>
  <c r="AQ270" i="29"/>
  <c r="AQ271" i="29"/>
  <c r="AQ272" i="29"/>
  <c r="AQ273" i="29"/>
  <c r="AQ274" i="29"/>
  <c r="AQ275" i="29"/>
  <c r="AQ276" i="29"/>
  <c r="AQ277" i="29"/>
  <c r="AQ278" i="29"/>
  <c r="AQ279" i="29"/>
  <c r="AQ280" i="29"/>
  <c r="AQ199" i="29"/>
  <c r="AQ197" i="29"/>
  <c r="AQ281" i="29"/>
  <c r="AQ282" i="29"/>
  <c r="AQ283" i="29"/>
  <c r="AQ284" i="29"/>
  <c r="AQ285" i="29"/>
  <c r="AQ286" i="29"/>
  <c r="AQ287" i="29"/>
  <c r="AQ288" i="29"/>
  <c r="AQ289" i="29"/>
  <c r="AQ292" i="29"/>
  <c r="AQ293" i="29"/>
  <c r="AQ296" i="29"/>
  <c r="AQ297" i="29"/>
  <c r="AQ298" i="29"/>
  <c r="AQ299" i="29"/>
  <c r="AQ300" i="29"/>
  <c r="AQ301" i="29"/>
  <c r="AQ302" i="29"/>
  <c r="AQ303" i="29"/>
  <c r="AQ304" i="29"/>
  <c r="AQ305" i="29"/>
  <c r="AQ306" i="29"/>
  <c r="AQ307" i="29"/>
  <c r="AQ308" i="29"/>
  <c r="AQ309" i="29"/>
  <c r="AQ310" i="29"/>
  <c r="AQ311" i="29"/>
  <c r="AQ312" i="29"/>
  <c r="AQ22" i="29"/>
  <c r="AP23" i="29"/>
  <c r="AP24" i="29"/>
  <c r="AP25" i="29"/>
  <c r="AP26" i="29"/>
  <c r="AP21" i="29"/>
  <c r="AP27" i="29"/>
  <c r="AP28" i="29"/>
  <c r="AP29" i="29"/>
  <c r="AP30" i="29"/>
  <c r="AP31" i="29"/>
  <c r="AP32" i="29"/>
  <c r="AP33" i="29"/>
  <c r="AP34" i="29"/>
  <c r="AP35" i="29"/>
  <c r="AP36" i="29"/>
  <c r="AP37" i="29"/>
  <c r="AP38" i="29"/>
  <c r="AP39" i="29"/>
  <c r="AP40" i="29"/>
  <c r="AP41" i="29"/>
  <c r="AP42" i="29"/>
  <c r="AP43" i="29"/>
  <c r="AP44" i="29"/>
  <c r="AP47" i="29"/>
  <c r="AP294" i="29"/>
  <c r="AP295" i="29"/>
  <c r="AP48" i="29"/>
  <c r="AP49" i="29"/>
  <c r="AP50" i="29"/>
  <c r="AP51" i="29"/>
  <c r="AP52" i="29"/>
  <c r="AP53" i="29"/>
  <c r="AP54" i="29"/>
  <c r="AP55" i="29"/>
  <c r="AP45" i="29"/>
  <c r="AP46" i="29"/>
  <c r="AP56" i="29"/>
  <c r="AP57" i="29"/>
  <c r="AP58" i="29"/>
  <c r="AP59" i="29"/>
  <c r="AP60" i="29"/>
  <c r="AP61" i="29"/>
  <c r="AP64" i="29"/>
  <c r="AP65" i="29"/>
  <c r="AP66" i="29"/>
  <c r="AP62" i="29"/>
  <c r="AP63" i="29"/>
  <c r="AP67" i="29"/>
  <c r="AP68" i="29"/>
  <c r="AP69" i="29"/>
  <c r="AP70" i="29"/>
  <c r="AP71" i="29"/>
  <c r="AP72" i="29"/>
  <c r="AP73" i="29"/>
  <c r="AP74" i="29"/>
  <c r="AP75" i="29"/>
  <c r="AP76" i="29"/>
  <c r="AP77" i="29"/>
  <c r="AP78" i="29"/>
  <c r="AP79" i="29"/>
  <c r="AP80" i="29"/>
  <c r="AP81" i="29"/>
  <c r="AP82" i="29"/>
  <c r="AP83" i="29"/>
  <c r="AP84" i="29"/>
  <c r="AP85" i="29"/>
  <c r="AP86" i="29"/>
  <c r="AP87" i="29"/>
  <c r="AP88" i="29"/>
  <c r="AP89" i="29"/>
  <c r="AP90" i="29"/>
  <c r="AP91" i="29"/>
  <c r="AP92" i="29"/>
  <c r="AP93" i="29"/>
  <c r="AP94" i="29"/>
  <c r="AP95" i="29"/>
  <c r="AP96" i="29"/>
  <c r="AP97" i="29"/>
  <c r="AP98" i="29"/>
  <c r="AP102" i="29"/>
  <c r="AP104" i="29"/>
  <c r="AP105" i="29"/>
  <c r="AP106" i="29"/>
  <c r="AP107" i="29"/>
  <c r="AP108" i="29"/>
  <c r="AP109" i="29"/>
  <c r="AP110" i="29"/>
  <c r="AP111" i="29"/>
  <c r="AP112" i="29"/>
  <c r="AP113" i="29"/>
  <c r="AP114" i="29"/>
  <c r="AP115" i="29"/>
  <c r="AP116" i="29"/>
  <c r="AP117" i="29"/>
  <c r="AP118" i="29"/>
  <c r="AP119" i="29"/>
  <c r="AP120" i="29"/>
  <c r="AP121" i="29"/>
  <c r="AP122" i="29"/>
  <c r="AP123" i="29"/>
  <c r="AP124" i="29"/>
  <c r="AP125" i="29"/>
  <c r="AP126" i="29"/>
  <c r="AP128" i="29"/>
  <c r="AP129" i="29"/>
  <c r="AP188" i="29"/>
  <c r="AP130" i="29"/>
  <c r="AP186" i="29"/>
  <c r="AP131" i="29"/>
  <c r="AP132" i="29"/>
  <c r="AP99" i="29"/>
  <c r="AP100" i="29"/>
  <c r="AP103" i="29"/>
  <c r="AP101" i="29"/>
  <c r="AP133" i="29"/>
  <c r="AP134" i="29"/>
  <c r="AP137" i="29"/>
  <c r="AP138" i="29"/>
  <c r="AP139" i="29"/>
  <c r="AP135" i="29"/>
  <c r="AP136" i="29"/>
  <c r="AP140" i="29"/>
  <c r="AP141" i="29"/>
  <c r="AP142" i="29"/>
  <c r="AP143" i="29"/>
  <c r="AP144" i="29"/>
  <c r="AP145" i="29"/>
  <c r="AP146" i="29"/>
  <c r="AP147" i="29"/>
  <c r="AP148" i="29"/>
  <c r="AP151" i="29"/>
  <c r="AP152" i="29"/>
  <c r="AP153" i="29"/>
  <c r="AP154" i="29"/>
  <c r="AP155" i="29"/>
  <c r="AP156" i="29"/>
  <c r="AP157" i="29"/>
  <c r="AP149" i="29"/>
  <c r="AP191" i="29"/>
  <c r="AP150" i="29"/>
  <c r="AP192" i="29"/>
  <c r="AP158" i="29"/>
  <c r="AP159" i="29"/>
  <c r="AP160" i="29"/>
  <c r="AP161" i="29"/>
  <c r="AP162" i="29"/>
  <c r="AP163" i="29"/>
  <c r="AP164" i="29"/>
  <c r="AP165" i="29"/>
  <c r="AP166" i="29"/>
  <c r="AP167" i="29"/>
  <c r="AP168" i="29"/>
  <c r="AP169" i="29"/>
  <c r="AP170" i="29"/>
  <c r="AP172" i="29"/>
  <c r="AP171" i="29"/>
  <c r="AP174" i="29"/>
  <c r="AP173" i="29"/>
  <c r="AP175" i="29"/>
  <c r="AP176" i="29"/>
  <c r="AP177" i="29"/>
  <c r="AP178" i="29"/>
  <c r="AP179" i="29"/>
  <c r="AP180" i="29"/>
  <c r="AP181" i="29"/>
  <c r="AP182" i="29"/>
  <c r="AP183" i="29"/>
  <c r="AP184" i="29"/>
  <c r="AP185" i="29"/>
  <c r="AP187" i="29"/>
  <c r="AP189" i="29"/>
  <c r="AP190" i="29"/>
  <c r="AP193" i="29"/>
  <c r="AP194" i="29"/>
  <c r="AP198" i="29"/>
  <c r="AP200" i="29"/>
  <c r="AP201" i="29"/>
  <c r="AP202" i="29"/>
  <c r="AP203" i="29"/>
  <c r="AP195" i="29"/>
  <c r="AP204" i="29"/>
  <c r="AP196" i="29"/>
  <c r="AP205" i="29"/>
  <c r="AP206" i="29"/>
  <c r="AP207" i="29"/>
  <c r="AP208" i="29"/>
  <c r="AP209" i="29"/>
  <c r="AP211" i="29"/>
  <c r="AP213" i="29"/>
  <c r="AP214" i="29"/>
  <c r="AP215" i="29"/>
  <c r="AP216" i="29"/>
  <c r="AP217" i="29"/>
  <c r="AP218" i="29"/>
  <c r="AP219" i="29"/>
  <c r="AP220" i="29"/>
  <c r="AP221" i="29"/>
  <c r="AP222" i="29"/>
  <c r="AP223" i="29"/>
  <c r="AP210" i="29"/>
  <c r="AP224" i="29"/>
  <c r="AP212" i="29"/>
  <c r="AP228" i="29"/>
  <c r="AP229" i="29"/>
  <c r="AP230" i="29"/>
  <c r="AP231" i="29"/>
  <c r="AP232" i="29"/>
  <c r="AP233" i="29"/>
  <c r="AP234" i="29"/>
  <c r="AP235" i="29"/>
  <c r="AP236" i="29"/>
  <c r="AP237" i="29"/>
  <c r="AP238" i="29"/>
  <c r="AP239" i="29"/>
  <c r="AP240" i="29"/>
  <c r="AP225" i="29"/>
  <c r="AP241" i="29"/>
  <c r="AP227" i="29"/>
  <c r="AP242" i="29"/>
  <c r="AP243" i="29"/>
  <c r="AP245" i="29"/>
  <c r="AP247" i="29"/>
  <c r="AP248" i="29"/>
  <c r="AP249" i="29"/>
  <c r="AP250" i="29"/>
  <c r="AP251" i="29"/>
  <c r="AP264" i="29"/>
  <c r="AP265" i="29"/>
  <c r="AP266" i="29"/>
  <c r="AP267" i="29"/>
  <c r="AP291" i="29"/>
  <c r="AP244" i="29"/>
  <c r="AP253" i="29"/>
  <c r="AP290" i="29"/>
  <c r="AP246" i="29"/>
  <c r="AP256" i="29"/>
  <c r="AP268" i="29"/>
  <c r="AP269" i="29"/>
  <c r="AP270" i="29"/>
  <c r="AP271" i="29"/>
  <c r="AP272" i="29"/>
  <c r="AP273" i="29"/>
  <c r="AP274" i="29"/>
  <c r="AP275" i="29"/>
  <c r="AP276" i="29"/>
  <c r="AP277" i="29"/>
  <c r="AP278" i="29"/>
  <c r="AP279" i="29"/>
  <c r="AP280" i="29"/>
  <c r="AP199" i="29"/>
  <c r="AP197" i="29"/>
  <c r="AP281" i="29"/>
  <c r="AP282" i="29"/>
  <c r="AP283" i="29"/>
  <c r="AP284" i="29"/>
  <c r="AP285" i="29"/>
  <c r="AP286" i="29"/>
  <c r="AP287" i="29"/>
  <c r="AP288" i="29"/>
  <c r="AP289" i="29"/>
  <c r="AP292" i="29"/>
  <c r="AP293" i="29"/>
  <c r="AP296" i="29"/>
  <c r="AP297" i="29"/>
  <c r="AP298" i="29"/>
  <c r="AP299" i="29"/>
  <c r="AP300" i="29"/>
  <c r="AP301" i="29"/>
  <c r="AP302" i="29"/>
  <c r="AP303" i="29"/>
  <c r="AP304" i="29"/>
  <c r="AP305" i="29"/>
  <c r="AP306" i="29"/>
  <c r="AP307" i="29"/>
  <c r="AP308" i="29"/>
  <c r="AP309" i="29"/>
  <c r="AP310" i="29"/>
  <c r="AP311" i="29"/>
  <c r="AP312" i="29"/>
  <c r="AP22" i="29"/>
  <c r="AW18" i="29"/>
  <c r="AT18" i="29"/>
  <c r="AZ18" i="29"/>
  <c r="AN22" i="29"/>
  <c r="AM23" i="29"/>
  <c r="AM24" i="29"/>
  <c r="AM25" i="29"/>
  <c r="AM26" i="29"/>
  <c r="AM21" i="29"/>
  <c r="AM27" i="29"/>
  <c r="AM28" i="29"/>
  <c r="AM29" i="29"/>
  <c r="AM30" i="29"/>
  <c r="AM31" i="29"/>
  <c r="AM32" i="29"/>
  <c r="AM33" i="29"/>
  <c r="AM34" i="29"/>
  <c r="AM35" i="29"/>
  <c r="AM36" i="29"/>
  <c r="AM37" i="29"/>
  <c r="AM38" i="29"/>
  <c r="AM39" i="29"/>
  <c r="AM40" i="29"/>
  <c r="AM41" i="29"/>
  <c r="AM42" i="29"/>
  <c r="AM43" i="29"/>
  <c r="AM44" i="29"/>
  <c r="AM47" i="29"/>
  <c r="AM294" i="29"/>
  <c r="AM295" i="29"/>
  <c r="AM48" i="29"/>
  <c r="AM49" i="29"/>
  <c r="AM50" i="29"/>
  <c r="AM51" i="29"/>
  <c r="AM52" i="29"/>
  <c r="AM53" i="29"/>
  <c r="AM54" i="29"/>
  <c r="AM55" i="29"/>
  <c r="AM45" i="29"/>
  <c r="AM46" i="29"/>
  <c r="AM56" i="29"/>
  <c r="AM57" i="29"/>
  <c r="AM58" i="29"/>
  <c r="AM59" i="29"/>
  <c r="AM60" i="29"/>
  <c r="AM61" i="29"/>
  <c r="AM64" i="29"/>
  <c r="AM65" i="29"/>
  <c r="AM66" i="29"/>
  <c r="AM62" i="29"/>
  <c r="AM63" i="29"/>
  <c r="AM67" i="29"/>
  <c r="AM68" i="29"/>
  <c r="AM69" i="29"/>
  <c r="AM70" i="29"/>
  <c r="AM71" i="29"/>
  <c r="AM72" i="29"/>
  <c r="AM73" i="29"/>
  <c r="AM74" i="29"/>
  <c r="AM75" i="29"/>
  <c r="AM76" i="29"/>
  <c r="AM77" i="29"/>
  <c r="AM78" i="29"/>
  <c r="AM79" i="29"/>
  <c r="AM80" i="29"/>
  <c r="AM81" i="29"/>
  <c r="AM82" i="29"/>
  <c r="AM83" i="29"/>
  <c r="AM84" i="29"/>
  <c r="AM85" i="29"/>
  <c r="AM86" i="29"/>
  <c r="AM87" i="29"/>
  <c r="AM88" i="29"/>
  <c r="AM89" i="29"/>
  <c r="AM90" i="29"/>
  <c r="AM91" i="29"/>
  <c r="AM92" i="29"/>
  <c r="AM93" i="29"/>
  <c r="AM94" i="29"/>
  <c r="AM95" i="29"/>
  <c r="AM96" i="29"/>
  <c r="AM97" i="29"/>
  <c r="AM98" i="29"/>
  <c r="AM102" i="29"/>
  <c r="AM104" i="29"/>
  <c r="AM105" i="29"/>
  <c r="AM106" i="29"/>
  <c r="AM107" i="29"/>
  <c r="AM108" i="29"/>
  <c r="AM109" i="29"/>
  <c r="AM110" i="29"/>
  <c r="AM111" i="29"/>
  <c r="AM112" i="29"/>
  <c r="AM113" i="29"/>
  <c r="AM114" i="29"/>
  <c r="AM115" i="29"/>
  <c r="AM116" i="29"/>
  <c r="AM117" i="29"/>
  <c r="AM118" i="29"/>
  <c r="AM119" i="29"/>
  <c r="AM120" i="29"/>
  <c r="AM121" i="29"/>
  <c r="AM122" i="29"/>
  <c r="AM123" i="29"/>
  <c r="AM124" i="29"/>
  <c r="AM125" i="29"/>
  <c r="AM126" i="29"/>
  <c r="AM128" i="29"/>
  <c r="AM129" i="29"/>
  <c r="AM188" i="29"/>
  <c r="AM130" i="29"/>
  <c r="AM186" i="29"/>
  <c r="AM131" i="29"/>
  <c r="AM132" i="29"/>
  <c r="AM99" i="29"/>
  <c r="AM100" i="29"/>
  <c r="AM103" i="29"/>
  <c r="AM101" i="29"/>
  <c r="AM133" i="29"/>
  <c r="AM134" i="29"/>
  <c r="AM137" i="29"/>
  <c r="AM138" i="29"/>
  <c r="AM139" i="29"/>
  <c r="AM135" i="29"/>
  <c r="AM136" i="29"/>
  <c r="AM140" i="29"/>
  <c r="AM141" i="29"/>
  <c r="AM142" i="29"/>
  <c r="AM143" i="29"/>
  <c r="AM144" i="29"/>
  <c r="AM145" i="29"/>
  <c r="AM146" i="29"/>
  <c r="AM147" i="29"/>
  <c r="AM148" i="29"/>
  <c r="AM151" i="29"/>
  <c r="AM152" i="29"/>
  <c r="AM153" i="29"/>
  <c r="AM154" i="29"/>
  <c r="AM155" i="29"/>
  <c r="AM156" i="29"/>
  <c r="AM157" i="29"/>
  <c r="AM149" i="29"/>
  <c r="AM191" i="29"/>
  <c r="AM150" i="29"/>
  <c r="AM192" i="29"/>
  <c r="AM158" i="29"/>
  <c r="AM159" i="29"/>
  <c r="AM160" i="29"/>
  <c r="AM161" i="29"/>
  <c r="AM162" i="29"/>
  <c r="AM163" i="29"/>
  <c r="AM164" i="29"/>
  <c r="AM165" i="29"/>
  <c r="AM166" i="29"/>
  <c r="AM167" i="29"/>
  <c r="AM168" i="29"/>
  <c r="AM169" i="29"/>
  <c r="AM170" i="29"/>
  <c r="AM172" i="29"/>
  <c r="AM171" i="29"/>
  <c r="AM174" i="29"/>
  <c r="AM173" i="29"/>
  <c r="AM175" i="29"/>
  <c r="AM176" i="29"/>
  <c r="AM177" i="29"/>
  <c r="AM178" i="29"/>
  <c r="AM179" i="29"/>
  <c r="AM180" i="29"/>
  <c r="AM181" i="29"/>
  <c r="AM182" i="29"/>
  <c r="AM183" i="29"/>
  <c r="AM184" i="29"/>
  <c r="AM185" i="29"/>
  <c r="AM187" i="29"/>
  <c r="AM189" i="29"/>
  <c r="AM190" i="29"/>
  <c r="AM193" i="29"/>
  <c r="AM194" i="29"/>
  <c r="AM198" i="29"/>
  <c r="AM200" i="29"/>
  <c r="AM201" i="29"/>
  <c r="AM202" i="29"/>
  <c r="AM203" i="29"/>
  <c r="AM195" i="29"/>
  <c r="AM204" i="29"/>
  <c r="AM196" i="29"/>
  <c r="AM205" i="29"/>
  <c r="AM206" i="29"/>
  <c r="AM207" i="29"/>
  <c r="AM208" i="29"/>
  <c r="AM209" i="29"/>
  <c r="AM211" i="29"/>
  <c r="AM213" i="29"/>
  <c r="AM214" i="29"/>
  <c r="AM215" i="29"/>
  <c r="AM216" i="29"/>
  <c r="AM217" i="29"/>
  <c r="AM218" i="29"/>
  <c r="AM219" i="29"/>
  <c r="AM220" i="29"/>
  <c r="AM221" i="29"/>
  <c r="AM222" i="29"/>
  <c r="AM223" i="29"/>
  <c r="AM210" i="29"/>
  <c r="AM224" i="29"/>
  <c r="AM212" i="29"/>
  <c r="AM228" i="29"/>
  <c r="AM229" i="29"/>
  <c r="AM230" i="29"/>
  <c r="AM231" i="29"/>
  <c r="AM232" i="29"/>
  <c r="AM233" i="29"/>
  <c r="AM234" i="29"/>
  <c r="AM235" i="29"/>
  <c r="AM236" i="29"/>
  <c r="AM237" i="29"/>
  <c r="AM238" i="29"/>
  <c r="AM239" i="29"/>
  <c r="AM240" i="29"/>
  <c r="AM225" i="29"/>
  <c r="AM241" i="29"/>
  <c r="AM227" i="29"/>
  <c r="AM242" i="29"/>
  <c r="AM243" i="29"/>
  <c r="AM245" i="29"/>
  <c r="AM247" i="29"/>
  <c r="AM248" i="29"/>
  <c r="AM249" i="29"/>
  <c r="AM250" i="29"/>
  <c r="AM251" i="29"/>
  <c r="AM264" i="29"/>
  <c r="AM265" i="29"/>
  <c r="AM266" i="29"/>
  <c r="AM267" i="29"/>
  <c r="AM291" i="29"/>
  <c r="AM244" i="29"/>
  <c r="AM253" i="29"/>
  <c r="AM290" i="29"/>
  <c r="AM246" i="29"/>
  <c r="AM256" i="29"/>
  <c r="AM268" i="29"/>
  <c r="AM269" i="29"/>
  <c r="AM270" i="29"/>
  <c r="AM271" i="29"/>
  <c r="AM272" i="29"/>
  <c r="AM273" i="29"/>
  <c r="AM274" i="29"/>
  <c r="AM275" i="29"/>
  <c r="AM276" i="29"/>
  <c r="AM277" i="29"/>
  <c r="AM278" i="29"/>
  <c r="AM279" i="29"/>
  <c r="AM280" i="29"/>
  <c r="AM199" i="29"/>
  <c r="AM197" i="29"/>
  <c r="AM281" i="29"/>
  <c r="AM282" i="29"/>
  <c r="AM283" i="29"/>
  <c r="AM284" i="29"/>
  <c r="AM285" i="29"/>
  <c r="AM286" i="29"/>
  <c r="AM287" i="29"/>
  <c r="AM288" i="29"/>
  <c r="AM289" i="29"/>
  <c r="AM292" i="29"/>
  <c r="AM293" i="29"/>
  <c r="AM296" i="29"/>
  <c r="AM297" i="29"/>
  <c r="AM298" i="29"/>
  <c r="AM299" i="29"/>
  <c r="AM300" i="29"/>
  <c r="AM301" i="29"/>
  <c r="AM302" i="29"/>
  <c r="AM303" i="29"/>
  <c r="AM304" i="29"/>
  <c r="AM305" i="29"/>
  <c r="AM306" i="29"/>
  <c r="AM307" i="29"/>
  <c r="AM308" i="29"/>
  <c r="AM309" i="29"/>
  <c r="AM310" i="29"/>
  <c r="AM311" i="29"/>
  <c r="AM312" i="29"/>
  <c r="AM22" i="29"/>
  <c r="AO23" i="29"/>
  <c r="AO24" i="29"/>
  <c r="AO25" i="29"/>
  <c r="AO26" i="29"/>
  <c r="AO21" i="29"/>
  <c r="AO27" i="29"/>
  <c r="AO28" i="29"/>
  <c r="AO29" i="29"/>
  <c r="AO30" i="29"/>
  <c r="AO31" i="29"/>
  <c r="AO32" i="29"/>
  <c r="AO33" i="29"/>
  <c r="AO34" i="29"/>
  <c r="AO35" i="29"/>
  <c r="AO36" i="29"/>
  <c r="AO37" i="29"/>
  <c r="AO38" i="29"/>
  <c r="AO39" i="29"/>
  <c r="AO40" i="29"/>
  <c r="AO41" i="29"/>
  <c r="AO42" i="29"/>
  <c r="AO43" i="29"/>
  <c r="AO44" i="29"/>
  <c r="AO47" i="29"/>
  <c r="AO294" i="29"/>
  <c r="AO295" i="29"/>
  <c r="AO48" i="29"/>
  <c r="AO49" i="29"/>
  <c r="AO50" i="29"/>
  <c r="AO51" i="29"/>
  <c r="AO52" i="29"/>
  <c r="AO53" i="29"/>
  <c r="AO54" i="29"/>
  <c r="AO55" i="29"/>
  <c r="AO45" i="29"/>
  <c r="AO46" i="29"/>
  <c r="AO56" i="29"/>
  <c r="AO57" i="29"/>
  <c r="AO58" i="29"/>
  <c r="AO59" i="29"/>
  <c r="AO60" i="29"/>
  <c r="AO61" i="29"/>
  <c r="AO64" i="29"/>
  <c r="AO65" i="29"/>
  <c r="AO66" i="29"/>
  <c r="AO62" i="29"/>
  <c r="AO63" i="29"/>
  <c r="AO67" i="29"/>
  <c r="AO68" i="29"/>
  <c r="AO69" i="29"/>
  <c r="AO70" i="29"/>
  <c r="AO71" i="29"/>
  <c r="AO72" i="29"/>
  <c r="AO73" i="29"/>
  <c r="AO74" i="29"/>
  <c r="AO75" i="29"/>
  <c r="AO76" i="29"/>
  <c r="AO77" i="29"/>
  <c r="AO78" i="29"/>
  <c r="AO79" i="29"/>
  <c r="AO80" i="29"/>
  <c r="AO81" i="29"/>
  <c r="AO82" i="29"/>
  <c r="AO83" i="29"/>
  <c r="AO84" i="29"/>
  <c r="AO85" i="29"/>
  <c r="AO86" i="29"/>
  <c r="AO87" i="29"/>
  <c r="AO88" i="29"/>
  <c r="AO89" i="29"/>
  <c r="AO90" i="29"/>
  <c r="AO91" i="29"/>
  <c r="AO92" i="29"/>
  <c r="AO93" i="29"/>
  <c r="AO94" i="29"/>
  <c r="AO95" i="29"/>
  <c r="AO96" i="29"/>
  <c r="AO97" i="29"/>
  <c r="AO98" i="29"/>
  <c r="AO102" i="29"/>
  <c r="AO104" i="29"/>
  <c r="AO105" i="29"/>
  <c r="AO106" i="29"/>
  <c r="AO107" i="29"/>
  <c r="AO108" i="29"/>
  <c r="AO109" i="29"/>
  <c r="AO110" i="29"/>
  <c r="AO111" i="29"/>
  <c r="AO112" i="29"/>
  <c r="AO113" i="29"/>
  <c r="AO114" i="29"/>
  <c r="AO115" i="29"/>
  <c r="AO116" i="29"/>
  <c r="AO117" i="29"/>
  <c r="AO118" i="29"/>
  <c r="AO119" i="29"/>
  <c r="AO120" i="29"/>
  <c r="AO121" i="29"/>
  <c r="AO122" i="29"/>
  <c r="AO123" i="29"/>
  <c r="AO124" i="29"/>
  <c r="AO125" i="29"/>
  <c r="AO126" i="29"/>
  <c r="AO128" i="29"/>
  <c r="AO129" i="29"/>
  <c r="AO188" i="29"/>
  <c r="AO130" i="29"/>
  <c r="AO186" i="29"/>
  <c r="AO131" i="29"/>
  <c r="AO132" i="29"/>
  <c r="AO99" i="29"/>
  <c r="AO100" i="29"/>
  <c r="AO103" i="29"/>
  <c r="AO101" i="29"/>
  <c r="AO133" i="29"/>
  <c r="AO134" i="29"/>
  <c r="AO137" i="29"/>
  <c r="AO138" i="29"/>
  <c r="AO139" i="29"/>
  <c r="AO135" i="29"/>
  <c r="AO136" i="29"/>
  <c r="AO140" i="29"/>
  <c r="AO141" i="29"/>
  <c r="AO142" i="29"/>
  <c r="AO143" i="29"/>
  <c r="AO144" i="29"/>
  <c r="AO145" i="29"/>
  <c r="AO146" i="29"/>
  <c r="AO147" i="29"/>
  <c r="AO148" i="29"/>
  <c r="AO151" i="29"/>
  <c r="AO152" i="29"/>
  <c r="AO153" i="29"/>
  <c r="AO154" i="29"/>
  <c r="AO155" i="29"/>
  <c r="AO156" i="29"/>
  <c r="AO157" i="29"/>
  <c r="AO149" i="29"/>
  <c r="AO191" i="29"/>
  <c r="AO150" i="29"/>
  <c r="AO192" i="29"/>
  <c r="AO158" i="29"/>
  <c r="AO159" i="29"/>
  <c r="AO160" i="29"/>
  <c r="AO161" i="29"/>
  <c r="AO162" i="29"/>
  <c r="AO163" i="29"/>
  <c r="AO164" i="29"/>
  <c r="AO165" i="29"/>
  <c r="AO166" i="29"/>
  <c r="AO167" i="29"/>
  <c r="AO168" i="29"/>
  <c r="AO169" i="29"/>
  <c r="AO170" i="29"/>
  <c r="AO172" i="29"/>
  <c r="AO171" i="29"/>
  <c r="AO174" i="29"/>
  <c r="AO173" i="29"/>
  <c r="AO175" i="29"/>
  <c r="AO176" i="29"/>
  <c r="AO177" i="29"/>
  <c r="AO178" i="29"/>
  <c r="AO179" i="29"/>
  <c r="AO180" i="29"/>
  <c r="AO181" i="29"/>
  <c r="AO182" i="29"/>
  <c r="AO183" i="29"/>
  <c r="AO184" i="29"/>
  <c r="AO185" i="29"/>
  <c r="AO187" i="29"/>
  <c r="AO189" i="29"/>
  <c r="AO190" i="29"/>
  <c r="AO193" i="29"/>
  <c r="AO194" i="29"/>
  <c r="AO198" i="29"/>
  <c r="AO200" i="29"/>
  <c r="AO201" i="29"/>
  <c r="AO202" i="29"/>
  <c r="AO203" i="29"/>
  <c r="AO195" i="29"/>
  <c r="AO204" i="29"/>
  <c r="AO196" i="29"/>
  <c r="AO205" i="29"/>
  <c r="AO206" i="29"/>
  <c r="AO207" i="29"/>
  <c r="AO208" i="29"/>
  <c r="AO209" i="29"/>
  <c r="AO211" i="29"/>
  <c r="AO213" i="29"/>
  <c r="AO214" i="29"/>
  <c r="AO215" i="29"/>
  <c r="AO216" i="29"/>
  <c r="AO217" i="29"/>
  <c r="AO218" i="29"/>
  <c r="AO219" i="29"/>
  <c r="AO220" i="29"/>
  <c r="AO221" i="29"/>
  <c r="AO222" i="29"/>
  <c r="AO223" i="29"/>
  <c r="AO210" i="29"/>
  <c r="AO224" i="29"/>
  <c r="AO212" i="29"/>
  <c r="AO228" i="29"/>
  <c r="AO229" i="29"/>
  <c r="AO230" i="29"/>
  <c r="AO231" i="29"/>
  <c r="AO232" i="29"/>
  <c r="AO233" i="29"/>
  <c r="AO234" i="29"/>
  <c r="AO235" i="29"/>
  <c r="AO236" i="29"/>
  <c r="AO237" i="29"/>
  <c r="AO238" i="29"/>
  <c r="AO239" i="29"/>
  <c r="AO240" i="29"/>
  <c r="AO225" i="29"/>
  <c r="AO241" i="29"/>
  <c r="AO227" i="29"/>
  <c r="AO242" i="29"/>
  <c r="AO243" i="29"/>
  <c r="AO245" i="29"/>
  <c r="AO247" i="29"/>
  <c r="AO248" i="29"/>
  <c r="AO249" i="29"/>
  <c r="AO250" i="29"/>
  <c r="AO251" i="29"/>
  <c r="AO264" i="29"/>
  <c r="AO265" i="29"/>
  <c r="AO266" i="29"/>
  <c r="AO267" i="29"/>
  <c r="AO291" i="29"/>
  <c r="AO244" i="29"/>
  <c r="AO253" i="29"/>
  <c r="AO290" i="29"/>
  <c r="AO246" i="29"/>
  <c r="AO256" i="29"/>
  <c r="AO268" i="29"/>
  <c r="AO269" i="29"/>
  <c r="AO270" i="29"/>
  <c r="AO271" i="29"/>
  <c r="AO272" i="29"/>
  <c r="AO273" i="29"/>
  <c r="AO274" i="29"/>
  <c r="AO275" i="29"/>
  <c r="AO276" i="29"/>
  <c r="AO277" i="29"/>
  <c r="AO278" i="29"/>
  <c r="AO279" i="29"/>
  <c r="AO280" i="29"/>
  <c r="AO199" i="29"/>
  <c r="AO197" i="29"/>
  <c r="AO281" i="29"/>
  <c r="AO282" i="29"/>
  <c r="AO283" i="29"/>
  <c r="AO284" i="29"/>
  <c r="AO285" i="29"/>
  <c r="AO286" i="29"/>
  <c r="AO287" i="29"/>
  <c r="AO288" i="29"/>
  <c r="AO289" i="29"/>
  <c r="AO292" i="29"/>
  <c r="AO293" i="29"/>
  <c r="AO296" i="29"/>
  <c r="AO297" i="29"/>
  <c r="AO298" i="29"/>
  <c r="AO299" i="29"/>
  <c r="AO300" i="29"/>
  <c r="AO301" i="29"/>
  <c r="AO302" i="29"/>
  <c r="AO303" i="29"/>
  <c r="AO304" i="29"/>
  <c r="AO305" i="29"/>
  <c r="AO306" i="29"/>
  <c r="AO307" i="29"/>
  <c r="AO308" i="29"/>
  <c r="AO309" i="29"/>
  <c r="AO310" i="29"/>
  <c r="AO311" i="29"/>
  <c r="AO312" i="29"/>
  <c r="AO22" i="29"/>
  <c r="Y23" i="29"/>
  <c r="Z23" i="29" s="1"/>
  <c r="Y24" i="29"/>
  <c r="Z24" i="29" s="1"/>
  <c r="Y25" i="29"/>
  <c r="Z25" i="29" s="1"/>
  <c r="Y26" i="29"/>
  <c r="Z26" i="29" s="1"/>
  <c r="Y21" i="29"/>
  <c r="B68" i="3" s="1"/>
  <c r="Y27" i="29"/>
  <c r="Z27" i="29" s="1"/>
  <c r="Y28" i="29"/>
  <c r="Z28" i="29" s="1"/>
  <c r="Y29" i="29"/>
  <c r="Z29" i="29" s="1"/>
  <c r="Y30" i="29"/>
  <c r="Z30" i="29" s="1"/>
  <c r="Y31" i="29"/>
  <c r="Z31" i="29" s="1"/>
  <c r="Y32" i="29"/>
  <c r="Z32" i="29" s="1"/>
  <c r="Y33" i="29"/>
  <c r="Z33" i="29" s="1"/>
  <c r="Y34" i="29"/>
  <c r="Z34" i="29" s="1"/>
  <c r="Y35" i="29"/>
  <c r="Z35" i="29" s="1"/>
  <c r="Y36" i="29"/>
  <c r="Z36" i="29" s="1"/>
  <c r="Y37" i="29"/>
  <c r="Z37" i="29" s="1"/>
  <c r="Y38" i="29"/>
  <c r="Z38" i="29" s="1"/>
  <c r="Y39" i="29"/>
  <c r="Z39" i="29" s="1"/>
  <c r="Y40" i="29"/>
  <c r="Z40" i="29" s="1"/>
  <c r="Y41" i="29"/>
  <c r="Z41" i="29" s="1"/>
  <c r="Y42" i="29"/>
  <c r="Z42" i="29" s="1"/>
  <c r="Y43" i="29"/>
  <c r="Z43" i="29" s="1"/>
  <c r="Y44" i="29"/>
  <c r="Z44" i="29" s="1"/>
  <c r="Y47" i="29"/>
  <c r="Z47" i="29" s="1"/>
  <c r="Y294" i="29"/>
  <c r="Z294" i="29" s="1"/>
  <c r="Y295" i="29"/>
  <c r="Z295" i="29" s="1"/>
  <c r="Y48" i="29"/>
  <c r="Z48" i="29" s="1"/>
  <c r="Y49" i="29"/>
  <c r="Z49" i="29" s="1"/>
  <c r="Y50" i="29"/>
  <c r="Z50" i="29" s="1"/>
  <c r="Y51" i="29"/>
  <c r="Z51" i="29" s="1"/>
  <c r="Y52" i="29"/>
  <c r="Z52" i="29" s="1"/>
  <c r="Y53" i="29"/>
  <c r="Z53" i="29" s="1"/>
  <c r="Y54" i="29"/>
  <c r="Z54" i="29" s="1"/>
  <c r="Y55" i="29"/>
  <c r="Z55" i="29" s="1"/>
  <c r="Y45" i="29"/>
  <c r="Z45" i="29" s="1"/>
  <c r="Y46" i="29"/>
  <c r="Z46" i="29" s="1"/>
  <c r="Y56" i="29"/>
  <c r="Z56" i="29" s="1"/>
  <c r="Y57" i="29"/>
  <c r="Z57" i="29" s="1"/>
  <c r="Y58" i="29"/>
  <c r="Z58" i="29" s="1"/>
  <c r="Y59" i="29"/>
  <c r="Z59" i="29" s="1"/>
  <c r="Y60" i="29"/>
  <c r="Z60" i="29" s="1"/>
  <c r="Y61" i="29"/>
  <c r="Z61" i="29" s="1"/>
  <c r="Y64" i="29"/>
  <c r="Z64" i="29" s="1"/>
  <c r="Y65" i="29"/>
  <c r="Z65" i="29" s="1"/>
  <c r="Y66" i="29"/>
  <c r="Z66" i="29" s="1"/>
  <c r="Y62" i="29"/>
  <c r="Z62" i="29" s="1"/>
  <c r="Y63" i="29"/>
  <c r="Z63" i="29" s="1"/>
  <c r="Y67" i="29"/>
  <c r="Z67" i="29" s="1"/>
  <c r="Y68" i="29"/>
  <c r="Z68" i="29" s="1"/>
  <c r="Y69" i="29"/>
  <c r="Z69" i="29" s="1"/>
  <c r="Y70" i="29"/>
  <c r="Z70" i="29" s="1"/>
  <c r="Y71" i="29"/>
  <c r="Z71" i="29" s="1"/>
  <c r="Y72" i="29"/>
  <c r="Z72" i="29" s="1"/>
  <c r="Y73" i="29"/>
  <c r="Z73" i="29" s="1"/>
  <c r="Y74" i="29"/>
  <c r="Z74" i="29" s="1"/>
  <c r="Y75" i="29"/>
  <c r="Z75" i="29" s="1"/>
  <c r="Y76" i="29"/>
  <c r="Z76" i="29" s="1"/>
  <c r="Y77" i="29"/>
  <c r="Z77" i="29" s="1"/>
  <c r="Y78" i="29"/>
  <c r="Z78" i="29" s="1"/>
  <c r="Y79" i="29"/>
  <c r="Y80" i="29"/>
  <c r="Z80" i="29" s="1"/>
  <c r="Y81" i="29"/>
  <c r="Z81" i="29" s="1"/>
  <c r="Y82" i="29"/>
  <c r="Z82" i="29" s="1"/>
  <c r="Y83" i="29"/>
  <c r="Z83" i="29" s="1"/>
  <c r="Y84" i="29"/>
  <c r="Z84" i="29" s="1"/>
  <c r="Y85" i="29"/>
  <c r="Z85" i="29" s="1"/>
  <c r="Y86" i="29"/>
  <c r="Z86" i="29" s="1"/>
  <c r="Y87" i="29"/>
  <c r="Z87" i="29" s="1"/>
  <c r="Y88" i="29"/>
  <c r="Z88" i="29" s="1"/>
  <c r="Y89" i="29"/>
  <c r="Z89" i="29" s="1"/>
  <c r="Y90" i="29"/>
  <c r="Z90" i="29" s="1"/>
  <c r="Y91" i="29"/>
  <c r="Z91" i="29" s="1"/>
  <c r="Y92" i="29"/>
  <c r="Z92" i="29" s="1"/>
  <c r="Y93" i="29"/>
  <c r="Z93" i="29" s="1"/>
  <c r="Y94" i="29"/>
  <c r="Y95" i="29"/>
  <c r="Z95" i="29" s="1"/>
  <c r="Y96" i="29"/>
  <c r="Z96" i="29" s="1"/>
  <c r="Y97" i="29"/>
  <c r="Z97" i="29" s="1"/>
  <c r="Y98" i="29"/>
  <c r="Z98" i="29" s="1"/>
  <c r="Y102" i="29"/>
  <c r="Z102" i="29" s="1"/>
  <c r="Y104" i="29"/>
  <c r="Z104" i="29" s="1"/>
  <c r="Y105" i="29"/>
  <c r="Z105" i="29" s="1"/>
  <c r="Y106" i="29"/>
  <c r="Z106" i="29" s="1"/>
  <c r="Y107" i="29"/>
  <c r="Z107" i="29" s="1"/>
  <c r="Y108" i="29"/>
  <c r="Z108" i="29" s="1"/>
  <c r="Y109" i="29"/>
  <c r="Z109" i="29" s="1"/>
  <c r="Y110" i="29"/>
  <c r="Z110" i="29" s="1"/>
  <c r="Y111" i="29"/>
  <c r="Z111" i="29" s="1"/>
  <c r="Y112" i="29"/>
  <c r="Z112" i="29" s="1"/>
  <c r="Y113" i="29"/>
  <c r="Z113" i="29" s="1"/>
  <c r="Y114" i="29"/>
  <c r="Z114" i="29" s="1"/>
  <c r="Y115" i="29"/>
  <c r="Z115" i="29" s="1"/>
  <c r="Y116" i="29"/>
  <c r="Z116" i="29" s="1"/>
  <c r="Y117" i="29"/>
  <c r="Z117" i="29" s="1"/>
  <c r="Y118" i="29"/>
  <c r="Z118" i="29" s="1"/>
  <c r="Y119" i="29"/>
  <c r="Z119" i="29" s="1"/>
  <c r="Y120" i="29"/>
  <c r="Z120" i="29" s="1"/>
  <c r="Y121" i="29"/>
  <c r="Z121" i="29" s="1"/>
  <c r="Y122" i="29"/>
  <c r="Z122" i="29" s="1"/>
  <c r="Y123" i="29"/>
  <c r="Z123" i="29" s="1"/>
  <c r="Y124" i="29"/>
  <c r="Z124" i="29" s="1"/>
  <c r="Y125" i="29"/>
  <c r="Z125" i="29" s="1"/>
  <c r="Y126" i="29"/>
  <c r="Z126" i="29" s="1"/>
  <c r="Y128" i="29"/>
  <c r="Z128" i="29" s="1"/>
  <c r="Y129" i="29"/>
  <c r="Z129" i="29" s="1"/>
  <c r="Y188" i="29"/>
  <c r="Z188" i="29" s="1"/>
  <c r="Y130" i="29"/>
  <c r="Z130" i="29" s="1"/>
  <c r="Y186" i="29"/>
  <c r="Z186" i="29" s="1"/>
  <c r="Y131" i="29"/>
  <c r="Z131" i="29" s="1"/>
  <c r="Y132" i="29"/>
  <c r="Z132" i="29" s="1"/>
  <c r="Y99" i="29"/>
  <c r="Z99" i="29" s="1"/>
  <c r="Y100" i="29"/>
  <c r="Z100" i="29" s="1"/>
  <c r="Y103" i="29"/>
  <c r="Z103" i="29" s="1"/>
  <c r="Y101" i="29"/>
  <c r="Z101" i="29" s="1"/>
  <c r="Y133" i="29"/>
  <c r="Z133" i="29" s="1"/>
  <c r="Y134" i="29"/>
  <c r="Z134" i="29" s="1"/>
  <c r="Y137" i="29"/>
  <c r="Z137" i="29" s="1"/>
  <c r="Y138" i="29"/>
  <c r="Z138" i="29" s="1"/>
  <c r="Y139" i="29"/>
  <c r="Z139" i="29" s="1"/>
  <c r="Y135" i="29"/>
  <c r="Z135" i="29" s="1"/>
  <c r="Y136" i="29"/>
  <c r="Z136" i="29" s="1"/>
  <c r="Y140" i="29"/>
  <c r="Z140" i="29" s="1"/>
  <c r="Y141" i="29"/>
  <c r="Z141" i="29" s="1"/>
  <c r="Y142" i="29"/>
  <c r="Z142" i="29" s="1"/>
  <c r="Y143" i="29"/>
  <c r="Z143" i="29" s="1"/>
  <c r="Y144" i="29"/>
  <c r="Z144" i="29" s="1"/>
  <c r="Y145" i="29"/>
  <c r="Z145" i="29" s="1"/>
  <c r="Y146" i="29"/>
  <c r="Z146" i="29" s="1"/>
  <c r="Y147" i="29"/>
  <c r="Z147" i="29" s="1"/>
  <c r="Y148" i="29"/>
  <c r="Z148" i="29" s="1"/>
  <c r="Y151" i="29"/>
  <c r="Y152" i="29"/>
  <c r="Z152" i="29" s="1"/>
  <c r="Y153" i="29"/>
  <c r="Z153" i="29" s="1"/>
  <c r="Y154" i="29"/>
  <c r="Z154" i="29" s="1"/>
  <c r="Y155" i="29"/>
  <c r="Z155" i="29" s="1"/>
  <c r="Y156" i="29"/>
  <c r="Z156" i="29" s="1"/>
  <c r="Y157" i="29"/>
  <c r="Z157" i="29" s="1"/>
  <c r="Y149" i="29"/>
  <c r="Z149" i="29" s="1"/>
  <c r="Y191" i="29"/>
  <c r="Z191" i="29" s="1"/>
  <c r="Y150" i="29"/>
  <c r="Z150" i="29" s="1"/>
  <c r="Y192" i="29"/>
  <c r="Z192" i="29" s="1"/>
  <c r="Y158" i="29"/>
  <c r="Z158" i="29" s="1"/>
  <c r="Y159" i="29"/>
  <c r="Z159" i="29" s="1"/>
  <c r="Y160" i="29"/>
  <c r="Z160" i="29" s="1"/>
  <c r="Y161" i="29"/>
  <c r="Z161" i="29" s="1"/>
  <c r="Y162" i="29"/>
  <c r="Z162" i="29" s="1"/>
  <c r="Y163" i="29"/>
  <c r="Y164" i="29"/>
  <c r="Z164" i="29" s="1"/>
  <c r="Y165" i="29"/>
  <c r="Z165" i="29" s="1"/>
  <c r="Y166" i="29"/>
  <c r="Z166" i="29" s="1"/>
  <c r="Y167" i="29"/>
  <c r="Z167" i="29" s="1"/>
  <c r="Y168" i="29"/>
  <c r="Z168" i="29" s="1"/>
  <c r="Y169" i="29"/>
  <c r="Z169" i="29" s="1"/>
  <c r="Y170" i="29"/>
  <c r="Z170" i="29" s="1"/>
  <c r="Y172" i="29"/>
  <c r="Z172" i="29" s="1"/>
  <c r="Y171" i="29"/>
  <c r="Z171" i="29" s="1"/>
  <c r="Y174" i="29"/>
  <c r="Z174" i="29" s="1"/>
  <c r="Y173" i="29"/>
  <c r="Z173" i="29" s="1"/>
  <c r="Y175" i="29"/>
  <c r="Z175" i="29" s="1"/>
  <c r="Y176" i="29"/>
  <c r="Z176" i="29" s="1"/>
  <c r="Y177" i="29"/>
  <c r="Z177" i="29" s="1"/>
  <c r="Y178" i="29"/>
  <c r="Z178" i="29" s="1"/>
  <c r="Y179" i="29"/>
  <c r="Z179" i="29" s="1"/>
  <c r="Y180" i="29"/>
  <c r="Z180" i="29" s="1"/>
  <c r="Y181" i="29"/>
  <c r="Z181" i="29" s="1"/>
  <c r="Y182" i="29"/>
  <c r="Z182" i="29" s="1"/>
  <c r="Y183" i="29"/>
  <c r="Z183" i="29" s="1"/>
  <c r="Y184" i="29"/>
  <c r="Z184" i="29" s="1"/>
  <c r="Y185" i="29"/>
  <c r="Z185" i="29" s="1"/>
  <c r="Y187" i="29"/>
  <c r="Z187" i="29" s="1"/>
  <c r="Y189" i="29"/>
  <c r="Z189" i="29" s="1"/>
  <c r="Y190" i="29"/>
  <c r="Z190" i="29" s="1"/>
  <c r="Y193" i="29"/>
  <c r="Z193" i="29" s="1"/>
  <c r="Y194" i="29"/>
  <c r="Z194" i="29" s="1"/>
  <c r="Y198" i="29"/>
  <c r="Z198" i="29" s="1"/>
  <c r="Y200" i="29"/>
  <c r="Z200" i="29" s="1"/>
  <c r="Y201" i="29"/>
  <c r="Z201" i="29" s="1"/>
  <c r="Y202" i="29"/>
  <c r="Z202" i="29" s="1"/>
  <c r="Y203" i="29"/>
  <c r="Z203" i="29" s="1"/>
  <c r="Y195" i="29"/>
  <c r="Z195" i="29" s="1"/>
  <c r="Y204" i="29"/>
  <c r="Z204" i="29" s="1"/>
  <c r="Y196" i="29"/>
  <c r="Z196" i="29" s="1"/>
  <c r="Y205" i="29"/>
  <c r="Z205" i="29" s="1"/>
  <c r="Y206" i="29"/>
  <c r="Z206" i="29" s="1"/>
  <c r="Y207" i="29"/>
  <c r="Z207" i="29" s="1"/>
  <c r="Y208" i="29"/>
  <c r="Y209" i="29"/>
  <c r="Z209" i="29" s="1"/>
  <c r="Y211" i="29"/>
  <c r="Z211" i="29" s="1"/>
  <c r="Y213" i="29"/>
  <c r="Z213" i="29" s="1"/>
  <c r="Y214" i="29"/>
  <c r="Z214" i="29" s="1"/>
  <c r="Y215" i="29"/>
  <c r="Z215" i="29" s="1"/>
  <c r="Y216" i="29"/>
  <c r="Z216" i="29" s="1"/>
  <c r="Y217" i="29"/>
  <c r="Z217" i="29" s="1"/>
  <c r="Y218" i="29"/>
  <c r="Z218" i="29" s="1"/>
  <c r="Y219" i="29"/>
  <c r="Z219" i="29" s="1"/>
  <c r="Y220" i="29"/>
  <c r="Z220" i="29" s="1"/>
  <c r="Y221" i="29"/>
  <c r="Z221" i="29" s="1"/>
  <c r="Y222" i="29"/>
  <c r="Z222" i="29" s="1"/>
  <c r="Y223" i="29"/>
  <c r="Z223" i="29" s="1"/>
  <c r="Y210" i="29"/>
  <c r="Z210" i="29" s="1"/>
  <c r="Y224" i="29"/>
  <c r="Z224" i="29" s="1"/>
  <c r="Y212" i="29"/>
  <c r="Z212" i="29" s="1"/>
  <c r="Y228" i="29"/>
  <c r="Z228" i="29" s="1"/>
  <c r="Y229" i="29"/>
  <c r="Z229" i="29" s="1"/>
  <c r="Y230" i="29"/>
  <c r="Z230" i="29" s="1"/>
  <c r="Y231" i="29"/>
  <c r="Z231" i="29" s="1"/>
  <c r="Y232" i="29"/>
  <c r="Z232" i="29" s="1"/>
  <c r="Y233" i="29"/>
  <c r="Z233" i="29" s="1"/>
  <c r="Y234" i="29"/>
  <c r="Z234" i="29" s="1"/>
  <c r="Y235" i="29"/>
  <c r="Z235" i="29" s="1"/>
  <c r="Y236" i="29"/>
  <c r="Z236" i="29" s="1"/>
  <c r="Y237" i="29"/>
  <c r="Z237" i="29" s="1"/>
  <c r="Y238" i="29"/>
  <c r="Z238" i="29" s="1"/>
  <c r="Y239" i="29"/>
  <c r="Z239" i="29" s="1"/>
  <c r="Y240" i="29"/>
  <c r="Z240" i="29" s="1"/>
  <c r="Y225" i="29"/>
  <c r="Z225" i="29" s="1"/>
  <c r="Y241" i="29"/>
  <c r="Z241" i="29" s="1"/>
  <c r="Y227" i="29"/>
  <c r="Z227" i="29" s="1"/>
  <c r="Y242" i="29"/>
  <c r="Z242" i="29" s="1"/>
  <c r="Y243" i="29"/>
  <c r="Z243" i="29" s="1"/>
  <c r="Y245" i="29"/>
  <c r="Z245" i="29" s="1"/>
  <c r="Y247" i="29"/>
  <c r="Z247" i="29" s="1"/>
  <c r="Y248" i="29"/>
  <c r="Z248" i="29" s="1"/>
  <c r="Y249" i="29"/>
  <c r="Z249" i="29" s="1"/>
  <c r="Y250" i="29"/>
  <c r="Z250" i="29" s="1"/>
  <c r="Y251" i="29"/>
  <c r="Z251" i="29" s="1"/>
  <c r="Y264" i="29"/>
  <c r="Z264" i="29" s="1"/>
  <c r="Y265" i="29"/>
  <c r="Z265" i="29" s="1"/>
  <c r="Y266" i="29"/>
  <c r="Z266" i="29" s="1"/>
  <c r="Y267" i="29"/>
  <c r="Z267" i="29" s="1"/>
  <c r="Y291" i="29"/>
  <c r="Z291" i="29" s="1"/>
  <c r="Y244" i="29"/>
  <c r="Z244" i="29" s="1"/>
  <c r="Y253" i="29"/>
  <c r="Y290" i="29"/>
  <c r="Z290" i="29" s="1"/>
  <c r="Y246" i="29"/>
  <c r="Z246" i="29" s="1"/>
  <c r="Y256" i="29"/>
  <c r="Z256" i="29" s="1"/>
  <c r="Y268" i="29"/>
  <c r="Z268" i="29" s="1"/>
  <c r="Y269" i="29"/>
  <c r="Z269" i="29" s="1"/>
  <c r="Y270" i="29"/>
  <c r="Z270" i="29" s="1"/>
  <c r="Y271" i="29"/>
  <c r="Z271" i="29" s="1"/>
  <c r="Y272" i="29"/>
  <c r="Z272" i="29" s="1"/>
  <c r="Y273" i="29"/>
  <c r="Z273" i="29" s="1"/>
  <c r="Y274" i="29"/>
  <c r="Z274" i="29" s="1"/>
  <c r="Y275" i="29"/>
  <c r="Z275" i="29" s="1"/>
  <c r="Y276" i="29"/>
  <c r="Z276" i="29" s="1"/>
  <c r="Y277" i="29"/>
  <c r="Z277" i="29" s="1"/>
  <c r="Y278" i="29"/>
  <c r="Z278" i="29" s="1"/>
  <c r="Y279" i="29"/>
  <c r="Z279" i="29" s="1"/>
  <c r="Y280" i="29"/>
  <c r="Z280" i="29" s="1"/>
  <c r="Y199" i="29"/>
  <c r="Z199" i="29" s="1"/>
  <c r="Y197" i="29"/>
  <c r="Z197" i="29" s="1"/>
  <c r="Y281" i="29"/>
  <c r="Z281" i="29" s="1"/>
  <c r="Y282" i="29"/>
  <c r="Z282" i="29" s="1"/>
  <c r="Y283" i="29"/>
  <c r="Z283" i="29" s="1"/>
  <c r="Y284" i="29"/>
  <c r="Z284" i="29" s="1"/>
  <c r="Y285" i="29"/>
  <c r="Z285" i="29" s="1"/>
  <c r="Y286" i="29"/>
  <c r="Z286" i="29" s="1"/>
  <c r="Y287" i="29"/>
  <c r="Z287" i="29" s="1"/>
  <c r="Y288" i="29"/>
  <c r="Z288" i="29" s="1"/>
  <c r="Y289" i="29"/>
  <c r="Z289" i="29" s="1"/>
  <c r="Y292" i="29"/>
  <c r="Z292" i="29" s="1"/>
  <c r="Y293" i="29"/>
  <c r="Z293" i="29" s="1"/>
  <c r="Y296" i="29"/>
  <c r="Z296" i="29" s="1"/>
  <c r="Y297" i="29"/>
  <c r="Z297" i="29" s="1"/>
  <c r="Y298" i="29"/>
  <c r="Z298" i="29" s="1"/>
  <c r="Y299" i="29"/>
  <c r="Y300" i="29"/>
  <c r="Z300" i="29" s="1"/>
  <c r="Y301" i="29"/>
  <c r="Z301" i="29" s="1"/>
  <c r="Y302" i="29"/>
  <c r="Z302" i="29" s="1"/>
  <c r="Y303" i="29"/>
  <c r="Z303" i="29" s="1"/>
  <c r="Y304" i="29"/>
  <c r="Z304" i="29" s="1"/>
  <c r="Y305" i="29"/>
  <c r="Z305" i="29" s="1"/>
  <c r="Y306" i="29"/>
  <c r="Z306" i="29" s="1"/>
  <c r="Y307" i="29"/>
  <c r="Z307" i="29" s="1"/>
  <c r="Y308" i="29"/>
  <c r="Z308" i="29" s="1"/>
  <c r="Y309" i="29"/>
  <c r="Z309" i="29" s="1"/>
  <c r="Y310" i="29"/>
  <c r="Z310" i="29" s="1"/>
  <c r="Y311" i="29"/>
  <c r="Z311" i="29" s="1"/>
  <c r="Y312" i="29"/>
  <c r="Z312" i="29" s="1"/>
  <c r="Y22" i="29"/>
  <c r="Z22" i="29" s="1"/>
  <c r="Q23" i="29"/>
  <c r="Q25" i="29"/>
  <c r="Q27" i="29"/>
  <c r="Q28" i="29"/>
  <c r="Q29" i="29"/>
  <c r="Q30" i="29"/>
  <c r="Q31" i="29"/>
  <c r="Q32" i="29"/>
  <c r="Q33" i="29"/>
  <c r="Q35" i="29"/>
  <c r="Q36" i="29"/>
  <c r="Q37" i="29"/>
  <c r="Q39" i="29"/>
  <c r="Q40" i="29"/>
  <c r="Q41" i="29"/>
  <c r="Q43" i="29"/>
  <c r="Q47" i="29"/>
  <c r="Q48" i="29"/>
  <c r="Q49" i="29"/>
  <c r="Q50" i="29"/>
  <c r="Q51" i="29"/>
  <c r="Q53" i="29"/>
  <c r="Q55" i="29"/>
  <c r="Q45" i="29"/>
  <c r="Q46" i="29"/>
  <c r="Q56" i="29"/>
  <c r="Q57" i="29"/>
  <c r="Q59" i="29"/>
  <c r="Q60" i="29"/>
  <c r="Q61" i="29"/>
  <c r="Q64" i="29"/>
  <c r="Q65" i="29"/>
  <c r="Q62" i="29"/>
  <c r="Q63" i="29"/>
  <c r="Q67" i="29"/>
  <c r="Q68" i="29"/>
  <c r="Q70" i="29"/>
  <c r="Q71" i="29"/>
  <c r="Q72" i="29"/>
  <c r="Q73" i="29"/>
  <c r="Q75" i="29"/>
  <c r="Q77" i="29"/>
  <c r="Q78" i="29"/>
  <c r="Q79" i="29"/>
  <c r="Q80" i="29"/>
  <c r="Q81" i="29"/>
  <c r="Q82" i="29"/>
  <c r="Q83" i="29"/>
  <c r="Q84" i="29"/>
  <c r="Q85" i="29"/>
  <c r="Q87" i="29"/>
  <c r="Q88" i="29"/>
  <c r="Q90" i="29"/>
  <c r="Q92" i="29"/>
  <c r="Q94" i="29"/>
  <c r="Q96" i="29"/>
  <c r="Q98" i="29"/>
  <c r="Q102" i="29"/>
  <c r="Q104" i="29"/>
  <c r="Q105" i="29"/>
  <c r="Q107" i="29"/>
  <c r="Q108" i="29"/>
  <c r="Q109" i="29"/>
  <c r="Q110" i="29"/>
  <c r="Q111" i="29"/>
  <c r="Q112" i="29"/>
  <c r="Q113" i="29"/>
  <c r="Q116" i="29"/>
  <c r="Q117" i="29"/>
  <c r="Q118" i="29"/>
  <c r="Q119" i="29"/>
  <c r="Q120" i="29"/>
  <c r="Q121" i="29"/>
  <c r="Q122" i="29"/>
  <c r="Q123" i="29"/>
  <c r="Q125" i="29"/>
  <c r="Q126" i="29"/>
  <c r="Q128" i="29"/>
  <c r="Q129" i="29"/>
  <c r="Q188" i="29"/>
  <c r="Q130" i="29"/>
  <c r="Q186" i="29"/>
  <c r="Q131" i="29"/>
  <c r="Q99" i="29"/>
  <c r="Q100" i="29"/>
  <c r="Q103" i="29"/>
  <c r="Q101" i="29"/>
  <c r="Q134" i="29"/>
  <c r="Q138" i="29"/>
  <c r="Q139" i="29"/>
  <c r="Q135" i="29"/>
  <c r="Q136" i="29"/>
  <c r="Q140" i="29"/>
  <c r="Q141" i="29"/>
  <c r="Q142" i="29"/>
  <c r="Q143" i="29"/>
  <c r="Q144" i="29"/>
  <c r="Q145" i="29"/>
  <c r="Q146" i="29"/>
  <c r="Q147" i="29"/>
  <c r="Q148" i="29"/>
  <c r="Q151" i="29"/>
  <c r="Q152" i="29"/>
  <c r="Q153" i="29"/>
  <c r="Q155" i="29"/>
  <c r="Q156" i="29"/>
  <c r="Q191" i="29"/>
  <c r="Q150" i="29"/>
  <c r="Q192" i="29"/>
  <c r="Q158" i="29"/>
  <c r="Q159" i="29"/>
  <c r="Q160" i="29"/>
  <c r="Q161" i="29"/>
  <c r="Q162" i="29"/>
  <c r="Q163" i="29"/>
  <c r="Q165" i="29"/>
  <c r="Q166" i="29"/>
  <c r="Q168" i="29"/>
  <c r="Q169" i="29"/>
  <c r="Q170" i="29"/>
  <c r="Q172" i="29"/>
  <c r="Q171" i="29"/>
  <c r="Q174" i="29"/>
  <c r="Q173" i="29"/>
  <c r="Q175" i="29"/>
  <c r="Q176" i="29"/>
  <c r="Q177" i="29"/>
  <c r="Q178" i="29"/>
  <c r="Q180" i="29"/>
  <c r="Q181" i="29"/>
  <c r="Q182" i="29"/>
  <c r="Q183" i="29"/>
  <c r="Q184" i="29"/>
  <c r="Q185" i="29"/>
  <c r="Q187" i="29"/>
  <c r="Q189" i="29"/>
  <c r="Q190" i="29"/>
  <c r="Q194" i="29"/>
  <c r="Q198" i="29"/>
  <c r="Q200" i="29"/>
  <c r="Q201" i="29"/>
  <c r="Q202" i="29"/>
  <c r="Q203" i="29"/>
  <c r="Q195" i="29"/>
  <c r="Q204" i="29"/>
  <c r="Q205" i="29"/>
  <c r="Q206" i="29"/>
  <c r="Q207" i="29"/>
  <c r="Q208" i="29"/>
  <c r="Q209" i="29"/>
  <c r="Q214" i="29"/>
  <c r="Q215" i="29"/>
  <c r="Q216" i="29"/>
  <c r="Q217" i="29"/>
  <c r="Q218" i="29"/>
  <c r="Q219" i="29"/>
  <c r="Q220" i="29"/>
  <c r="Q221" i="29"/>
  <c r="Q222" i="29"/>
  <c r="Q210" i="29"/>
  <c r="Q224" i="29"/>
  <c r="Q228" i="29"/>
  <c r="Q230" i="29"/>
  <c r="Q231" i="29"/>
  <c r="Q232" i="29"/>
  <c r="Q233" i="29"/>
  <c r="Q236" i="29"/>
  <c r="Q237" i="29"/>
  <c r="Q238" i="29"/>
  <c r="Q240" i="29"/>
  <c r="Q225" i="29"/>
  <c r="Q241" i="29"/>
  <c r="Q242" i="29"/>
  <c r="Q243" i="29"/>
  <c r="Q248" i="29"/>
  <c r="Q249" i="29"/>
  <c r="Q250" i="29"/>
  <c r="Q251" i="29"/>
  <c r="Q264" i="29"/>
  <c r="Q265" i="29"/>
  <c r="Q266" i="29"/>
  <c r="Q267" i="29"/>
  <c r="Q291" i="29"/>
  <c r="Q244" i="29"/>
  <c r="Q253" i="29"/>
  <c r="Q290" i="29"/>
  <c r="Q246" i="29"/>
  <c r="Q268" i="29"/>
  <c r="Q269" i="29"/>
  <c r="Q270" i="29"/>
  <c r="Q272" i="29"/>
  <c r="Q273" i="29"/>
  <c r="Q275" i="29"/>
  <c r="Q276" i="29"/>
  <c r="Q277" i="29"/>
  <c r="Q278" i="29"/>
  <c r="Q279" i="29"/>
  <c r="Q199" i="29"/>
  <c r="Q197" i="29"/>
  <c r="Q281" i="29"/>
  <c r="Q282" i="29"/>
  <c r="Q285" i="29"/>
  <c r="Q286" i="29"/>
  <c r="Q287" i="29"/>
  <c r="Q288" i="29"/>
  <c r="Q293" i="29"/>
  <c r="Q297" i="29"/>
  <c r="Q299" i="29"/>
  <c r="Q300" i="29"/>
  <c r="Q301" i="29"/>
  <c r="Q302" i="29"/>
  <c r="Q303" i="29"/>
  <c r="Q304" i="29"/>
  <c r="Q305" i="29"/>
  <c r="Q306" i="29"/>
  <c r="Q307" i="29"/>
  <c r="Q310" i="29"/>
  <c r="Q311" i="29"/>
  <c r="AY18" i="29"/>
  <c r="B2" i="30"/>
  <c r="AN23" i="29"/>
  <c r="AN24" i="29"/>
  <c r="AN25" i="29"/>
  <c r="AN26" i="29"/>
  <c r="AN27" i="29"/>
  <c r="AN28" i="29"/>
  <c r="AN29" i="29"/>
  <c r="AN30" i="29"/>
  <c r="AN31" i="29"/>
  <c r="AN32" i="29"/>
  <c r="AN33" i="29"/>
  <c r="AN34" i="29"/>
  <c r="AN35" i="29"/>
  <c r="AN36" i="29"/>
  <c r="AN37" i="29"/>
  <c r="AN38" i="29"/>
  <c r="AN39" i="29"/>
  <c r="AN40" i="29"/>
  <c r="AN41" i="29"/>
  <c r="AN42" i="29"/>
  <c r="AN43" i="29"/>
  <c r="AN44" i="29"/>
  <c r="AN294" i="29"/>
  <c r="AN295" i="29"/>
  <c r="AN296" i="29"/>
  <c r="AN48" i="29"/>
  <c r="AN49" i="29"/>
  <c r="AN50" i="29"/>
  <c r="AN51" i="29"/>
  <c r="AN52" i="29"/>
  <c r="AN53" i="29"/>
  <c r="AN54" i="29"/>
  <c r="AN55" i="29"/>
  <c r="AN45" i="29"/>
  <c r="AN47" i="29"/>
  <c r="AN46" i="29"/>
  <c r="AN56" i="29"/>
  <c r="AN57" i="29"/>
  <c r="AN58" i="29"/>
  <c r="AN59" i="29"/>
  <c r="AN60" i="29"/>
  <c r="AN64" i="29"/>
  <c r="AN65" i="29"/>
  <c r="AN66" i="29"/>
  <c r="AN62" i="29"/>
  <c r="AN61" i="29"/>
  <c r="AN63" i="29"/>
  <c r="AN67" i="29"/>
  <c r="AN68" i="29"/>
  <c r="AN69" i="29"/>
  <c r="AN70" i="29"/>
  <c r="AN71" i="29"/>
  <c r="AN72" i="29"/>
  <c r="AN73" i="29"/>
  <c r="AN74" i="29"/>
  <c r="AN75" i="29"/>
  <c r="AN76" i="29"/>
  <c r="AN77" i="29"/>
  <c r="AN78" i="29"/>
  <c r="AN79" i="29"/>
  <c r="AN80" i="29"/>
  <c r="AN81" i="29"/>
  <c r="AN82" i="29"/>
  <c r="AN83" i="29"/>
  <c r="AN84" i="29"/>
  <c r="AN85" i="29"/>
  <c r="AN86" i="29"/>
  <c r="AN87" i="29"/>
  <c r="AN88" i="29"/>
  <c r="AN89" i="29"/>
  <c r="AN90" i="29"/>
  <c r="AN91" i="29"/>
  <c r="AN92" i="29"/>
  <c r="AN93" i="29"/>
  <c r="AN94" i="29"/>
  <c r="AN95" i="29"/>
  <c r="AN96" i="29"/>
  <c r="AN97" i="29"/>
  <c r="AN102" i="29"/>
  <c r="AN105" i="29"/>
  <c r="AN106" i="29"/>
  <c r="AN107" i="29"/>
  <c r="AN108" i="29"/>
  <c r="AN109" i="29"/>
  <c r="AN110" i="29"/>
  <c r="AN111" i="29"/>
  <c r="AN112" i="29"/>
  <c r="AN113" i="29"/>
  <c r="AN114" i="29"/>
  <c r="AN115" i="29"/>
  <c r="AN116" i="29"/>
  <c r="AN117" i="29"/>
  <c r="AN118" i="29"/>
  <c r="AN119" i="29"/>
  <c r="AN120" i="29"/>
  <c r="AN121" i="29"/>
  <c r="AN122" i="29"/>
  <c r="AN123" i="29"/>
  <c r="AN124" i="29"/>
  <c r="AN125" i="29"/>
  <c r="AN126" i="29"/>
  <c r="AN128" i="29"/>
  <c r="AN129" i="29"/>
  <c r="AN188" i="29"/>
  <c r="AN130" i="29"/>
  <c r="AN186" i="29"/>
  <c r="AN183" i="29"/>
  <c r="AN131" i="29"/>
  <c r="AN132" i="29"/>
  <c r="AN99" i="29"/>
  <c r="AN98" i="29"/>
  <c r="AN104" i="29"/>
  <c r="AN100" i="29"/>
  <c r="AN103" i="29"/>
  <c r="AN101" i="29"/>
  <c r="AN134" i="29"/>
  <c r="AN137" i="29"/>
  <c r="AN138" i="29"/>
  <c r="AN133" i="29"/>
  <c r="AN139" i="29"/>
  <c r="AN135" i="29"/>
  <c r="AN136" i="29"/>
  <c r="AN140" i="29"/>
  <c r="AN141" i="29"/>
  <c r="AN142" i="29"/>
  <c r="AN143" i="29"/>
  <c r="AN144" i="29"/>
  <c r="AN145" i="29"/>
  <c r="AN146" i="29"/>
  <c r="AN148" i="29"/>
  <c r="AN151" i="29"/>
  <c r="AN152" i="29"/>
  <c r="AN153" i="29"/>
  <c r="AN154" i="29"/>
  <c r="AN155" i="29"/>
  <c r="AN156" i="29"/>
  <c r="AN147" i="29"/>
  <c r="AN189" i="29"/>
  <c r="AN157" i="29"/>
  <c r="AN149" i="29"/>
  <c r="AN191" i="29"/>
  <c r="AN150" i="29"/>
  <c r="AN192" i="29"/>
  <c r="AN158" i="29"/>
  <c r="AN159" i="29"/>
  <c r="AN160" i="29"/>
  <c r="AN161" i="29"/>
  <c r="AN162" i="29"/>
  <c r="AN163" i="29"/>
  <c r="AN164" i="29"/>
  <c r="AN165" i="29"/>
  <c r="AN166" i="29"/>
  <c r="AN167" i="29"/>
  <c r="AN169" i="29"/>
  <c r="AN168" i="29"/>
  <c r="AN170" i="29"/>
  <c r="AN172" i="29"/>
  <c r="AN171" i="29"/>
  <c r="AN174" i="29"/>
  <c r="AN173" i="29"/>
  <c r="AN175" i="29"/>
  <c r="AN176" i="29"/>
  <c r="AN177" i="29"/>
  <c r="AN178" i="29"/>
  <c r="AN179" i="29"/>
  <c r="AN180" i="29"/>
  <c r="AN181" i="29"/>
  <c r="AN182" i="29"/>
  <c r="AN184" i="29"/>
  <c r="AN185" i="29"/>
  <c r="AN187" i="29"/>
  <c r="AN190" i="29"/>
  <c r="AN193" i="29"/>
  <c r="AN198" i="29"/>
  <c r="AN201" i="29"/>
  <c r="AN202" i="29"/>
  <c r="AN203" i="29"/>
  <c r="AN195" i="29"/>
  <c r="AN204" i="29"/>
  <c r="AN196" i="29"/>
  <c r="AN194" i="29"/>
  <c r="AN205" i="29"/>
  <c r="AN206" i="29"/>
  <c r="AN207" i="29"/>
  <c r="AN208" i="29"/>
  <c r="AN209" i="29"/>
  <c r="AN211" i="29"/>
  <c r="AN214" i="29"/>
  <c r="AN215" i="29"/>
  <c r="AN216" i="29"/>
  <c r="AN217" i="29"/>
  <c r="AN218" i="29"/>
  <c r="AN219" i="29"/>
  <c r="AN220" i="29"/>
  <c r="AN221" i="29"/>
  <c r="AN222" i="29"/>
  <c r="AN223" i="29"/>
  <c r="AN210" i="29"/>
  <c r="AN224" i="29"/>
  <c r="AN212" i="29"/>
  <c r="AN213" i="29"/>
  <c r="AN229" i="29"/>
  <c r="AN230" i="29"/>
  <c r="AN231" i="29"/>
  <c r="AN232" i="29"/>
  <c r="AN233" i="29"/>
  <c r="AN234" i="29"/>
  <c r="AN235" i="29"/>
  <c r="AN236" i="29"/>
  <c r="AN237" i="29"/>
  <c r="AN238" i="29"/>
  <c r="AN239" i="29"/>
  <c r="AN240" i="29"/>
  <c r="AN225" i="29"/>
  <c r="AN241" i="29"/>
  <c r="AN227" i="29"/>
  <c r="AN228" i="29"/>
  <c r="AN242" i="29"/>
  <c r="AN243" i="29"/>
  <c r="AN245" i="29"/>
  <c r="AN248" i="29"/>
  <c r="AN249" i="29"/>
  <c r="AN250" i="29"/>
  <c r="AN251" i="29"/>
  <c r="AN264" i="29"/>
  <c r="AN265" i="29"/>
  <c r="AN266" i="29"/>
  <c r="AN267" i="29"/>
  <c r="AN291" i="29"/>
  <c r="AN244" i="29"/>
  <c r="AN253" i="29"/>
  <c r="AN290" i="29"/>
  <c r="AN246" i="29"/>
  <c r="AN288" i="29"/>
  <c r="AN247" i="29"/>
  <c r="AN256" i="29"/>
  <c r="AN268" i="29"/>
  <c r="AN269" i="29"/>
  <c r="AN270" i="29"/>
  <c r="AN271" i="29"/>
  <c r="AN272" i="29"/>
  <c r="AN273" i="29"/>
  <c r="AN274" i="29"/>
  <c r="AN275" i="29"/>
  <c r="AN276" i="29"/>
  <c r="AN277" i="29"/>
  <c r="AN278" i="29"/>
  <c r="AN279" i="29"/>
  <c r="AN200" i="29"/>
  <c r="AN280" i="29"/>
  <c r="AN199" i="29"/>
  <c r="AN197" i="29"/>
  <c r="AN281" i="29"/>
  <c r="AN282" i="29"/>
  <c r="AN283" i="29"/>
  <c r="AN284" i="29"/>
  <c r="AN285" i="29"/>
  <c r="AN286" i="29"/>
  <c r="AN287" i="29"/>
  <c r="AN289" i="29"/>
  <c r="AN292" i="29"/>
  <c r="AN293" i="29"/>
  <c r="AN297" i="29"/>
  <c r="AN298" i="29"/>
  <c r="AN299" i="29"/>
  <c r="AN300" i="29"/>
  <c r="AN301" i="29"/>
  <c r="AN302" i="29"/>
  <c r="AN303" i="29"/>
  <c r="AN304" i="29"/>
  <c r="AN305" i="29"/>
  <c r="AN306" i="29"/>
  <c r="AN307" i="29"/>
  <c r="AN308" i="29"/>
  <c r="AN309" i="29"/>
  <c r="AN310" i="29"/>
  <c r="AN311" i="29"/>
  <c r="AN312" i="29"/>
  <c r="AU18" i="29"/>
  <c r="AV18" i="29"/>
  <c r="AK24" i="29"/>
  <c r="AL24" i="29"/>
  <c r="AK25" i="29"/>
  <c r="AL25" i="29"/>
  <c r="AK26" i="29"/>
  <c r="AL26" i="29"/>
  <c r="AK21" i="29"/>
  <c r="AL21" i="29"/>
  <c r="AK22" i="29"/>
  <c r="AL22" i="29"/>
  <c r="AK27" i="29"/>
  <c r="AL27" i="29"/>
  <c r="AK28" i="29"/>
  <c r="AL28" i="29"/>
  <c r="AK29" i="29"/>
  <c r="AL29" i="29"/>
  <c r="AK30" i="29"/>
  <c r="AL30" i="29"/>
  <c r="AK31" i="29"/>
  <c r="AL31" i="29"/>
  <c r="AK32" i="29"/>
  <c r="AL32" i="29"/>
  <c r="AK33" i="29"/>
  <c r="AL33" i="29"/>
  <c r="AK34" i="29"/>
  <c r="AL34" i="29"/>
  <c r="AK35" i="29"/>
  <c r="AL35" i="29"/>
  <c r="AK36" i="29"/>
  <c r="AL36" i="29"/>
  <c r="AK37" i="29"/>
  <c r="AL37" i="29"/>
  <c r="AK38" i="29"/>
  <c r="AL38" i="29"/>
  <c r="AK39" i="29"/>
  <c r="AL39" i="29"/>
  <c r="AK40" i="29"/>
  <c r="AL40" i="29"/>
  <c r="AK41" i="29"/>
  <c r="AL41" i="29"/>
  <c r="AK42" i="29"/>
  <c r="AL42" i="29"/>
  <c r="AK43" i="29"/>
  <c r="AL43" i="29"/>
  <c r="AK44" i="29"/>
  <c r="AL44" i="29"/>
  <c r="AK294" i="29"/>
  <c r="AL294" i="29"/>
  <c r="AK295" i="29"/>
  <c r="AL295" i="29"/>
  <c r="AK296" i="29"/>
  <c r="AL296" i="29"/>
  <c r="AK48" i="29"/>
  <c r="AL48" i="29"/>
  <c r="AK49" i="29"/>
  <c r="AL49" i="29"/>
  <c r="AK50" i="29"/>
  <c r="AL50" i="29"/>
  <c r="AK51" i="29"/>
  <c r="AL51" i="29"/>
  <c r="AK52" i="29"/>
  <c r="AL52" i="29"/>
  <c r="AK53" i="29"/>
  <c r="AL53" i="29"/>
  <c r="AK54" i="29"/>
  <c r="AL54" i="29"/>
  <c r="AK55" i="29"/>
  <c r="AL55" i="29"/>
  <c r="AK45" i="29"/>
  <c r="AL45" i="29"/>
  <c r="AK47" i="29"/>
  <c r="AL47" i="29"/>
  <c r="AK46" i="29"/>
  <c r="AL46" i="29"/>
  <c r="AK56" i="29"/>
  <c r="AL56" i="29"/>
  <c r="AK57" i="29"/>
  <c r="AL57" i="29"/>
  <c r="AK58" i="29"/>
  <c r="AL58" i="29"/>
  <c r="AK59" i="29"/>
  <c r="AL59" i="29"/>
  <c r="AK60" i="29"/>
  <c r="AL60" i="29"/>
  <c r="AK64" i="29"/>
  <c r="AL64" i="29"/>
  <c r="AK65" i="29"/>
  <c r="AL65" i="29"/>
  <c r="AK66" i="29"/>
  <c r="AL66" i="29"/>
  <c r="AK62" i="29"/>
  <c r="AL62" i="29"/>
  <c r="AK61" i="29"/>
  <c r="AL61" i="29"/>
  <c r="AK63" i="29"/>
  <c r="AL63" i="29"/>
  <c r="AK67" i="29"/>
  <c r="AL67" i="29"/>
  <c r="AK68" i="29"/>
  <c r="AL68" i="29"/>
  <c r="AK69" i="29"/>
  <c r="AL69" i="29"/>
  <c r="AK70" i="29"/>
  <c r="AL70" i="29"/>
  <c r="AK71" i="29"/>
  <c r="AL71" i="29"/>
  <c r="AK72" i="29"/>
  <c r="AL72" i="29"/>
  <c r="AK73" i="29"/>
  <c r="AL73" i="29"/>
  <c r="AK74" i="29"/>
  <c r="AL74" i="29"/>
  <c r="AK75" i="29"/>
  <c r="AL75" i="29"/>
  <c r="AK76" i="29"/>
  <c r="AL76" i="29"/>
  <c r="AK77" i="29"/>
  <c r="AL77" i="29"/>
  <c r="AK78" i="29"/>
  <c r="AL78" i="29"/>
  <c r="AK79" i="29"/>
  <c r="AL79" i="29"/>
  <c r="AK80" i="29"/>
  <c r="AL80" i="29"/>
  <c r="AK81" i="29"/>
  <c r="AL81" i="29"/>
  <c r="AK82" i="29"/>
  <c r="AL82" i="29"/>
  <c r="AK83" i="29"/>
  <c r="AL83" i="29"/>
  <c r="AK84" i="29"/>
  <c r="AL84" i="29"/>
  <c r="AK85" i="29"/>
  <c r="AL85" i="29"/>
  <c r="AK86" i="29"/>
  <c r="AL86" i="29"/>
  <c r="AK87" i="29"/>
  <c r="AL87" i="29"/>
  <c r="AK88" i="29"/>
  <c r="AL88" i="29"/>
  <c r="AK89" i="29"/>
  <c r="AL89" i="29"/>
  <c r="AK90" i="29"/>
  <c r="AL90" i="29"/>
  <c r="AK91" i="29"/>
  <c r="AL91" i="29"/>
  <c r="AK92" i="29"/>
  <c r="AL92" i="29"/>
  <c r="AK93" i="29"/>
  <c r="AL93" i="29"/>
  <c r="AK94" i="29"/>
  <c r="AL94" i="29"/>
  <c r="AK95" i="29"/>
  <c r="AL95" i="29"/>
  <c r="AK96" i="29"/>
  <c r="AL96" i="29"/>
  <c r="AK97" i="29"/>
  <c r="AL97" i="29"/>
  <c r="AK102" i="29"/>
  <c r="AL102" i="29"/>
  <c r="AK105" i="29"/>
  <c r="AL105" i="29"/>
  <c r="AK106" i="29"/>
  <c r="AL106" i="29"/>
  <c r="AK107" i="29"/>
  <c r="AL107" i="29"/>
  <c r="AK108" i="29"/>
  <c r="AL108" i="29"/>
  <c r="AK109" i="29"/>
  <c r="AL109" i="29"/>
  <c r="AK110" i="29"/>
  <c r="AL110" i="29"/>
  <c r="AK111" i="29"/>
  <c r="AL111" i="29"/>
  <c r="AK112" i="29"/>
  <c r="AL112" i="29"/>
  <c r="AK113" i="29"/>
  <c r="AL113" i="29"/>
  <c r="AK114" i="29"/>
  <c r="AL114" i="29"/>
  <c r="AK115" i="29"/>
  <c r="AL115" i="29"/>
  <c r="AK116" i="29"/>
  <c r="AL116" i="29"/>
  <c r="AK117" i="29"/>
  <c r="AL117" i="29"/>
  <c r="AK118" i="29"/>
  <c r="AL118" i="29"/>
  <c r="AK119" i="29"/>
  <c r="AL119" i="29"/>
  <c r="AK120" i="29"/>
  <c r="AL120" i="29"/>
  <c r="AK121" i="29"/>
  <c r="AL121" i="29"/>
  <c r="AK122" i="29"/>
  <c r="AL122" i="29"/>
  <c r="AK123" i="29"/>
  <c r="AL123" i="29"/>
  <c r="AK124" i="29"/>
  <c r="AL124" i="29"/>
  <c r="AK125" i="29"/>
  <c r="AL125" i="29"/>
  <c r="AK126" i="29"/>
  <c r="AL126" i="29"/>
  <c r="AK128" i="29"/>
  <c r="AL128" i="29"/>
  <c r="AK129" i="29"/>
  <c r="AL129" i="29"/>
  <c r="AK188" i="29"/>
  <c r="AL188" i="29"/>
  <c r="AK130" i="29"/>
  <c r="AL130" i="29"/>
  <c r="AK186" i="29"/>
  <c r="AL186" i="29"/>
  <c r="AK183" i="29"/>
  <c r="AL183" i="29"/>
  <c r="AK131" i="29"/>
  <c r="AL131" i="29"/>
  <c r="AK132" i="29"/>
  <c r="AL132" i="29"/>
  <c r="AK99" i="29"/>
  <c r="AL99" i="29"/>
  <c r="AK98" i="29"/>
  <c r="AL98" i="29"/>
  <c r="AK104" i="29"/>
  <c r="AL104" i="29"/>
  <c r="AK100" i="29"/>
  <c r="AL100" i="29"/>
  <c r="AK103" i="29"/>
  <c r="AL103" i="29"/>
  <c r="AK101" i="29"/>
  <c r="AL101" i="29"/>
  <c r="AK134" i="29"/>
  <c r="AL134" i="29"/>
  <c r="AK137" i="29"/>
  <c r="AL137" i="29"/>
  <c r="AK138" i="29"/>
  <c r="AL138" i="29"/>
  <c r="AK133" i="29"/>
  <c r="AL133" i="29"/>
  <c r="AK139" i="29"/>
  <c r="AL139" i="29"/>
  <c r="AK135" i="29"/>
  <c r="AL135" i="29"/>
  <c r="AK136" i="29"/>
  <c r="AL136" i="29"/>
  <c r="AK140" i="29"/>
  <c r="AL140" i="29"/>
  <c r="AK141" i="29"/>
  <c r="AL141" i="29"/>
  <c r="AK142" i="29"/>
  <c r="AL142" i="29"/>
  <c r="AK143" i="29"/>
  <c r="AL143" i="29"/>
  <c r="AK144" i="29"/>
  <c r="AL144" i="29"/>
  <c r="AK145" i="29"/>
  <c r="AL145" i="29"/>
  <c r="AK146" i="29"/>
  <c r="AL146" i="29"/>
  <c r="AK148" i="29"/>
  <c r="AL148" i="29"/>
  <c r="AK151" i="29"/>
  <c r="AL151" i="29"/>
  <c r="AK152" i="29"/>
  <c r="AL152" i="29"/>
  <c r="AK153" i="29"/>
  <c r="AL153" i="29"/>
  <c r="AK154" i="29"/>
  <c r="AL154" i="29"/>
  <c r="AK155" i="29"/>
  <c r="AL155" i="29"/>
  <c r="AK156" i="29"/>
  <c r="AL156" i="29"/>
  <c r="AK147" i="29"/>
  <c r="AL147" i="29"/>
  <c r="AK189" i="29"/>
  <c r="AL189" i="29"/>
  <c r="AK157" i="29"/>
  <c r="AL157" i="29"/>
  <c r="AK149" i="29"/>
  <c r="AL149" i="29"/>
  <c r="AK191" i="29"/>
  <c r="AL191" i="29"/>
  <c r="AK150" i="29"/>
  <c r="AL150" i="29"/>
  <c r="AK192" i="29"/>
  <c r="AL192" i="29"/>
  <c r="AK158" i="29"/>
  <c r="AL158" i="29"/>
  <c r="AK159" i="29"/>
  <c r="AL159" i="29"/>
  <c r="AK160" i="29"/>
  <c r="AL160" i="29"/>
  <c r="AK161" i="29"/>
  <c r="AL161" i="29"/>
  <c r="AK162" i="29"/>
  <c r="AL162" i="29"/>
  <c r="AK163" i="29"/>
  <c r="AL163" i="29"/>
  <c r="AK164" i="29"/>
  <c r="AL164" i="29"/>
  <c r="AK165" i="29"/>
  <c r="AL165" i="29"/>
  <c r="AK166" i="29"/>
  <c r="AL166" i="29"/>
  <c r="AK167" i="29"/>
  <c r="AL167" i="29"/>
  <c r="AK169" i="29"/>
  <c r="AL169" i="29"/>
  <c r="AK168" i="29"/>
  <c r="AL168" i="29"/>
  <c r="AK170" i="29"/>
  <c r="AL170" i="29"/>
  <c r="AK172" i="29"/>
  <c r="AL172" i="29"/>
  <c r="AK171" i="29"/>
  <c r="AL171" i="29"/>
  <c r="AK174" i="29"/>
  <c r="AL174" i="29"/>
  <c r="AK173" i="29"/>
  <c r="AL173" i="29"/>
  <c r="AK175" i="29"/>
  <c r="AL175" i="29"/>
  <c r="AK176" i="29"/>
  <c r="AL176" i="29"/>
  <c r="AK177" i="29"/>
  <c r="AL177" i="29"/>
  <c r="AK178" i="29"/>
  <c r="AL178" i="29"/>
  <c r="AK179" i="29"/>
  <c r="AL179" i="29"/>
  <c r="AK180" i="29"/>
  <c r="AL180" i="29"/>
  <c r="AK181" i="29"/>
  <c r="AL181" i="29"/>
  <c r="AK182" i="29"/>
  <c r="AL182" i="29"/>
  <c r="AK184" i="29"/>
  <c r="AL184" i="29"/>
  <c r="AK185" i="29"/>
  <c r="AL185" i="29"/>
  <c r="AK187" i="29"/>
  <c r="AL187" i="29"/>
  <c r="AK190" i="29"/>
  <c r="AL190" i="29"/>
  <c r="AK193" i="29"/>
  <c r="AL193" i="29"/>
  <c r="AK198" i="29"/>
  <c r="AL198" i="29"/>
  <c r="AK201" i="29"/>
  <c r="AL201" i="29"/>
  <c r="AK202" i="29"/>
  <c r="AL202" i="29"/>
  <c r="AK203" i="29"/>
  <c r="AL203" i="29"/>
  <c r="AK195" i="29"/>
  <c r="AL195" i="29"/>
  <c r="AK204" i="29"/>
  <c r="AL204" i="29"/>
  <c r="AK196" i="29"/>
  <c r="AL196" i="29"/>
  <c r="AK194" i="29"/>
  <c r="AL194" i="29"/>
  <c r="AK205" i="29"/>
  <c r="AL205" i="29"/>
  <c r="AK206" i="29"/>
  <c r="AL206" i="29"/>
  <c r="AK207" i="29"/>
  <c r="AL207" i="29"/>
  <c r="AK208" i="29"/>
  <c r="AL208" i="29"/>
  <c r="AK209" i="29"/>
  <c r="AL209" i="29"/>
  <c r="AK211" i="29"/>
  <c r="AL211" i="29"/>
  <c r="AK214" i="29"/>
  <c r="AL214" i="29"/>
  <c r="AK215" i="29"/>
  <c r="AL215" i="29"/>
  <c r="AK216" i="29"/>
  <c r="AL216" i="29"/>
  <c r="AK217" i="29"/>
  <c r="AL217" i="29"/>
  <c r="AK218" i="29"/>
  <c r="AL218" i="29"/>
  <c r="AK219" i="29"/>
  <c r="AL219" i="29"/>
  <c r="AK220" i="29"/>
  <c r="AL220" i="29"/>
  <c r="AK221" i="29"/>
  <c r="AL221" i="29"/>
  <c r="AK222" i="29"/>
  <c r="AL222" i="29"/>
  <c r="AK223" i="29"/>
  <c r="AL223" i="29"/>
  <c r="AK210" i="29"/>
  <c r="AL210" i="29"/>
  <c r="AK224" i="29"/>
  <c r="AL224" i="29"/>
  <c r="AK212" i="29"/>
  <c r="AL212" i="29"/>
  <c r="AK213" i="29"/>
  <c r="AL213" i="29"/>
  <c r="AK229" i="29"/>
  <c r="AL229" i="29"/>
  <c r="AK230" i="29"/>
  <c r="AL230" i="29"/>
  <c r="AK231" i="29"/>
  <c r="AL231" i="29"/>
  <c r="AK232" i="29"/>
  <c r="AL232" i="29"/>
  <c r="AK233" i="29"/>
  <c r="AL233" i="29"/>
  <c r="AK234" i="29"/>
  <c r="AL234" i="29"/>
  <c r="AK235" i="29"/>
  <c r="AL235" i="29"/>
  <c r="AK236" i="29"/>
  <c r="AL236" i="29"/>
  <c r="AK237" i="29"/>
  <c r="AL237" i="29"/>
  <c r="AK238" i="29"/>
  <c r="AL238" i="29"/>
  <c r="AK239" i="29"/>
  <c r="AL239" i="29"/>
  <c r="AK240" i="29"/>
  <c r="AL240" i="29"/>
  <c r="AK225" i="29"/>
  <c r="AL225" i="29"/>
  <c r="AK241" i="29"/>
  <c r="AL241" i="29"/>
  <c r="AK227" i="29"/>
  <c r="AL227" i="29"/>
  <c r="AK228" i="29"/>
  <c r="AL228" i="29"/>
  <c r="AK242" i="29"/>
  <c r="AL242" i="29"/>
  <c r="AK243" i="29"/>
  <c r="AL243" i="29"/>
  <c r="AK245" i="29"/>
  <c r="AL245" i="29"/>
  <c r="AK248" i="29"/>
  <c r="AL248" i="29"/>
  <c r="AK249" i="29"/>
  <c r="AL249" i="29"/>
  <c r="AK250" i="29"/>
  <c r="AL250" i="29"/>
  <c r="AK251" i="29"/>
  <c r="AL251" i="29"/>
  <c r="AK264" i="29"/>
  <c r="AL264" i="29"/>
  <c r="AK265" i="29"/>
  <c r="AL265" i="29"/>
  <c r="AK266" i="29"/>
  <c r="AL266" i="29"/>
  <c r="AK267" i="29"/>
  <c r="AL267" i="29"/>
  <c r="AK291" i="29"/>
  <c r="AL291" i="29"/>
  <c r="AK244" i="29"/>
  <c r="AL244" i="29"/>
  <c r="AK253" i="29"/>
  <c r="AL253" i="29"/>
  <c r="AK290" i="29"/>
  <c r="AL290" i="29"/>
  <c r="AK246" i="29"/>
  <c r="AL246" i="29"/>
  <c r="AK288" i="29"/>
  <c r="AL288" i="29"/>
  <c r="AK247" i="29"/>
  <c r="AL247" i="29"/>
  <c r="AK256" i="29"/>
  <c r="AL256" i="29"/>
  <c r="AK268" i="29"/>
  <c r="AL268" i="29"/>
  <c r="AK269" i="29"/>
  <c r="AL269" i="29"/>
  <c r="AK270" i="29"/>
  <c r="AL270" i="29"/>
  <c r="AK271" i="29"/>
  <c r="AL271" i="29"/>
  <c r="AK272" i="29"/>
  <c r="AL272" i="29"/>
  <c r="AK273" i="29"/>
  <c r="AL273" i="29"/>
  <c r="AK274" i="29"/>
  <c r="AL274" i="29"/>
  <c r="AK275" i="29"/>
  <c r="AL275" i="29"/>
  <c r="AK276" i="29"/>
  <c r="AL276" i="29"/>
  <c r="AK277" i="29"/>
  <c r="AL277" i="29"/>
  <c r="AK278" i="29"/>
  <c r="AL278" i="29"/>
  <c r="AK279" i="29"/>
  <c r="AL279" i="29"/>
  <c r="AK200" i="29"/>
  <c r="AL200" i="29"/>
  <c r="AK280" i="29"/>
  <c r="AL280" i="29"/>
  <c r="AK199" i="29"/>
  <c r="AL199" i="29"/>
  <c r="AK197" i="29"/>
  <c r="AL197" i="29"/>
  <c r="AK281" i="29"/>
  <c r="AL281" i="29"/>
  <c r="AK282" i="29"/>
  <c r="AL282" i="29"/>
  <c r="AK283" i="29"/>
  <c r="AL283" i="29"/>
  <c r="AK284" i="29"/>
  <c r="AL284" i="29"/>
  <c r="AK285" i="29"/>
  <c r="AL285" i="29"/>
  <c r="AK286" i="29"/>
  <c r="AL286" i="29"/>
  <c r="AK287" i="29"/>
  <c r="AL287" i="29"/>
  <c r="AK289" i="29"/>
  <c r="AL289" i="29"/>
  <c r="AK292" i="29"/>
  <c r="AL292" i="29"/>
  <c r="AK293" i="29"/>
  <c r="AL293" i="29"/>
  <c r="AK297" i="29"/>
  <c r="AL297" i="29"/>
  <c r="AK298" i="29"/>
  <c r="AL298" i="29"/>
  <c r="AK299" i="29"/>
  <c r="AL299" i="29"/>
  <c r="AK300" i="29"/>
  <c r="AL300" i="29"/>
  <c r="AK301" i="29"/>
  <c r="AL301" i="29"/>
  <c r="AK302" i="29"/>
  <c r="AL302" i="29"/>
  <c r="AK303" i="29"/>
  <c r="AL303" i="29"/>
  <c r="AK304" i="29"/>
  <c r="AL304" i="29"/>
  <c r="AK305" i="29"/>
  <c r="AL305" i="29"/>
  <c r="AK306" i="29"/>
  <c r="AL306" i="29"/>
  <c r="AK307" i="29"/>
  <c r="AL307" i="29"/>
  <c r="AK308" i="29"/>
  <c r="AL308" i="29"/>
  <c r="AK309" i="29"/>
  <c r="AL309" i="29"/>
  <c r="AK310" i="29"/>
  <c r="AL310" i="29"/>
  <c r="AK311" i="29"/>
  <c r="AL311" i="29"/>
  <c r="AK312" i="29"/>
  <c r="AL312" i="29"/>
  <c r="AL23" i="29"/>
  <c r="AK23" i="29"/>
  <c r="X18" i="29"/>
  <c r="W18" i="29"/>
  <c r="V18" i="29"/>
  <c r="U18" i="29"/>
  <c r="AT8" i="11"/>
  <c r="T18" i="29"/>
  <c r="S18" i="29"/>
  <c r="N18" i="29"/>
  <c r="M18" i="29"/>
  <c r="L18" i="29"/>
  <c r="F32" i="3"/>
  <c r="G32" i="3" s="1"/>
  <c r="H32" i="3" s="1"/>
  <c r="K18" i="29"/>
  <c r="J18" i="29"/>
  <c r="I18" i="29"/>
  <c r="H18" i="29"/>
  <c r="G18" i="29"/>
  <c r="F18" i="29"/>
  <c r="D18" i="29"/>
  <c r="B11" i="6"/>
  <c r="D11" i="6" s="1"/>
  <c r="H6" i="28"/>
  <c r="I6" i="28"/>
  <c r="J6" i="28"/>
  <c r="K6" i="28"/>
  <c r="L6" i="28"/>
  <c r="H7" i="28"/>
  <c r="I7" i="28"/>
  <c r="J7" i="28"/>
  <c r="K7" i="28"/>
  <c r="L7" i="28"/>
  <c r="H8" i="28"/>
  <c r="I8" i="28"/>
  <c r="J8" i="28"/>
  <c r="K8" i="28"/>
  <c r="L8" i="28"/>
  <c r="H9" i="28"/>
  <c r="I9" i="28"/>
  <c r="J9" i="28"/>
  <c r="K9" i="28"/>
  <c r="L9" i="28"/>
  <c r="H10" i="28"/>
  <c r="I10" i="28"/>
  <c r="J10" i="28"/>
  <c r="K10" i="28"/>
  <c r="L10" i="28"/>
  <c r="H11" i="28"/>
  <c r="I11" i="28"/>
  <c r="J11" i="28"/>
  <c r="K11" i="28"/>
  <c r="L11" i="28"/>
  <c r="H12" i="28"/>
  <c r="I12" i="28"/>
  <c r="J12" i="28"/>
  <c r="K12" i="28"/>
  <c r="L12" i="28"/>
  <c r="H13" i="28"/>
  <c r="I13" i="28"/>
  <c r="J13" i="28"/>
  <c r="K13" i="28"/>
  <c r="L13" i="28"/>
  <c r="H14" i="28"/>
  <c r="I14" i="28"/>
  <c r="J14" i="28"/>
  <c r="K14" i="28"/>
  <c r="L14" i="28"/>
  <c r="H15" i="28"/>
  <c r="I15" i="28"/>
  <c r="J15" i="28"/>
  <c r="K15" i="28"/>
  <c r="L15" i="28"/>
  <c r="H16" i="28"/>
  <c r="I16" i="28"/>
  <c r="J16" i="28"/>
  <c r="K16" i="28"/>
  <c r="L16" i="28"/>
  <c r="H17" i="28"/>
  <c r="I17" i="28"/>
  <c r="J17" i="28"/>
  <c r="K17" i="28"/>
  <c r="L17" i="28"/>
  <c r="H18" i="28"/>
  <c r="I18" i="28"/>
  <c r="J18" i="28"/>
  <c r="K18" i="28"/>
  <c r="L18" i="28"/>
  <c r="H19" i="28"/>
  <c r="I19" i="28"/>
  <c r="J19" i="28"/>
  <c r="K19" i="28"/>
  <c r="L19" i="28"/>
  <c r="H20" i="28"/>
  <c r="I20" i="28"/>
  <c r="J20" i="28"/>
  <c r="K20" i="28"/>
  <c r="L20" i="28"/>
  <c r="H21" i="28"/>
  <c r="I21" i="28"/>
  <c r="J21" i="28"/>
  <c r="K21" i="28"/>
  <c r="L21" i="28"/>
  <c r="H22" i="28"/>
  <c r="I22" i="28"/>
  <c r="J22" i="28"/>
  <c r="K22" i="28"/>
  <c r="L22" i="28"/>
  <c r="H23" i="28"/>
  <c r="I23" i="28"/>
  <c r="J23" i="28"/>
  <c r="K23" i="28"/>
  <c r="L23" i="28"/>
  <c r="H24" i="28"/>
  <c r="I24" i="28"/>
  <c r="J24" i="28"/>
  <c r="K24" i="28"/>
  <c r="L24" i="28"/>
  <c r="H25" i="28"/>
  <c r="I25" i="28"/>
  <c r="J25" i="28"/>
  <c r="K25" i="28"/>
  <c r="L25" i="28"/>
  <c r="H26" i="28"/>
  <c r="I26" i="28"/>
  <c r="J26" i="28"/>
  <c r="K26" i="28"/>
  <c r="L26" i="28"/>
  <c r="H27" i="28"/>
  <c r="I27" i="28"/>
  <c r="J27" i="28"/>
  <c r="K27" i="28"/>
  <c r="L27" i="28"/>
  <c r="H28" i="28"/>
  <c r="I28" i="28"/>
  <c r="J28" i="28"/>
  <c r="K28" i="28"/>
  <c r="L28" i="28"/>
  <c r="H29" i="28"/>
  <c r="I29" i="28"/>
  <c r="J29" i="28"/>
  <c r="K29" i="28"/>
  <c r="L29" i="28"/>
  <c r="H30" i="28"/>
  <c r="I30" i="28"/>
  <c r="J30" i="28"/>
  <c r="K30" i="28"/>
  <c r="L30" i="28"/>
  <c r="H31" i="28"/>
  <c r="I31" i="28"/>
  <c r="J31" i="28"/>
  <c r="K31" i="28"/>
  <c r="L31" i="28"/>
  <c r="H32" i="28"/>
  <c r="I32" i="28"/>
  <c r="J32" i="28"/>
  <c r="K32" i="28"/>
  <c r="L32" i="28"/>
  <c r="H33" i="28"/>
  <c r="I33" i="28"/>
  <c r="J33" i="28"/>
  <c r="K33" i="28"/>
  <c r="L33" i="28"/>
  <c r="H34" i="28"/>
  <c r="I34" i="28"/>
  <c r="J34" i="28"/>
  <c r="K34" i="28"/>
  <c r="L34" i="28"/>
  <c r="H35" i="28"/>
  <c r="I35" i="28"/>
  <c r="J35" i="28"/>
  <c r="K35" i="28"/>
  <c r="L35" i="28"/>
  <c r="H36" i="28"/>
  <c r="I36" i="28"/>
  <c r="J36" i="28"/>
  <c r="K36" i="28"/>
  <c r="L36" i="28"/>
  <c r="H37" i="28"/>
  <c r="I37" i="28"/>
  <c r="J37" i="28"/>
  <c r="K37" i="28"/>
  <c r="L37" i="28"/>
  <c r="H38" i="28"/>
  <c r="I38" i="28"/>
  <c r="J38" i="28"/>
  <c r="K38" i="28"/>
  <c r="L38" i="28"/>
  <c r="H39" i="28"/>
  <c r="I39" i="28"/>
  <c r="J39" i="28"/>
  <c r="K39" i="28"/>
  <c r="L39" i="28"/>
  <c r="H40" i="28"/>
  <c r="I40" i="28"/>
  <c r="J40" i="28"/>
  <c r="K40" i="28"/>
  <c r="L40" i="28"/>
  <c r="H41" i="28"/>
  <c r="I41" i="28"/>
  <c r="J41" i="28"/>
  <c r="K41" i="28"/>
  <c r="L41" i="28"/>
  <c r="H42" i="28"/>
  <c r="I42" i="28"/>
  <c r="J42" i="28"/>
  <c r="K42" i="28"/>
  <c r="L42" i="28"/>
  <c r="H43" i="28"/>
  <c r="I43" i="28"/>
  <c r="J43" i="28"/>
  <c r="K43" i="28"/>
  <c r="L43" i="28"/>
  <c r="H44" i="28"/>
  <c r="I44" i="28"/>
  <c r="J44" i="28"/>
  <c r="K44" i="28"/>
  <c r="L44" i="28"/>
  <c r="H45" i="28"/>
  <c r="I45" i="28"/>
  <c r="J45" i="28"/>
  <c r="K45" i="28"/>
  <c r="L45" i="28"/>
  <c r="H46" i="28"/>
  <c r="I46" i="28"/>
  <c r="J46" i="28"/>
  <c r="K46" i="28"/>
  <c r="L46" i="28"/>
  <c r="H47" i="28"/>
  <c r="I47" i="28"/>
  <c r="J47" i="28"/>
  <c r="K47" i="28"/>
  <c r="L47" i="28"/>
  <c r="H48" i="28"/>
  <c r="I48" i="28"/>
  <c r="J48" i="28"/>
  <c r="K48" i="28"/>
  <c r="L48" i="28"/>
  <c r="H49" i="28"/>
  <c r="I49" i="28"/>
  <c r="J49" i="28"/>
  <c r="K49" i="28"/>
  <c r="L49" i="28"/>
  <c r="H50" i="28"/>
  <c r="I50" i="28"/>
  <c r="J50" i="28"/>
  <c r="K50" i="28"/>
  <c r="L50" i="28"/>
  <c r="H51" i="28"/>
  <c r="I51" i="28"/>
  <c r="J51" i="28"/>
  <c r="K51" i="28"/>
  <c r="L51" i="28"/>
  <c r="H52" i="28"/>
  <c r="I52" i="28"/>
  <c r="J52" i="28"/>
  <c r="K52" i="28"/>
  <c r="L52" i="28"/>
  <c r="H53" i="28"/>
  <c r="I53" i="28"/>
  <c r="J53" i="28"/>
  <c r="K53" i="28"/>
  <c r="L53" i="28"/>
  <c r="H54" i="28"/>
  <c r="I54" i="28"/>
  <c r="J54" i="28"/>
  <c r="K54" i="28"/>
  <c r="L54" i="28"/>
  <c r="H55" i="28"/>
  <c r="I55" i="28"/>
  <c r="J55" i="28"/>
  <c r="K55" i="28"/>
  <c r="L55" i="28"/>
  <c r="H56" i="28"/>
  <c r="I56" i="28"/>
  <c r="J56" i="28"/>
  <c r="K56" i="28"/>
  <c r="L56" i="28"/>
  <c r="H57" i="28"/>
  <c r="I57" i="28"/>
  <c r="J57" i="28"/>
  <c r="K57" i="28"/>
  <c r="L57" i="28"/>
  <c r="H58" i="28"/>
  <c r="I58" i="28"/>
  <c r="J58" i="28"/>
  <c r="K58" i="28"/>
  <c r="L58" i="28"/>
  <c r="H59" i="28"/>
  <c r="I59" i="28"/>
  <c r="J59" i="28"/>
  <c r="K59" i="28"/>
  <c r="L59" i="28"/>
  <c r="H60" i="28"/>
  <c r="I60" i="28"/>
  <c r="J60" i="28"/>
  <c r="K60" i="28"/>
  <c r="L60" i="28"/>
  <c r="H61" i="28"/>
  <c r="I61" i="28"/>
  <c r="J61" i="28"/>
  <c r="K61" i="28"/>
  <c r="L61" i="28"/>
  <c r="H62" i="28"/>
  <c r="I62" i="28"/>
  <c r="J62" i="28"/>
  <c r="K62" i="28"/>
  <c r="L62" i="28"/>
  <c r="H63" i="28"/>
  <c r="I63" i="28"/>
  <c r="J63" i="28"/>
  <c r="K63" i="28"/>
  <c r="L63" i="28"/>
  <c r="H64" i="28"/>
  <c r="I64" i="28"/>
  <c r="J64" i="28"/>
  <c r="K64" i="28"/>
  <c r="L64" i="28"/>
  <c r="H65" i="28"/>
  <c r="I65" i="28"/>
  <c r="J65" i="28"/>
  <c r="K65" i="28"/>
  <c r="L65" i="28"/>
  <c r="H66" i="28"/>
  <c r="I66" i="28"/>
  <c r="J66" i="28"/>
  <c r="K66" i="28"/>
  <c r="L66" i="28"/>
  <c r="H67" i="28"/>
  <c r="I67" i="28"/>
  <c r="J67" i="28"/>
  <c r="K67" i="28"/>
  <c r="L67" i="28"/>
  <c r="H68" i="28"/>
  <c r="I68" i="28"/>
  <c r="J68" i="28"/>
  <c r="K68" i="28"/>
  <c r="L68" i="28"/>
  <c r="H69" i="28"/>
  <c r="I69" i="28"/>
  <c r="J69" i="28"/>
  <c r="K69" i="28"/>
  <c r="L69" i="28"/>
  <c r="H70" i="28"/>
  <c r="I70" i="28"/>
  <c r="J70" i="28"/>
  <c r="K70" i="28"/>
  <c r="L70" i="28"/>
  <c r="H71" i="28"/>
  <c r="I71" i="28"/>
  <c r="J71" i="28"/>
  <c r="K71" i="28"/>
  <c r="L71" i="28"/>
  <c r="H72" i="28"/>
  <c r="I72" i="28"/>
  <c r="J72" i="28"/>
  <c r="K72" i="28"/>
  <c r="L72" i="28"/>
  <c r="H73" i="28"/>
  <c r="I73" i="28"/>
  <c r="J73" i="28"/>
  <c r="K73" i="28"/>
  <c r="L73" i="28"/>
  <c r="H74" i="28"/>
  <c r="I74" i="28"/>
  <c r="J74" i="28"/>
  <c r="K74" i="28"/>
  <c r="L74" i="28"/>
  <c r="H75" i="28"/>
  <c r="I75" i="28"/>
  <c r="J75" i="28"/>
  <c r="K75" i="28"/>
  <c r="L75" i="28"/>
  <c r="H76" i="28"/>
  <c r="I76" i="28"/>
  <c r="J76" i="28"/>
  <c r="K76" i="28"/>
  <c r="L76" i="28"/>
  <c r="H77" i="28"/>
  <c r="I77" i="28"/>
  <c r="J77" i="28"/>
  <c r="K77" i="28"/>
  <c r="L77" i="28"/>
  <c r="H78" i="28"/>
  <c r="I78" i="28"/>
  <c r="J78" i="28"/>
  <c r="K78" i="28"/>
  <c r="L78" i="28"/>
  <c r="H79" i="28"/>
  <c r="I79" i="28"/>
  <c r="J79" i="28"/>
  <c r="K79" i="28"/>
  <c r="L79" i="28"/>
  <c r="H80" i="28"/>
  <c r="I80" i="28"/>
  <c r="J80" i="28"/>
  <c r="K80" i="28"/>
  <c r="L80" i="28"/>
  <c r="H81" i="28"/>
  <c r="I81" i="28"/>
  <c r="J81" i="28"/>
  <c r="K81" i="28"/>
  <c r="L81" i="28"/>
  <c r="H82" i="28"/>
  <c r="I82" i="28"/>
  <c r="J82" i="28"/>
  <c r="K82" i="28"/>
  <c r="L82" i="28"/>
  <c r="H83" i="28"/>
  <c r="I83" i="28"/>
  <c r="J83" i="28"/>
  <c r="K83" i="28"/>
  <c r="L83" i="28"/>
  <c r="H84" i="28"/>
  <c r="I84" i="28"/>
  <c r="J84" i="28"/>
  <c r="K84" i="28"/>
  <c r="L84" i="28"/>
  <c r="H85" i="28"/>
  <c r="I85" i="28"/>
  <c r="J85" i="28"/>
  <c r="K85" i="28"/>
  <c r="L85" i="28"/>
  <c r="H86" i="28"/>
  <c r="I86" i="28"/>
  <c r="J86" i="28"/>
  <c r="K86" i="28"/>
  <c r="L86" i="28"/>
  <c r="H87" i="28"/>
  <c r="I87" i="28"/>
  <c r="J87" i="28"/>
  <c r="K87" i="28"/>
  <c r="L87" i="28"/>
  <c r="H88" i="28"/>
  <c r="I88" i="28"/>
  <c r="J88" i="28"/>
  <c r="K88" i="28"/>
  <c r="L88" i="28"/>
  <c r="H89" i="28"/>
  <c r="I89" i="28"/>
  <c r="J89" i="28"/>
  <c r="K89" i="28"/>
  <c r="L89" i="28"/>
  <c r="H90" i="28"/>
  <c r="I90" i="28"/>
  <c r="J90" i="28"/>
  <c r="K90" i="28"/>
  <c r="L90" i="28"/>
  <c r="H91" i="28"/>
  <c r="I91" i="28"/>
  <c r="J91" i="28"/>
  <c r="K91" i="28"/>
  <c r="L91" i="28"/>
  <c r="H92" i="28"/>
  <c r="I92" i="28"/>
  <c r="J92" i="28"/>
  <c r="K92" i="28"/>
  <c r="L92" i="28"/>
  <c r="H93" i="28"/>
  <c r="I93" i="28"/>
  <c r="J93" i="28"/>
  <c r="K93" i="28"/>
  <c r="L93" i="28"/>
  <c r="H94" i="28"/>
  <c r="I94" i="28"/>
  <c r="J94" i="28"/>
  <c r="K94" i="28"/>
  <c r="L94" i="28"/>
  <c r="H95" i="28"/>
  <c r="I95" i="28"/>
  <c r="J95" i="28"/>
  <c r="K95" i="28"/>
  <c r="L95" i="28"/>
  <c r="H96" i="28"/>
  <c r="I96" i="28"/>
  <c r="J96" i="28"/>
  <c r="K96" i="28"/>
  <c r="L96" i="28"/>
  <c r="H97" i="28"/>
  <c r="I97" i="28"/>
  <c r="J97" i="28"/>
  <c r="K97" i="28"/>
  <c r="L97" i="28"/>
  <c r="H98" i="28"/>
  <c r="I98" i="28"/>
  <c r="J98" i="28"/>
  <c r="K98" i="28"/>
  <c r="L98" i="28"/>
  <c r="H99" i="28"/>
  <c r="I99" i="28"/>
  <c r="J99" i="28"/>
  <c r="K99" i="28"/>
  <c r="L99" i="28"/>
  <c r="H100" i="28"/>
  <c r="I100" i="28"/>
  <c r="J100" i="28"/>
  <c r="K100" i="28"/>
  <c r="L100" i="28"/>
  <c r="H101" i="28"/>
  <c r="I101" i="28"/>
  <c r="J101" i="28"/>
  <c r="K101" i="28"/>
  <c r="L101" i="28"/>
  <c r="H102" i="28"/>
  <c r="I102" i="28"/>
  <c r="J102" i="28"/>
  <c r="K102" i="28"/>
  <c r="L102" i="28"/>
  <c r="H103" i="28"/>
  <c r="I103" i="28"/>
  <c r="J103" i="28"/>
  <c r="K103" i="28"/>
  <c r="L103" i="28"/>
  <c r="H104" i="28"/>
  <c r="I104" i="28"/>
  <c r="J104" i="28"/>
  <c r="K104" i="28"/>
  <c r="L104" i="28"/>
  <c r="H105" i="28"/>
  <c r="I105" i="28"/>
  <c r="J105" i="28"/>
  <c r="K105" i="28"/>
  <c r="L105" i="28"/>
  <c r="H106" i="28"/>
  <c r="I106" i="28"/>
  <c r="J106" i="28"/>
  <c r="K106" i="28"/>
  <c r="L106" i="28"/>
  <c r="H107" i="28"/>
  <c r="I107" i="28"/>
  <c r="J107" i="28"/>
  <c r="K107" i="28"/>
  <c r="L107" i="28"/>
  <c r="H108" i="28"/>
  <c r="I108" i="28"/>
  <c r="J108" i="28"/>
  <c r="K108" i="28"/>
  <c r="L108" i="28"/>
  <c r="H109" i="28"/>
  <c r="I109" i="28"/>
  <c r="J109" i="28"/>
  <c r="K109" i="28"/>
  <c r="L109" i="28"/>
  <c r="H110" i="28"/>
  <c r="I110" i="28"/>
  <c r="J110" i="28"/>
  <c r="K110" i="28"/>
  <c r="L110" i="28"/>
  <c r="H111" i="28"/>
  <c r="I111" i="28"/>
  <c r="J111" i="28"/>
  <c r="K111" i="28"/>
  <c r="L111" i="28"/>
  <c r="H112" i="28"/>
  <c r="I112" i="28"/>
  <c r="J112" i="28"/>
  <c r="K112" i="28"/>
  <c r="L112" i="28"/>
  <c r="H113" i="28"/>
  <c r="I113" i="28"/>
  <c r="J113" i="28"/>
  <c r="K113" i="28"/>
  <c r="L113" i="28"/>
  <c r="H114" i="28"/>
  <c r="I114" i="28"/>
  <c r="J114" i="28"/>
  <c r="K114" i="28"/>
  <c r="L114" i="28"/>
  <c r="H115" i="28"/>
  <c r="I115" i="28"/>
  <c r="J115" i="28"/>
  <c r="K115" i="28"/>
  <c r="L115" i="28"/>
  <c r="H116" i="28"/>
  <c r="I116" i="28"/>
  <c r="J116" i="28"/>
  <c r="K116" i="28"/>
  <c r="L116" i="28"/>
  <c r="H117" i="28"/>
  <c r="I117" i="28"/>
  <c r="J117" i="28"/>
  <c r="K117" i="28"/>
  <c r="L117" i="28"/>
  <c r="H118" i="28"/>
  <c r="I118" i="28"/>
  <c r="J118" i="28"/>
  <c r="K118" i="28"/>
  <c r="L118" i="28"/>
  <c r="H119" i="28"/>
  <c r="I119" i="28"/>
  <c r="J119" i="28"/>
  <c r="K119" i="28"/>
  <c r="L119" i="28"/>
  <c r="H120" i="28"/>
  <c r="I120" i="28"/>
  <c r="J120" i="28"/>
  <c r="K120" i="28"/>
  <c r="L120" i="28"/>
  <c r="H121" i="28"/>
  <c r="I121" i="28"/>
  <c r="J121" i="28"/>
  <c r="K121" i="28"/>
  <c r="L121" i="28"/>
  <c r="H122" i="28"/>
  <c r="I122" i="28"/>
  <c r="J122" i="28"/>
  <c r="K122" i="28"/>
  <c r="L122" i="28"/>
  <c r="H123" i="28"/>
  <c r="I123" i="28"/>
  <c r="J123" i="28"/>
  <c r="K123" i="28"/>
  <c r="L123" i="28"/>
  <c r="H124" i="28"/>
  <c r="I124" i="28"/>
  <c r="J124" i="28"/>
  <c r="K124" i="28"/>
  <c r="L124" i="28"/>
  <c r="H125" i="28"/>
  <c r="I125" i="28"/>
  <c r="J125" i="28"/>
  <c r="K125" i="28"/>
  <c r="L125" i="28"/>
  <c r="H126" i="28"/>
  <c r="I126" i="28"/>
  <c r="J126" i="28"/>
  <c r="K126" i="28"/>
  <c r="L126" i="28"/>
  <c r="H127" i="28"/>
  <c r="I127" i="28"/>
  <c r="J127" i="28"/>
  <c r="K127" i="28"/>
  <c r="L127" i="28"/>
  <c r="H128" i="28"/>
  <c r="I128" i="28"/>
  <c r="J128" i="28"/>
  <c r="K128" i="28"/>
  <c r="L128" i="28"/>
  <c r="H129" i="28"/>
  <c r="I129" i="28"/>
  <c r="J129" i="28"/>
  <c r="K129" i="28"/>
  <c r="L129" i="28"/>
  <c r="H130" i="28"/>
  <c r="I130" i="28"/>
  <c r="J130" i="28"/>
  <c r="K130" i="28"/>
  <c r="L130" i="28"/>
  <c r="H131" i="28"/>
  <c r="I131" i="28"/>
  <c r="J131" i="28"/>
  <c r="K131" i="28"/>
  <c r="L131" i="28"/>
  <c r="H132" i="28"/>
  <c r="I132" i="28"/>
  <c r="J132" i="28"/>
  <c r="K132" i="28"/>
  <c r="L132" i="28"/>
  <c r="H133" i="28"/>
  <c r="I133" i="28"/>
  <c r="J133" i="28"/>
  <c r="K133" i="28"/>
  <c r="L133" i="28"/>
  <c r="H134" i="28"/>
  <c r="I134" i="28"/>
  <c r="J134" i="28"/>
  <c r="K134" i="28"/>
  <c r="L134" i="28"/>
  <c r="H135" i="28"/>
  <c r="I135" i="28"/>
  <c r="J135" i="28"/>
  <c r="K135" i="28"/>
  <c r="L135" i="28"/>
  <c r="H136" i="28"/>
  <c r="I136" i="28"/>
  <c r="J136" i="28"/>
  <c r="K136" i="28"/>
  <c r="L136" i="28"/>
  <c r="H137" i="28"/>
  <c r="I137" i="28"/>
  <c r="J137" i="28"/>
  <c r="K137" i="28"/>
  <c r="L137" i="28"/>
  <c r="H138" i="28"/>
  <c r="I138" i="28"/>
  <c r="J138" i="28"/>
  <c r="K138" i="28"/>
  <c r="L138" i="28"/>
  <c r="H139" i="28"/>
  <c r="I139" i="28"/>
  <c r="J139" i="28"/>
  <c r="K139" i="28"/>
  <c r="L139" i="28"/>
  <c r="H140" i="28"/>
  <c r="I140" i="28"/>
  <c r="J140" i="28"/>
  <c r="K140" i="28"/>
  <c r="L140" i="28"/>
  <c r="H141" i="28"/>
  <c r="I141" i="28"/>
  <c r="J141" i="28"/>
  <c r="K141" i="28"/>
  <c r="L141" i="28"/>
  <c r="H142" i="28"/>
  <c r="I142" i="28"/>
  <c r="J142" i="28"/>
  <c r="K142" i="28"/>
  <c r="L142" i="28"/>
  <c r="H143" i="28"/>
  <c r="I143" i="28"/>
  <c r="J143" i="28"/>
  <c r="K143" i="28"/>
  <c r="L143" i="28"/>
  <c r="H144" i="28"/>
  <c r="I144" i="28"/>
  <c r="J144" i="28"/>
  <c r="K144" i="28"/>
  <c r="L144" i="28"/>
  <c r="H145" i="28"/>
  <c r="I145" i="28"/>
  <c r="J145" i="28"/>
  <c r="K145" i="28"/>
  <c r="L145" i="28"/>
  <c r="H146" i="28"/>
  <c r="I146" i="28"/>
  <c r="J146" i="28"/>
  <c r="K146" i="28"/>
  <c r="L146" i="28"/>
  <c r="H147" i="28"/>
  <c r="I147" i="28"/>
  <c r="J147" i="28"/>
  <c r="K147" i="28"/>
  <c r="L147" i="28"/>
  <c r="H148" i="28"/>
  <c r="I148" i="28"/>
  <c r="J148" i="28"/>
  <c r="K148" i="28"/>
  <c r="L148" i="28"/>
  <c r="H149" i="28"/>
  <c r="I149" i="28"/>
  <c r="J149" i="28"/>
  <c r="K149" i="28"/>
  <c r="L149" i="28"/>
  <c r="H150" i="28"/>
  <c r="I150" i="28"/>
  <c r="J150" i="28"/>
  <c r="K150" i="28"/>
  <c r="L150" i="28"/>
  <c r="H151" i="28"/>
  <c r="I151" i="28"/>
  <c r="J151" i="28"/>
  <c r="K151" i="28"/>
  <c r="L151" i="28"/>
  <c r="H152" i="28"/>
  <c r="I152" i="28"/>
  <c r="J152" i="28"/>
  <c r="K152" i="28"/>
  <c r="L152" i="28"/>
  <c r="H153" i="28"/>
  <c r="I153" i="28"/>
  <c r="J153" i="28"/>
  <c r="K153" i="28"/>
  <c r="L153" i="28"/>
  <c r="H154" i="28"/>
  <c r="I154" i="28"/>
  <c r="J154" i="28"/>
  <c r="K154" i="28"/>
  <c r="L154" i="28"/>
  <c r="H155" i="28"/>
  <c r="I155" i="28"/>
  <c r="J155" i="28"/>
  <c r="K155" i="28"/>
  <c r="L155" i="28"/>
  <c r="H156" i="28"/>
  <c r="I156" i="28"/>
  <c r="J156" i="28"/>
  <c r="K156" i="28"/>
  <c r="L156" i="28"/>
  <c r="H157" i="28"/>
  <c r="I157" i="28"/>
  <c r="J157" i="28"/>
  <c r="K157" i="28"/>
  <c r="L157" i="28"/>
  <c r="H158" i="28"/>
  <c r="I158" i="28"/>
  <c r="J158" i="28"/>
  <c r="K158" i="28"/>
  <c r="L158" i="28"/>
  <c r="H159" i="28"/>
  <c r="I159" i="28"/>
  <c r="J159" i="28"/>
  <c r="K159" i="28"/>
  <c r="L159" i="28"/>
  <c r="H160" i="28"/>
  <c r="I160" i="28"/>
  <c r="J160" i="28"/>
  <c r="K160" i="28"/>
  <c r="L160" i="28"/>
  <c r="H161" i="28"/>
  <c r="I161" i="28"/>
  <c r="J161" i="28"/>
  <c r="K161" i="28"/>
  <c r="L161" i="28"/>
  <c r="H162" i="28"/>
  <c r="I162" i="28"/>
  <c r="J162" i="28"/>
  <c r="K162" i="28"/>
  <c r="L162" i="28"/>
  <c r="H163" i="28"/>
  <c r="I163" i="28"/>
  <c r="J163" i="28"/>
  <c r="K163" i="28"/>
  <c r="L163" i="28"/>
  <c r="H164" i="28"/>
  <c r="I164" i="28"/>
  <c r="J164" i="28"/>
  <c r="K164" i="28"/>
  <c r="L164" i="28"/>
  <c r="H165" i="28"/>
  <c r="I165" i="28"/>
  <c r="J165" i="28"/>
  <c r="K165" i="28"/>
  <c r="L165" i="28"/>
  <c r="H166" i="28"/>
  <c r="I166" i="28"/>
  <c r="J166" i="28"/>
  <c r="K166" i="28"/>
  <c r="L166" i="28"/>
  <c r="H167" i="28"/>
  <c r="I167" i="28"/>
  <c r="J167" i="28"/>
  <c r="K167" i="28"/>
  <c r="L167" i="28"/>
  <c r="H168" i="28"/>
  <c r="I168" i="28"/>
  <c r="J168" i="28"/>
  <c r="K168" i="28"/>
  <c r="L168" i="28"/>
  <c r="H169" i="28"/>
  <c r="I169" i="28"/>
  <c r="J169" i="28"/>
  <c r="K169" i="28"/>
  <c r="L169" i="28"/>
  <c r="H170" i="28"/>
  <c r="I170" i="28"/>
  <c r="J170" i="28"/>
  <c r="K170" i="28"/>
  <c r="L170" i="28"/>
  <c r="H171" i="28"/>
  <c r="I171" i="28"/>
  <c r="J171" i="28"/>
  <c r="K171" i="28"/>
  <c r="L171" i="28"/>
  <c r="H172" i="28"/>
  <c r="I172" i="28"/>
  <c r="J172" i="28"/>
  <c r="K172" i="28"/>
  <c r="L172" i="28"/>
  <c r="H173" i="28"/>
  <c r="I173" i="28"/>
  <c r="J173" i="28"/>
  <c r="K173" i="28"/>
  <c r="L173" i="28"/>
  <c r="H174" i="28"/>
  <c r="I174" i="28"/>
  <c r="J174" i="28"/>
  <c r="K174" i="28"/>
  <c r="L174" i="28"/>
  <c r="H175" i="28"/>
  <c r="I175" i="28"/>
  <c r="J175" i="28"/>
  <c r="K175" i="28"/>
  <c r="L175" i="28"/>
  <c r="H176" i="28"/>
  <c r="I176" i="28"/>
  <c r="J176" i="28"/>
  <c r="K176" i="28"/>
  <c r="L176" i="28"/>
  <c r="H177" i="28"/>
  <c r="I177" i="28"/>
  <c r="J177" i="28"/>
  <c r="K177" i="28"/>
  <c r="L177" i="28"/>
  <c r="H178" i="28"/>
  <c r="I178" i="28"/>
  <c r="J178" i="28"/>
  <c r="K178" i="28"/>
  <c r="L178" i="28"/>
  <c r="H179" i="28"/>
  <c r="I179" i="28"/>
  <c r="J179" i="28"/>
  <c r="K179" i="28"/>
  <c r="L179" i="28"/>
  <c r="H180" i="28"/>
  <c r="I180" i="28"/>
  <c r="J180" i="28"/>
  <c r="K180" i="28"/>
  <c r="L180" i="28"/>
  <c r="H181" i="28"/>
  <c r="I181" i="28"/>
  <c r="J181" i="28"/>
  <c r="K181" i="28"/>
  <c r="L181" i="28"/>
  <c r="H182" i="28"/>
  <c r="I182" i="28"/>
  <c r="J182" i="28"/>
  <c r="K182" i="28"/>
  <c r="L182" i="28"/>
  <c r="H183" i="28"/>
  <c r="I183" i="28"/>
  <c r="J183" i="28"/>
  <c r="K183" i="28"/>
  <c r="L183" i="28"/>
  <c r="H184" i="28"/>
  <c r="I184" i="28"/>
  <c r="J184" i="28"/>
  <c r="K184" i="28"/>
  <c r="L184" i="28"/>
  <c r="H185" i="28"/>
  <c r="I185" i="28"/>
  <c r="J185" i="28"/>
  <c r="K185" i="28"/>
  <c r="L185" i="28"/>
  <c r="H186" i="28"/>
  <c r="I186" i="28"/>
  <c r="J186" i="28"/>
  <c r="K186" i="28"/>
  <c r="L186" i="28"/>
  <c r="H187" i="28"/>
  <c r="I187" i="28"/>
  <c r="J187" i="28"/>
  <c r="K187" i="28"/>
  <c r="L187" i="28"/>
  <c r="H188" i="28"/>
  <c r="I188" i="28"/>
  <c r="J188" i="28"/>
  <c r="K188" i="28"/>
  <c r="L188" i="28"/>
  <c r="H189" i="28"/>
  <c r="I189" i="28"/>
  <c r="J189" i="28"/>
  <c r="K189" i="28"/>
  <c r="L189" i="28"/>
  <c r="H190" i="28"/>
  <c r="I190" i="28"/>
  <c r="J190" i="28"/>
  <c r="K190" i="28"/>
  <c r="L190" i="28"/>
  <c r="H191" i="28"/>
  <c r="I191" i="28"/>
  <c r="J191" i="28"/>
  <c r="K191" i="28"/>
  <c r="L191" i="28"/>
  <c r="H192" i="28"/>
  <c r="I192" i="28"/>
  <c r="J192" i="28"/>
  <c r="K192" i="28"/>
  <c r="L192" i="28"/>
  <c r="H193" i="28"/>
  <c r="I193" i="28"/>
  <c r="J193" i="28"/>
  <c r="K193" i="28"/>
  <c r="L193" i="28"/>
  <c r="H194" i="28"/>
  <c r="I194" i="28"/>
  <c r="J194" i="28"/>
  <c r="K194" i="28"/>
  <c r="L194" i="28"/>
  <c r="H195" i="28"/>
  <c r="I195" i="28"/>
  <c r="J195" i="28"/>
  <c r="K195" i="28"/>
  <c r="L195" i="28"/>
  <c r="H196" i="28"/>
  <c r="I196" i="28"/>
  <c r="J196" i="28"/>
  <c r="K196" i="28"/>
  <c r="L196" i="28"/>
  <c r="H197" i="28"/>
  <c r="I197" i="28"/>
  <c r="J197" i="28"/>
  <c r="K197" i="28"/>
  <c r="L197" i="28"/>
  <c r="H198" i="28"/>
  <c r="I198" i="28"/>
  <c r="J198" i="28"/>
  <c r="K198" i="28"/>
  <c r="L198" i="28"/>
  <c r="H199" i="28"/>
  <c r="I199" i="28"/>
  <c r="J199" i="28"/>
  <c r="K199" i="28"/>
  <c r="L199" i="28"/>
  <c r="H200" i="28"/>
  <c r="I200" i="28"/>
  <c r="J200" i="28"/>
  <c r="K200" i="28"/>
  <c r="L200" i="28"/>
  <c r="H201" i="28"/>
  <c r="I201" i="28"/>
  <c r="J201" i="28"/>
  <c r="K201" i="28"/>
  <c r="L201" i="28"/>
  <c r="H202" i="28"/>
  <c r="I202" i="28"/>
  <c r="J202" i="28"/>
  <c r="K202" i="28"/>
  <c r="L202" i="28"/>
  <c r="H203" i="28"/>
  <c r="I203" i="28"/>
  <c r="J203" i="28"/>
  <c r="K203" i="28"/>
  <c r="L203" i="28"/>
  <c r="H204" i="28"/>
  <c r="I204" i="28"/>
  <c r="J204" i="28"/>
  <c r="K204" i="28"/>
  <c r="L204" i="28"/>
  <c r="H205" i="28"/>
  <c r="I205" i="28"/>
  <c r="J205" i="28"/>
  <c r="K205" i="28"/>
  <c r="L205" i="28"/>
  <c r="H206" i="28"/>
  <c r="I206" i="28"/>
  <c r="J206" i="28"/>
  <c r="K206" i="28"/>
  <c r="L206" i="28"/>
  <c r="H207" i="28"/>
  <c r="I207" i="28"/>
  <c r="J207" i="28"/>
  <c r="K207" i="28"/>
  <c r="L207" i="28"/>
  <c r="H208" i="28"/>
  <c r="I208" i="28"/>
  <c r="J208" i="28"/>
  <c r="K208" i="28"/>
  <c r="L208" i="28"/>
  <c r="H209" i="28"/>
  <c r="I209" i="28"/>
  <c r="J209" i="28"/>
  <c r="K209" i="28"/>
  <c r="L209" i="28"/>
  <c r="H210" i="28"/>
  <c r="I210" i="28"/>
  <c r="J210" i="28"/>
  <c r="K210" i="28"/>
  <c r="L210" i="28"/>
  <c r="H211" i="28"/>
  <c r="I211" i="28"/>
  <c r="J211" i="28"/>
  <c r="K211" i="28"/>
  <c r="L211" i="28"/>
  <c r="H212" i="28"/>
  <c r="I212" i="28"/>
  <c r="J212" i="28"/>
  <c r="K212" i="28"/>
  <c r="L212" i="28"/>
  <c r="H213" i="28"/>
  <c r="I213" i="28"/>
  <c r="J213" i="28"/>
  <c r="K213" i="28"/>
  <c r="L213" i="28"/>
  <c r="H214" i="28"/>
  <c r="I214" i="28"/>
  <c r="J214" i="28"/>
  <c r="K214" i="28"/>
  <c r="L214" i="28"/>
  <c r="H215" i="28"/>
  <c r="I215" i="28"/>
  <c r="J215" i="28"/>
  <c r="K215" i="28"/>
  <c r="L215" i="28"/>
  <c r="H216" i="28"/>
  <c r="I216" i="28"/>
  <c r="J216" i="28"/>
  <c r="K216" i="28"/>
  <c r="L216" i="28"/>
  <c r="H217" i="28"/>
  <c r="I217" i="28"/>
  <c r="J217" i="28"/>
  <c r="K217" i="28"/>
  <c r="L217" i="28"/>
  <c r="H218" i="28"/>
  <c r="I218" i="28"/>
  <c r="J218" i="28"/>
  <c r="K218" i="28"/>
  <c r="L218" i="28"/>
  <c r="H219" i="28"/>
  <c r="I219" i="28"/>
  <c r="J219" i="28"/>
  <c r="K219" i="28"/>
  <c r="L219" i="28"/>
  <c r="H220" i="28"/>
  <c r="I220" i="28"/>
  <c r="J220" i="28"/>
  <c r="K220" i="28"/>
  <c r="L220" i="28"/>
  <c r="H221" i="28"/>
  <c r="I221" i="28"/>
  <c r="J221" i="28"/>
  <c r="K221" i="28"/>
  <c r="L221" i="28"/>
  <c r="H222" i="28"/>
  <c r="I222" i="28"/>
  <c r="J222" i="28"/>
  <c r="K222" i="28"/>
  <c r="L222" i="28"/>
  <c r="H223" i="28"/>
  <c r="I223" i="28"/>
  <c r="J223" i="28"/>
  <c r="K223" i="28"/>
  <c r="L223" i="28"/>
  <c r="H224" i="28"/>
  <c r="I224" i="28"/>
  <c r="J224" i="28"/>
  <c r="K224" i="28"/>
  <c r="L224" i="28"/>
  <c r="H225" i="28"/>
  <c r="I225" i="28"/>
  <c r="J225" i="28"/>
  <c r="K225" i="28"/>
  <c r="L225" i="28"/>
  <c r="H226" i="28"/>
  <c r="I226" i="28"/>
  <c r="J226" i="28"/>
  <c r="K226" i="28"/>
  <c r="L226" i="28"/>
  <c r="H227" i="28"/>
  <c r="I227" i="28"/>
  <c r="J227" i="28"/>
  <c r="K227" i="28"/>
  <c r="L227" i="28"/>
  <c r="H228" i="28"/>
  <c r="I228" i="28"/>
  <c r="J228" i="28"/>
  <c r="K228" i="28"/>
  <c r="L228" i="28"/>
  <c r="H229" i="28"/>
  <c r="I229" i="28"/>
  <c r="J229" i="28"/>
  <c r="K229" i="28"/>
  <c r="L229" i="28"/>
  <c r="H230" i="28"/>
  <c r="I230" i="28"/>
  <c r="J230" i="28"/>
  <c r="K230" i="28"/>
  <c r="L230" i="28"/>
  <c r="H231" i="28"/>
  <c r="I231" i="28"/>
  <c r="J231" i="28"/>
  <c r="K231" i="28"/>
  <c r="L231" i="28"/>
  <c r="H232" i="28"/>
  <c r="I232" i="28"/>
  <c r="J232" i="28"/>
  <c r="K232" i="28"/>
  <c r="L232" i="28"/>
  <c r="H233" i="28"/>
  <c r="I233" i="28"/>
  <c r="J233" i="28"/>
  <c r="K233" i="28"/>
  <c r="L233" i="28"/>
  <c r="H234" i="28"/>
  <c r="I234" i="28"/>
  <c r="J234" i="28"/>
  <c r="K234" i="28"/>
  <c r="L234" i="28"/>
  <c r="H235" i="28"/>
  <c r="I235" i="28"/>
  <c r="J235" i="28"/>
  <c r="K235" i="28"/>
  <c r="L235" i="28"/>
  <c r="H236" i="28"/>
  <c r="I236" i="28"/>
  <c r="J236" i="28"/>
  <c r="K236" i="28"/>
  <c r="L236" i="28"/>
  <c r="H237" i="28"/>
  <c r="I237" i="28"/>
  <c r="J237" i="28"/>
  <c r="K237" i="28"/>
  <c r="L237" i="28"/>
  <c r="H238" i="28"/>
  <c r="I238" i="28"/>
  <c r="J238" i="28"/>
  <c r="K238" i="28"/>
  <c r="L238" i="28"/>
  <c r="H239" i="28"/>
  <c r="I239" i="28"/>
  <c r="J239" i="28"/>
  <c r="K239" i="28"/>
  <c r="L239" i="28"/>
  <c r="H240" i="28"/>
  <c r="I240" i="28"/>
  <c r="J240" i="28"/>
  <c r="K240" i="28"/>
  <c r="L240" i="28"/>
  <c r="H241" i="28"/>
  <c r="I241" i="28"/>
  <c r="J241" i="28"/>
  <c r="K241" i="28"/>
  <c r="L241" i="28"/>
  <c r="H242" i="28"/>
  <c r="I242" i="28"/>
  <c r="J242" i="28"/>
  <c r="K242" i="28"/>
  <c r="L242" i="28"/>
  <c r="H243" i="28"/>
  <c r="I243" i="28"/>
  <c r="J243" i="28"/>
  <c r="K243" i="28"/>
  <c r="L243" i="28"/>
  <c r="H244" i="28"/>
  <c r="I244" i="28"/>
  <c r="J244" i="28"/>
  <c r="K244" i="28"/>
  <c r="L244" i="28"/>
  <c r="H245" i="28"/>
  <c r="I245" i="28"/>
  <c r="J245" i="28"/>
  <c r="K245" i="28"/>
  <c r="L245" i="28"/>
  <c r="H246" i="28"/>
  <c r="I246" i="28"/>
  <c r="J246" i="28"/>
  <c r="K246" i="28"/>
  <c r="L246" i="28"/>
  <c r="H247" i="28"/>
  <c r="I247" i="28"/>
  <c r="J247" i="28"/>
  <c r="K247" i="28"/>
  <c r="L247" i="28"/>
  <c r="H248" i="28"/>
  <c r="I248" i="28"/>
  <c r="J248" i="28"/>
  <c r="K248" i="28"/>
  <c r="L248" i="28"/>
  <c r="H249" i="28"/>
  <c r="I249" i="28"/>
  <c r="J249" i="28"/>
  <c r="K249" i="28"/>
  <c r="L249" i="28"/>
  <c r="H250" i="28"/>
  <c r="I250" i="28"/>
  <c r="J250" i="28"/>
  <c r="K250" i="28"/>
  <c r="L250" i="28"/>
  <c r="H251" i="28"/>
  <c r="I251" i="28"/>
  <c r="J251" i="28"/>
  <c r="K251" i="28"/>
  <c r="L251" i="28"/>
  <c r="H252" i="28"/>
  <c r="I252" i="28"/>
  <c r="J252" i="28"/>
  <c r="K252" i="28"/>
  <c r="L252" i="28"/>
  <c r="H253" i="28"/>
  <c r="I253" i="28"/>
  <c r="J253" i="28"/>
  <c r="K253" i="28"/>
  <c r="L253" i="28"/>
  <c r="H254" i="28"/>
  <c r="I254" i="28"/>
  <c r="J254" i="28"/>
  <c r="K254" i="28"/>
  <c r="L254" i="28"/>
  <c r="H255" i="28"/>
  <c r="I255" i="28"/>
  <c r="J255" i="28"/>
  <c r="K255" i="28"/>
  <c r="L255" i="28"/>
  <c r="H256" i="28"/>
  <c r="I256" i="28"/>
  <c r="J256" i="28"/>
  <c r="K256" i="28"/>
  <c r="L256" i="28"/>
  <c r="H257" i="28"/>
  <c r="I257" i="28"/>
  <c r="J257" i="28"/>
  <c r="K257" i="28"/>
  <c r="L257" i="28"/>
  <c r="H258" i="28"/>
  <c r="I258" i="28"/>
  <c r="J258" i="28"/>
  <c r="K258" i="28"/>
  <c r="L258" i="28"/>
  <c r="H259" i="28"/>
  <c r="I259" i="28"/>
  <c r="J259" i="28"/>
  <c r="K259" i="28"/>
  <c r="L259" i="28"/>
  <c r="H260" i="28"/>
  <c r="I260" i="28"/>
  <c r="J260" i="28"/>
  <c r="K260" i="28"/>
  <c r="L260" i="28"/>
  <c r="H261" i="28"/>
  <c r="I261" i="28"/>
  <c r="J261" i="28"/>
  <c r="K261" i="28"/>
  <c r="L261" i="28"/>
  <c r="H262" i="28"/>
  <c r="I262" i="28"/>
  <c r="J262" i="28"/>
  <c r="K262" i="28"/>
  <c r="L262" i="28"/>
  <c r="H263" i="28"/>
  <c r="I263" i="28"/>
  <c r="J263" i="28"/>
  <c r="K263" i="28"/>
  <c r="L263" i="28"/>
  <c r="H264" i="28"/>
  <c r="I264" i="28"/>
  <c r="J264" i="28"/>
  <c r="K264" i="28"/>
  <c r="L264" i="28"/>
  <c r="H265" i="28"/>
  <c r="I265" i="28"/>
  <c r="J265" i="28"/>
  <c r="K265" i="28"/>
  <c r="L265" i="28"/>
  <c r="H266" i="28"/>
  <c r="I266" i="28"/>
  <c r="J266" i="28"/>
  <c r="K266" i="28"/>
  <c r="L266" i="28"/>
  <c r="H267" i="28"/>
  <c r="I267" i="28"/>
  <c r="J267" i="28"/>
  <c r="K267" i="28"/>
  <c r="L267" i="28"/>
  <c r="H268" i="28"/>
  <c r="I268" i="28"/>
  <c r="J268" i="28"/>
  <c r="K268" i="28"/>
  <c r="L268" i="28"/>
  <c r="H269" i="28"/>
  <c r="I269" i="28"/>
  <c r="J269" i="28"/>
  <c r="K269" i="28"/>
  <c r="L269" i="28"/>
  <c r="H270" i="28"/>
  <c r="I270" i="28"/>
  <c r="J270" i="28"/>
  <c r="K270" i="28"/>
  <c r="L270" i="28"/>
  <c r="H271" i="28"/>
  <c r="I271" i="28"/>
  <c r="J271" i="28"/>
  <c r="K271" i="28"/>
  <c r="L271" i="28"/>
  <c r="H272" i="28"/>
  <c r="I272" i="28"/>
  <c r="J272" i="28"/>
  <c r="K272" i="28"/>
  <c r="L272" i="28"/>
  <c r="H273" i="28"/>
  <c r="I273" i="28"/>
  <c r="J273" i="28"/>
  <c r="K273" i="28"/>
  <c r="L273" i="28"/>
  <c r="H274" i="28"/>
  <c r="I274" i="28"/>
  <c r="J274" i="28"/>
  <c r="K274" i="28"/>
  <c r="L274" i="28"/>
  <c r="H275" i="28"/>
  <c r="I275" i="28"/>
  <c r="J275" i="28"/>
  <c r="K275" i="28"/>
  <c r="L275" i="28"/>
  <c r="H276" i="28"/>
  <c r="I276" i="28"/>
  <c r="J276" i="28"/>
  <c r="K276" i="28"/>
  <c r="L276" i="28"/>
  <c r="H277" i="28"/>
  <c r="I277" i="28"/>
  <c r="J277" i="28"/>
  <c r="K277" i="28"/>
  <c r="L277" i="28"/>
  <c r="H278" i="28"/>
  <c r="I278" i="28"/>
  <c r="J278" i="28"/>
  <c r="K278" i="28"/>
  <c r="L278" i="28"/>
  <c r="H279" i="28"/>
  <c r="I279" i="28"/>
  <c r="J279" i="28"/>
  <c r="K279" i="28"/>
  <c r="L279" i="28"/>
  <c r="H280" i="28"/>
  <c r="I280" i="28"/>
  <c r="J280" i="28"/>
  <c r="K280" i="28"/>
  <c r="L280" i="28"/>
  <c r="H281" i="28"/>
  <c r="I281" i="28"/>
  <c r="J281" i="28"/>
  <c r="K281" i="28"/>
  <c r="L281" i="28"/>
  <c r="H282" i="28"/>
  <c r="I282" i="28"/>
  <c r="J282" i="28"/>
  <c r="K282" i="28"/>
  <c r="L282" i="28"/>
  <c r="H283" i="28"/>
  <c r="I283" i="28"/>
  <c r="J283" i="28"/>
  <c r="K283" i="28"/>
  <c r="L283" i="28"/>
  <c r="H284" i="28"/>
  <c r="I284" i="28"/>
  <c r="J284" i="28"/>
  <c r="K284" i="28"/>
  <c r="L284" i="28"/>
  <c r="H285" i="28"/>
  <c r="I285" i="28"/>
  <c r="J285" i="28"/>
  <c r="K285" i="28"/>
  <c r="L285" i="28"/>
  <c r="H286" i="28"/>
  <c r="I286" i="28"/>
  <c r="J286" i="28"/>
  <c r="K286" i="28"/>
  <c r="L286" i="28"/>
  <c r="H287" i="28"/>
  <c r="I287" i="28"/>
  <c r="J287" i="28"/>
  <c r="K287" i="28"/>
  <c r="L287" i="28"/>
  <c r="H288" i="28"/>
  <c r="I288" i="28"/>
  <c r="J288" i="28"/>
  <c r="K288" i="28"/>
  <c r="L288" i="28"/>
  <c r="H289" i="28"/>
  <c r="I289" i="28"/>
  <c r="J289" i="28"/>
  <c r="K289" i="28"/>
  <c r="L289" i="28"/>
  <c r="H290" i="28"/>
  <c r="I290" i="28"/>
  <c r="J290" i="28"/>
  <c r="K290" i="28"/>
  <c r="L290" i="28"/>
  <c r="H291" i="28"/>
  <c r="I291" i="28"/>
  <c r="J291" i="28"/>
  <c r="K291" i="28"/>
  <c r="L291" i="28"/>
  <c r="H292" i="28"/>
  <c r="I292" i="28"/>
  <c r="J292" i="28"/>
  <c r="K292" i="28"/>
  <c r="L292" i="28"/>
  <c r="H293" i="28"/>
  <c r="I293" i="28"/>
  <c r="J293" i="28"/>
  <c r="K293" i="28"/>
  <c r="L293" i="28"/>
  <c r="H294" i="28"/>
  <c r="I294" i="28"/>
  <c r="J294" i="28"/>
  <c r="K294" i="28"/>
  <c r="L294" i="28"/>
  <c r="H295" i="28"/>
  <c r="I295" i="28"/>
  <c r="J295" i="28"/>
  <c r="K295" i="28"/>
  <c r="L295" i="28"/>
  <c r="H296" i="28"/>
  <c r="I296" i="28"/>
  <c r="J296" i="28"/>
  <c r="K296" i="28"/>
  <c r="L296" i="28"/>
  <c r="H297" i="28"/>
  <c r="I297" i="28"/>
  <c r="J297" i="28"/>
  <c r="K297" i="28"/>
  <c r="L297" i="28"/>
  <c r="H298" i="28"/>
  <c r="I298" i="28"/>
  <c r="J298" i="28"/>
  <c r="K298" i="28"/>
  <c r="L298" i="28"/>
  <c r="H299" i="28"/>
  <c r="I299" i="28"/>
  <c r="J299" i="28"/>
  <c r="K299" i="28"/>
  <c r="L299" i="28"/>
  <c r="K4" i="28"/>
  <c r="C4" i="28"/>
  <c r="D4" i="28"/>
  <c r="J4" i="28"/>
  <c r="E4" i="28"/>
  <c r="F4" i="28"/>
  <c r="L4" i="28"/>
  <c r="B4" i="28"/>
  <c r="H4" i="28"/>
  <c r="J5" i="28"/>
  <c r="K5" i="28"/>
  <c r="L5" i="28"/>
  <c r="I5" i="28"/>
  <c r="H5" i="28"/>
  <c r="B29" i="5"/>
  <c r="B24" i="5"/>
  <c r="D24" i="5" s="1"/>
  <c r="B27" i="5"/>
  <c r="D27" i="5" s="1"/>
  <c r="B26" i="5"/>
  <c r="D26" i="5" s="1"/>
  <c r="B25" i="5"/>
  <c r="D25" i="5" s="1"/>
  <c r="B23" i="5"/>
  <c r="B22" i="5" s="1"/>
  <c r="B14" i="6"/>
  <c r="D14" i="6" s="1"/>
  <c r="B15" i="6"/>
  <c r="D15" i="6" s="1"/>
  <c r="B24" i="6"/>
  <c r="D24" i="6" s="1"/>
  <c r="B25" i="6"/>
  <c r="D25" i="6" s="1"/>
  <c r="B23" i="6"/>
  <c r="D23" i="6" s="1"/>
  <c r="B21" i="6"/>
  <c r="D21" i="6" s="1"/>
  <c r="B20" i="6"/>
  <c r="B13" i="6"/>
  <c r="Q300" i="26"/>
  <c r="P300" i="26"/>
  <c r="E300" i="26"/>
  <c r="F300" i="26"/>
  <c r="G300" i="26"/>
  <c r="H300" i="26"/>
  <c r="I300" i="26"/>
  <c r="J300" i="26"/>
  <c r="K300" i="26"/>
  <c r="L300" i="26"/>
  <c r="M300" i="26"/>
  <c r="N300" i="26"/>
  <c r="O300" i="26"/>
  <c r="D300" i="26"/>
  <c r="R300" i="26"/>
  <c r="B28" i="11"/>
  <c r="A6" i="6"/>
  <c r="B10" i="6"/>
  <c r="D28" i="6"/>
  <c r="D27" i="6"/>
  <c r="D29" i="6"/>
  <c r="D30" i="6"/>
  <c r="D31" i="6"/>
  <c r="D9" i="5"/>
  <c r="D10" i="5"/>
  <c r="D8" i="5"/>
  <c r="D11" i="5"/>
  <c r="D14" i="5"/>
  <c r="D15" i="5"/>
  <c r="D16" i="5"/>
  <c r="D17" i="5"/>
  <c r="D18" i="5"/>
  <c r="D19" i="5"/>
  <c r="D30" i="5"/>
  <c r="D31" i="5"/>
  <c r="D29" i="5"/>
  <c r="D32" i="5"/>
  <c r="D36" i="5"/>
  <c r="D37" i="5"/>
  <c r="D38" i="5"/>
  <c r="D39" i="5"/>
  <c r="D40" i="5"/>
  <c r="D44" i="5"/>
  <c r="D45" i="5"/>
  <c r="D46" i="5"/>
  <c r="D47" i="5"/>
  <c r="D50" i="5"/>
  <c r="D51" i="5"/>
  <c r="D52" i="5"/>
  <c r="D53" i="5"/>
  <c r="D56" i="5"/>
  <c r="D57" i="5"/>
  <c r="D58" i="5"/>
  <c r="D59" i="5"/>
  <c r="D61" i="5"/>
  <c r="D112" i="5"/>
  <c r="D68" i="5"/>
  <c r="D69" i="5"/>
  <c r="D70" i="5"/>
  <c r="D71" i="5"/>
  <c r="D67" i="5"/>
  <c r="D72" i="5"/>
  <c r="D75" i="5"/>
  <c r="D76" i="5"/>
  <c r="D74" i="5"/>
  <c r="D79" i="5"/>
  <c r="D78" i="5"/>
  <c r="D80" i="5"/>
  <c r="D83" i="5"/>
  <c r="D84" i="5"/>
  <c r="D82" i="5"/>
  <c r="D85" i="5"/>
  <c r="D89" i="5"/>
  <c r="D90" i="5"/>
  <c r="D91" i="5"/>
  <c r="D92" i="5"/>
  <c r="D93" i="5"/>
  <c r="D94" i="5"/>
  <c r="D95" i="5"/>
  <c r="D96" i="5"/>
  <c r="D99" i="5"/>
  <c r="D98" i="5"/>
  <c r="D100" i="5"/>
  <c r="D101" i="5"/>
  <c r="D102" i="5"/>
  <c r="D103" i="5"/>
  <c r="D104" i="5"/>
  <c r="D105" i="5"/>
  <c r="D106" i="5"/>
  <c r="B3" i="11"/>
  <c r="A6" i="5"/>
  <c r="D10" i="6"/>
  <c r="B112" i="5"/>
  <c r="B8" i="5"/>
  <c r="B74" i="5"/>
  <c r="B82" i="5"/>
  <c r="B43" i="5"/>
  <c r="D43" i="5"/>
  <c r="B78" i="5"/>
  <c r="B88" i="5"/>
  <c r="B87" i="5"/>
  <c r="B115" i="5"/>
  <c r="B35" i="5"/>
  <c r="D35" i="5"/>
  <c r="D34" i="5"/>
  <c r="B13" i="5"/>
  <c r="B67" i="5"/>
  <c r="B55" i="5"/>
  <c r="D55" i="5"/>
  <c r="B98" i="5"/>
  <c r="B108" i="5"/>
  <c r="B110" i="5"/>
  <c r="B49" i="5"/>
  <c r="D49" i="5"/>
  <c r="B27" i="6"/>
  <c r="D13" i="5"/>
  <c r="B34" i="5"/>
  <c r="I4" i="28"/>
  <c r="D88" i="5"/>
  <c r="D87" i="5"/>
  <c r="D115" i="5"/>
  <c r="D108" i="5"/>
  <c r="D110" i="5"/>
  <c r="AT9" i="11"/>
  <c r="P12" i="30" l="1"/>
  <c r="P14" i="30"/>
  <c r="AB295" i="29"/>
  <c r="AC295" i="29" s="1"/>
  <c r="AB294" i="29"/>
  <c r="AC294" i="29" s="1"/>
  <c r="AB258" i="29"/>
  <c r="AC258" i="29" s="1"/>
  <c r="AB80" i="29"/>
  <c r="AC80" i="29" s="1"/>
  <c r="AB74" i="29"/>
  <c r="AC74" i="29" s="1"/>
  <c r="AB91" i="29"/>
  <c r="AC91" i="29" s="1"/>
  <c r="AB227" i="29"/>
  <c r="AC227" i="29" s="1"/>
  <c r="AB88" i="29"/>
  <c r="AC88" i="29" s="1"/>
  <c r="AB21" i="29"/>
  <c r="AC21" i="29" s="1"/>
  <c r="AB193" i="29"/>
  <c r="AC193" i="29" s="1"/>
  <c r="AB139" i="29"/>
  <c r="AC139" i="29" s="1"/>
  <c r="Q294" i="29"/>
  <c r="AB130" i="29"/>
  <c r="AC130" i="29" s="1"/>
  <c r="AB251" i="29"/>
  <c r="AC251" i="29" s="1"/>
  <c r="AB187" i="29"/>
  <c r="AC187" i="29" s="1"/>
  <c r="AB235" i="29"/>
  <c r="AC235" i="29" s="1"/>
  <c r="AB155" i="29"/>
  <c r="AC155" i="29" s="1"/>
  <c r="AB211" i="29"/>
  <c r="AC211" i="29" s="1"/>
  <c r="AB44" i="29"/>
  <c r="AC44" i="29" s="1"/>
  <c r="AB140" i="29"/>
  <c r="AC140" i="29" s="1"/>
  <c r="AB76" i="29"/>
  <c r="AC76" i="29" s="1"/>
  <c r="AB58" i="29"/>
  <c r="AC58" i="29" s="1"/>
  <c r="AB26" i="29"/>
  <c r="AC26" i="29" s="1"/>
  <c r="AB162" i="29"/>
  <c r="AC162" i="29" s="1"/>
  <c r="AB141" i="29"/>
  <c r="AC141" i="29" s="1"/>
  <c r="AB273" i="29"/>
  <c r="AC273" i="29" s="1"/>
  <c r="AB213" i="29"/>
  <c r="AC213" i="29" s="1"/>
  <c r="AB247" i="29"/>
  <c r="AC247" i="29" s="1"/>
  <c r="AB190" i="29"/>
  <c r="AC190" i="29" s="1"/>
  <c r="AB75" i="29"/>
  <c r="AC75" i="29" s="1"/>
  <c r="AB257" i="29"/>
  <c r="AC257" i="29" s="1"/>
  <c r="AB229" i="29"/>
  <c r="AC229" i="29" s="1"/>
  <c r="AB122" i="29"/>
  <c r="AC122" i="29" s="1"/>
  <c r="AB266" i="29"/>
  <c r="AC266" i="29" s="1"/>
  <c r="AB212" i="29"/>
  <c r="AC212" i="29" s="1"/>
  <c r="AB43" i="29"/>
  <c r="AC43" i="29" s="1"/>
  <c r="Q44" i="29"/>
  <c r="AB245" i="29"/>
  <c r="AC245" i="29" s="1"/>
  <c r="AB42" i="29"/>
  <c r="AC42" i="29" s="1"/>
  <c r="AB24" i="29"/>
  <c r="AC24" i="29" s="1"/>
  <c r="AB148" i="29"/>
  <c r="AC148" i="29" s="1"/>
  <c r="AB226" i="29"/>
  <c r="AC226" i="29" s="1"/>
  <c r="AB264" i="29"/>
  <c r="AC264" i="29" s="1"/>
  <c r="AB163" i="29"/>
  <c r="AC163" i="29" s="1"/>
  <c r="AB100" i="29"/>
  <c r="AC100" i="29" s="1"/>
  <c r="AB178" i="29"/>
  <c r="AC178" i="29" s="1"/>
  <c r="Q76" i="29"/>
  <c r="AB127" i="29"/>
  <c r="AC127" i="29" s="1"/>
  <c r="AB239" i="29"/>
  <c r="AC239" i="29" s="1"/>
  <c r="AB191" i="29"/>
  <c r="AC191" i="29" s="1"/>
  <c r="AB119" i="29"/>
  <c r="AC119" i="29" s="1"/>
  <c r="AB68" i="29"/>
  <c r="AC68" i="29" s="1"/>
  <c r="AB73" i="29"/>
  <c r="AC73" i="29" s="1"/>
  <c r="AB89" i="29"/>
  <c r="AC89" i="29" s="1"/>
  <c r="AB149" i="29"/>
  <c r="AC149" i="29" s="1"/>
  <c r="AB79" i="29"/>
  <c r="AC79" i="29" s="1"/>
  <c r="AB157" i="29"/>
  <c r="AC157" i="29" s="1"/>
  <c r="Q21" i="29"/>
  <c r="AB90" i="29"/>
  <c r="AC90" i="29" s="1"/>
  <c r="AB274" i="29"/>
  <c r="AC274" i="29" s="1"/>
  <c r="AB167" i="29"/>
  <c r="AC167" i="29" s="1"/>
  <c r="AB154" i="29"/>
  <c r="AC154" i="29" s="1"/>
  <c r="AB217" i="29"/>
  <c r="AC217" i="29" s="1"/>
  <c r="AB177" i="29"/>
  <c r="AC177" i="29" s="1"/>
  <c r="Q247" i="29"/>
  <c r="Z79" i="29"/>
  <c r="AB166" i="29"/>
  <c r="AC166" i="29" s="1"/>
  <c r="AB164" i="29"/>
  <c r="AC164" i="29" s="1"/>
  <c r="AB263" i="29"/>
  <c r="AC263" i="29" s="1"/>
  <c r="AB225" i="29"/>
  <c r="AC225" i="29" s="1"/>
  <c r="AB206" i="29"/>
  <c r="AC206" i="29" s="1"/>
  <c r="AB262" i="29"/>
  <c r="AC262" i="29" s="1"/>
  <c r="AB46" i="29"/>
  <c r="AC46" i="29" s="1"/>
  <c r="AB224" i="29"/>
  <c r="AC224" i="29" s="1"/>
  <c r="AB310" i="29"/>
  <c r="AC310" i="29" s="1"/>
  <c r="AB309" i="29"/>
  <c r="AC309" i="29" s="1"/>
  <c r="AB265" i="29"/>
  <c r="AC265" i="29" s="1"/>
  <c r="AB267" i="29"/>
  <c r="AC267" i="29" s="1"/>
  <c r="AB237" i="29"/>
  <c r="AC237" i="29" s="1"/>
  <c r="AB82" i="29"/>
  <c r="AC82" i="29" s="1"/>
  <c r="Q227" i="29"/>
  <c r="AB196" i="29"/>
  <c r="AC196" i="29" s="1"/>
  <c r="AB246" i="29"/>
  <c r="AC246" i="29" s="1"/>
  <c r="AB204" i="29"/>
  <c r="AC204" i="29" s="1"/>
  <c r="AB210" i="29"/>
  <c r="AC210" i="29" s="1"/>
  <c r="AB223" i="29"/>
  <c r="AC223" i="29" s="1"/>
  <c r="AB115" i="29"/>
  <c r="AC115" i="29" s="1"/>
  <c r="AB180" i="29"/>
  <c r="AC180" i="29" s="1"/>
  <c r="AB236" i="29"/>
  <c r="AC236" i="29" s="1"/>
  <c r="Q164" i="29"/>
  <c r="AB114" i="29"/>
  <c r="AC114" i="29" s="1"/>
  <c r="AB284" i="29"/>
  <c r="AC284" i="29" s="1"/>
  <c r="AB69" i="29"/>
  <c r="AC69" i="29" s="1"/>
  <c r="AB55" i="29"/>
  <c r="AC55" i="29" s="1"/>
  <c r="AB253" i="29"/>
  <c r="AC253" i="29" s="1"/>
  <c r="AB67" i="29"/>
  <c r="AC67" i="29" s="1"/>
  <c r="AB54" i="29"/>
  <c r="AC54" i="29" s="1"/>
  <c r="Q309" i="29"/>
  <c r="AB31" i="29"/>
  <c r="AC31" i="29" s="1"/>
  <c r="AB41" i="29"/>
  <c r="AC41" i="29" s="1"/>
  <c r="AB272" i="29"/>
  <c r="AC272" i="29" s="1"/>
  <c r="AB40" i="29"/>
  <c r="AC40" i="29" s="1"/>
  <c r="Q42" i="29"/>
  <c r="AB146" i="29"/>
  <c r="AC146" i="29" s="1"/>
  <c r="AB66" i="29"/>
  <c r="AC66" i="29" s="1"/>
  <c r="AB277" i="29"/>
  <c r="AC277" i="29" s="1"/>
  <c r="AB288" i="29"/>
  <c r="AC288" i="29" s="1"/>
  <c r="AB304" i="29"/>
  <c r="AC304" i="29" s="1"/>
  <c r="AB108" i="29"/>
  <c r="AC108" i="29" s="1"/>
  <c r="AB215" i="29"/>
  <c r="AC215" i="29" s="1"/>
  <c r="AB271" i="29"/>
  <c r="AC271" i="29" s="1"/>
  <c r="AB256" i="29"/>
  <c r="AC256" i="29" s="1"/>
  <c r="AB38" i="29"/>
  <c r="AC38" i="29" s="1"/>
  <c r="Q154" i="29"/>
  <c r="Q89" i="29"/>
  <c r="AB97" i="29"/>
  <c r="AC97" i="29" s="1"/>
  <c r="AB27" i="29"/>
  <c r="AC27" i="29" s="1"/>
  <c r="AB86" i="29"/>
  <c r="AC86" i="29" s="1"/>
  <c r="AB64" i="29"/>
  <c r="AC64" i="29" s="1"/>
  <c r="AB275" i="29"/>
  <c r="AC275" i="29" s="1"/>
  <c r="AB202" i="29"/>
  <c r="AC202" i="29" s="1"/>
  <c r="AB71" i="29"/>
  <c r="AC71" i="29" s="1"/>
  <c r="AB106" i="29"/>
  <c r="AC106" i="29" s="1"/>
  <c r="Q26" i="29"/>
  <c r="AB121" i="29"/>
  <c r="AC121" i="29" s="1"/>
  <c r="AB281" i="29"/>
  <c r="AC281" i="29" s="1"/>
  <c r="AB123" i="29"/>
  <c r="AC123" i="29" s="1"/>
  <c r="AB33" i="29"/>
  <c r="AC33" i="29" s="1"/>
  <c r="AB63" i="29"/>
  <c r="AC63" i="29" s="1"/>
  <c r="AB175" i="29"/>
  <c r="AC175" i="29" s="1"/>
  <c r="AB96" i="29"/>
  <c r="AC96" i="29" s="1"/>
  <c r="AB134" i="29"/>
  <c r="AC134" i="29" s="1"/>
  <c r="AB101" i="29"/>
  <c r="AC101" i="29" s="1"/>
  <c r="AB59" i="29"/>
  <c r="AC59" i="29" s="1"/>
  <c r="Q274" i="29"/>
  <c r="AB81" i="29"/>
  <c r="AC81" i="29" s="1"/>
  <c r="Q256" i="29"/>
  <c r="AB142" i="29"/>
  <c r="AC142" i="29" s="1"/>
  <c r="AB52" i="29"/>
  <c r="AC52" i="29" s="1"/>
  <c r="AB170" i="29"/>
  <c r="AC170" i="29" s="1"/>
  <c r="AB131" i="29"/>
  <c r="AC131" i="29" s="1"/>
  <c r="AB116" i="29"/>
  <c r="AC116" i="29" s="1"/>
  <c r="AB95" i="29"/>
  <c r="AC95" i="29" s="1"/>
  <c r="Q295" i="29"/>
  <c r="Z163" i="29"/>
  <c r="AB151" i="29"/>
  <c r="AC151" i="29" s="1"/>
  <c r="AB112" i="29"/>
  <c r="AC112" i="29" s="1"/>
  <c r="AB60" i="29"/>
  <c r="AC60" i="29" s="1"/>
  <c r="AB109" i="29"/>
  <c r="AC109" i="29" s="1"/>
  <c r="AB22" i="29"/>
  <c r="AC22" i="29" s="1"/>
  <c r="AB298" i="29"/>
  <c r="AC298" i="29" s="1"/>
  <c r="AB280" i="29"/>
  <c r="AC280" i="29" s="1"/>
  <c r="AB153" i="29"/>
  <c r="AC153" i="29" s="1"/>
  <c r="AB99" i="29"/>
  <c r="AC99" i="29" s="1"/>
  <c r="AB176" i="29"/>
  <c r="AC176" i="29" s="1"/>
  <c r="AB78" i="29"/>
  <c r="AC78" i="29" s="1"/>
  <c r="AB110" i="29"/>
  <c r="AC110" i="29" s="1"/>
  <c r="AB312" i="29"/>
  <c r="AC312" i="29" s="1"/>
  <c r="AB181" i="29"/>
  <c r="AC181" i="29" s="1"/>
  <c r="Q38" i="29"/>
  <c r="AB278" i="29"/>
  <c r="AC278" i="29" s="1"/>
  <c r="Q223" i="29"/>
  <c r="AB169" i="29"/>
  <c r="AC169" i="29" s="1"/>
  <c r="AB56" i="29"/>
  <c r="AC56" i="29" s="1"/>
  <c r="AB311" i="29"/>
  <c r="AC311" i="29" s="1"/>
  <c r="AB297" i="29"/>
  <c r="AC297" i="29" s="1"/>
  <c r="AB124" i="29"/>
  <c r="AC124" i="29" s="1"/>
  <c r="AB208" i="29"/>
  <c r="AC208" i="29" s="1"/>
  <c r="AB92" i="29"/>
  <c r="AC92" i="29" s="1"/>
  <c r="AB53" i="29"/>
  <c r="AC53" i="29" s="1"/>
  <c r="AB259" i="29"/>
  <c r="AC259" i="29" s="1"/>
  <c r="AB51" i="29"/>
  <c r="AC51" i="29" s="1"/>
  <c r="AB35" i="29"/>
  <c r="AC35" i="29" s="1"/>
  <c r="AB301" i="29"/>
  <c r="AC301" i="29" s="1"/>
  <c r="AB185" i="29"/>
  <c r="AC185" i="29" s="1"/>
  <c r="AB201" i="29"/>
  <c r="AC201" i="29" s="1"/>
  <c r="AB137" i="29"/>
  <c r="AC137" i="29" s="1"/>
  <c r="AB143" i="29"/>
  <c r="AC143" i="29" s="1"/>
  <c r="AB203" i="29"/>
  <c r="AC203" i="29" s="1"/>
  <c r="AB194" i="29"/>
  <c r="AC194" i="29" s="1"/>
  <c r="Q69" i="29"/>
  <c r="Q91" i="29"/>
  <c r="AB292" i="29"/>
  <c r="AC292" i="29" s="1"/>
  <c r="AB133" i="29"/>
  <c r="AC133" i="29" s="1"/>
  <c r="Q95" i="29"/>
  <c r="AB93" i="29"/>
  <c r="AC93" i="29" s="1"/>
  <c r="Q157" i="29"/>
  <c r="AB255" i="29"/>
  <c r="AC255" i="29" s="1"/>
  <c r="AB228" i="29"/>
  <c r="AC228" i="29" s="1"/>
  <c r="Q212" i="29"/>
  <c r="Q114" i="29"/>
  <c r="AB241" i="29"/>
  <c r="AC241" i="29" s="1"/>
  <c r="Q245" i="29"/>
  <c r="AB111" i="29"/>
  <c r="AC111" i="29" s="1"/>
  <c r="Q115" i="29"/>
  <c r="AB289" i="29"/>
  <c r="AC289" i="29" s="1"/>
  <c r="AB248" i="29"/>
  <c r="AC248" i="29" s="1"/>
  <c r="AB270" i="29"/>
  <c r="AC270" i="29" s="1"/>
  <c r="Q211" i="29"/>
  <c r="AB172" i="29"/>
  <c r="AC172" i="29" s="1"/>
  <c r="AB214" i="29"/>
  <c r="AC214" i="29" s="1"/>
  <c r="AB105" i="29"/>
  <c r="AC105" i="29" s="1"/>
  <c r="Q106" i="29"/>
  <c r="AB30" i="29"/>
  <c r="AC30" i="29" s="1"/>
  <c r="AB48" i="29"/>
  <c r="AC48" i="29" s="1"/>
  <c r="AB308" i="29"/>
  <c r="AC308" i="29" s="1"/>
  <c r="AB104" i="29"/>
  <c r="AC104" i="29" s="1"/>
  <c r="AB222" i="29"/>
  <c r="AC222" i="29" s="1"/>
  <c r="AB197" i="29"/>
  <c r="AC197" i="29" s="1"/>
  <c r="Q93" i="29"/>
  <c r="AB156" i="29"/>
  <c r="AC156" i="29" s="1"/>
  <c r="Q137" i="29"/>
  <c r="AB28" i="29"/>
  <c r="AC28" i="29" s="1"/>
  <c r="AB144" i="29"/>
  <c r="AC144" i="29" s="1"/>
  <c r="AB135" i="29"/>
  <c r="AC135" i="29" s="1"/>
  <c r="Q235" i="29"/>
  <c r="AB286" i="29"/>
  <c r="AC286" i="29" s="1"/>
  <c r="AB183" i="29"/>
  <c r="AC183" i="29" s="1"/>
  <c r="AB269" i="29"/>
  <c r="AC269" i="29" s="1"/>
  <c r="AB232" i="29"/>
  <c r="AC232" i="29" s="1"/>
  <c r="AB39" i="29"/>
  <c r="AC39" i="29" s="1"/>
  <c r="AB300" i="29"/>
  <c r="AC300" i="29" s="1"/>
  <c r="AB34" i="29"/>
  <c r="AC34" i="29" s="1"/>
  <c r="AB179" i="29"/>
  <c r="AC179" i="29" s="1"/>
  <c r="AB216" i="29"/>
  <c r="AC216" i="29" s="1"/>
  <c r="AB147" i="29"/>
  <c r="AC147" i="29" s="1"/>
  <c r="AB238" i="29"/>
  <c r="AC238" i="29" s="1"/>
  <c r="Q52" i="29"/>
  <c r="AB307" i="29"/>
  <c r="AC307" i="29" s="1"/>
  <c r="AB303" i="29"/>
  <c r="AC303" i="29" s="1"/>
  <c r="AB283" i="29"/>
  <c r="AC283" i="29" s="1"/>
  <c r="AB77" i="29"/>
  <c r="AC77" i="29" s="1"/>
  <c r="AB192" i="29"/>
  <c r="AC192" i="29" s="1"/>
  <c r="AB261" i="29"/>
  <c r="AC261" i="29" s="1"/>
  <c r="AB302" i="29"/>
  <c r="AC302" i="29" s="1"/>
  <c r="AB32" i="29"/>
  <c r="AC32" i="29" s="1"/>
  <c r="Q196" i="29"/>
  <c r="Q149" i="29"/>
  <c r="AB233" i="29"/>
  <c r="AC233" i="29" s="1"/>
  <c r="AB168" i="29"/>
  <c r="AC168" i="29" s="1"/>
  <c r="AB70" i="29"/>
  <c r="AC70" i="29" s="1"/>
  <c r="AB29" i="29"/>
  <c r="AC29" i="29" s="1"/>
  <c r="AB199" i="29"/>
  <c r="AC199" i="29" s="1"/>
  <c r="Q271" i="29"/>
  <c r="AB234" i="29"/>
  <c r="AC234" i="29" s="1"/>
  <c r="Q193" i="29"/>
  <c r="AB145" i="29"/>
  <c r="AC145" i="29" s="1"/>
  <c r="AB132" i="29"/>
  <c r="AC132" i="29" s="1"/>
  <c r="Q66" i="29"/>
  <c r="AB195" i="29"/>
  <c r="AC195" i="29" s="1"/>
  <c r="CD39" i="29"/>
  <c r="CE39" i="29" s="1"/>
  <c r="CD58" i="29"/>
  <c r="CE58" i="29" s="1"/>
  <c r="CD78" i="29"/>
  <c r="CE78" i="29" s="1"/>
  <c r="CD98" i="29"/>
  <c r="CE98" i="29" s="1"/>
  <c r="CD120" i="29"/>
  <c r="CE120" i="29" s="1"/>
  <c r="CD138" i="29"/>
  <c r="CE138" i="29" s="1"/>
  <c r="CD150" i="29"/>
  <c r="CE150" i="29" s="1"/>
  <c r="CD176" i="29"/>
  <c r="CE176" i="29" s="1"/>
  <c r="CD200" i="29"/>
  <c r="CE200" i="29" s="1"/>
  <c r="CD220" i="29"/>
  <c r="CE220" i="29" s="1"/>
  <c r="CD240" i="29"/>
  <c r="CE240" i="29" s="1"/>
  <c r="CD261" i="29"/>
  <c r="CE261" i="29" s="1"/>
  <c r="CD278" i="29"/>
  <c r="CE278" i="29" s="1"/>
  <c r="CD299" i="29"/>
  <c r="CE299" i="29" s="1"/>
  <c r="CD198" i="29"/>
  <c r="CE198" i="29" s="1"/>
  <c r="CD40" i="29"/>
  <c r="CE40" i="29" s="1"/>
  <c r="CD59" i="29"/>
  <c r="CE59" i="29" s="1"/>
  <c r="CD79" i="29"/>
  <c r="CE79" i="29" s="1"/>
  <c r="CD100" i="29"/>
  <c r="CE100" i="29" s="1"/>
  <c r="CD121" i="29"/>
  <c r="CE121" i="29" s="1"/>
  <c r="CD139" i="29"/>
  <c r="CE139" i="29" s="1"/>
  <c r="CD192" i="29"/>
  <c r="CE192" i="29" s="1"/>
  <c r="CD177" i="29"/>
  <c r="CE177" i="29" s="1"/>
  <c r="CD201" i="29"/>
  <c r="CE201" i="29" s="1"/>
  <c r="CD221" i="29"/>
  <c r="CE221" i="29" s="1"/>
  <c r="CD225" i="29"/>
  <c r="CE225" i="29" s="1"/>
  <c r="CD262" i="29"/>
  <c r="CE262" i="29" s="1"/>
  <c r="CD279" i="29"/>
  <c r="CE279" i="29" s="1"/>
  <c r="CD300" i="29"/>
  <c r="CE300" i="29" s="1"/>
  <c r="CD173" i="29"/>
  <c r="CE173" i="29" s="1"/>
  <c r="CD199" i="29"/>
  <c r="CE199" i="29" s="1"/>
  <c r="CD22" i="29"/>
  <c r="CE22" i="29" s="1"/>
  <c r="CD41" i="29"/>
  <c r="CE41" i="29" s="1"/>
  <c r="CD60" i="29"/>
  <c r="CE60" i="29" s="1"/>
  <c r="CD80" i="29"/>
  <c r="CE80" i="29" s="1"/>
  <c r="CD102" i="29"/>
  <c r="CE102" i="29" s="1"/>
  <c r="CD122" i="29"/>
  <c r="CE122" i="29" s="1"/>
  <c r="CD136" i="29"/>
  <c r="CE136" i="29" s="1"/>
  <c r="CD158" i="29"/>
  <c r="CE158" i="29" s="1"/>
  <c r="CD178" i="29"/>
  <c r="CE178" i="29" s="1"/>
  <c r="CD202" i="29"/>
  <c r="CE202" i="29" s="1"/>
  <c r="CD222" i="29"/>
  <c r="CE222" i="29" s="1"/>
  <c r="CD241" i="29"/>
  <c r="CE241" i="29" s="1"/>
  <c r="CD263" i="29"/>
  <c r="CE263" i="29" s="1"/>
  <c r="CD280" i="29"/>
  <c r="CE280" i="29" s="1"/>
  <c r="CD301" i="29"/>
  <c r="CE301" i="29" s="1"/>
  <c r="CD259" i="29"/>
  <c r="CE259" i="29" s="1"/>
  <c r="CD119" i="29"/>
  <c r="CE119" i="29" s="1"/>
  <c r="CD23" i="29"/>
  <c r="CE23" i="29" s="1"/>
  <c r="CD42" i="29"/>
  <c r="CE42" i="29" s="1"/>
  <c r="CD61" i="29"/>
  <c r="CE61" i="29" s="1"/>
  <c r="CD81" i="29"/>
  <c r="CE81" i="29" s="1"/>
  <c r="CD103" i="29"/>
  <c r="CE103" i="29" s="1"/>
  <c r="CD123" i="29"/>
  <c r="CE123" i="29" s="1"/>
  <c r="CD140" i="29"/>
  <c r="CE140" i="29" s="1"/>
  <c r="CD159" i="29"/>
  <c r="CE159" i="29" s="1"/>
  <c r="CD179" i="29"/>
  <c r="CE179" i="29" s="1"/>
  <c r="CD203" i="29"/>
  <c r="CE203" i="29" s="1"/>
  <c r="CD223" i="29"/>
  <c r="CE223" i="29" s="1"/>
  <c r="CD242" i="29"/>
  <c r="CE242" i="29" s="1"/>
  <c r="CD264" i="29"/>
  <c r="CE264" i="29" s="1"/>
  <c r="CD197" i="29"/>
  <c r="CE197" i="29" s="1"/>
  <c r="CD302" i="29"/>
  <c r="CE302" i="29" s="1"/>
  <c r="CD135" i="29"/>
  <c r="CE135" i="29" s="1"/>
  <c r="CD24" i="29"/>
  <c r="CE24" i="29" s="1"/>
  <c r="CD43" i="29"/>
  <c r="CE43" i="29" s="1"/>
  <c r="CD63" i="29"/>
  <c r="CE63" i="29" s="1"/>
  <c r="CD82" i="29"/>
  <c r="CE82" i="29" s="1"/>
  <c r="CD104" i="29"/>
  <c r="CE104" i="29" s="1"/>
  <c r="CD124" i="29"/>
  <c r="CE124" i="29" s="1"/>
  <c r="CD141" i="29"/>
  <c r="CE141" i="29" s="1"/>
  <c r="CD160" i="29"/>
  <c r="CE160" i="29" s="1"/>
  <c r="CD180" i="29"/>
  <c r="CE180" i="29" s="1"/>
  <c r="CD195" i="29"/>
  <c r="CE195" i="29" s="1"/>
  <c r="CD210" i="29"/>
  <c r="CE210" i="29" s="1"/>
  <c r="CD243" i="29"/>
  <c r="CE243" i="29" s="1"/>
  <c r="CD265" i="29"/>
  <c r="CE265" i="29" s="1"/>
  <c r="CD281" i="29"/>
  <c r="CE281" i="29" s="1"/>
  <c r="CD303" i="29"/>
  <c r="CE303" i="29" s="1"/>
  <c r="CD96" i="29"/>
  <c r="CE96" i="29" s="1"/>
  <c r="CD277" i="29"/>
  <c r="CE277" i="29" s="1"/>
  <c r="CD25" i="29"/>
  <c r="CE25" i="29" s="1"/>
  <c r="CD44" i="29"/>
  <c r="CE44" i="29" s="1"/>
  <c r="CD64" i="29"/>
  <c r="CE64" i="29" s="1"/>
  <c r="CD83" i="29"/>
  <c r="CE83" i="29" s="1"/>
  <c r="CD105" i="29"/>
  <c r="CE105" i="29" s="1"/>
  <c r="CD125" i="29"/>
  <c r="CE125" i="29" s="1"/>
  <c r="CD142" i="29"/>
  <c r="CE142" i="29" s="1"/>
  <c r="CD161" i="29"/>
  <c r="CE161" i="29" s="1"/>
  <c r="CD181" i="29"/>
  <c r="CE181" i="29" s="1"/>
  <c r="CD204" i="29"/>
  <c r="CE204" i="29" s="1"/>
  <c r="CD224" i="29"/>
  <c r="CE224" i="29" s="1"/>
  <c r="CD245" i="29"/>
  <c r="CE245" i="29" s="1"/>
  <c r="CD266" i="29"/>
  <c r="CE266" i="29" s="1"/>
  <c r="CD282" i="29"/>
  <c r="CE282" i="29" s="1"/>
  <c r="CD304" i="29"/>
  <c r="CE304" i="29" s="1"/>
  <c r="CD26" i="29"/>
  <c r="CE26" i="29" s="1"/>
  <c r="CD46" i="29"/>
  <c r="CE46" i="29" s="1"/>
  <c r="CD65" i="29"/>
  <c r="CE65" i="29" s="1"/>
  <c r="CD84" i="29"/>
  <c r="CE84" i="29" s="1"/>
  <c r="CD106" i="29"/>
  <c r="CE106" i="29" s="1"/>
  <c r="CD126" i="29"/>
  <c r="CE126" i="29" s="1"/>
  <c r="CD143" i="29"/>
  <c r="CE143" i="29" s="1"/>
  <c r="CD162" i="29"/>
  <c r="CE162" i="29" s="1"/>
  <c r="CD182" i="29"/>
  <c r="CE182" i="29" s="1"/>
  <c r="CD205" i="29"/>
  <c r="CE205" i="29" s="1"/>
  <c r="CD226" i="29"/>
  <c r="CE226" i="29" s="1"/>
  <c r="CD246" i="29"/>
  <c r="CE246" i="29" s="1"/>
  <c r="CD267" i="29"/>
  <c r="CE267" i="29" s="1"/>
  <c r="CD283" i="29"/>
  <c r="CE283" i="29" s="1"/>
  <c r="CD305" i="29"/>
  <c r="CE305" i="29" s="1"/>
  <c r="CD239" i="29"/>
  <c r="CE239" i="29" s="1"/>
  <c r="CD20" i="29"/>
  <c r="CE20" i="29" s="1"/>
  <c r="CD47" i="29"/>
  <c r="CE47" i="29" s="1"/>
  <c r="CD66" i="29"/>
  <c r="CE66" i="29" s="1"/>
  <c r="CD85" i="29"/>
  <c r="CE85" i="29" s="1"/>
  <c r="CD107" i="29"/>
  <c r="CE107" i="29" s="1"/>
  <c r="CD127" i="29"/>
  <c r="CE127" i="29" s="1"/>
  <c r="CD144" i="29"/>
  <c r="CE144" i="29" s="1"/>
  <c r="CD163" i="29"/>
  <c r="CE163" i="29" s="1"/>
  <c r="CD183" i="29"/>
  <c r="CE183" i="29" s="1"/>
  <c r="CD206" i="29"/>
  <c r="CE206" i="29" s="1"/>
  <c r="CD227" i="29"/>
  <c r="CE227" i="29" s="1"/>
  <c r="CD247" i="29"/>
  <c r="CE247" i="29" s="1"/>
  <c r="CD291" i="29"/>
  <c r="CE291" i="29" s="1"/>
  <c r="CD284" i="29"/>
  <c r="CE284" i="29" s="1"/>
  <c r="CD306" i="29"/>
  <c r="CE306" i="29" s="1"/>
  <c r="CD219" i="29"/>
  <c r="CE219" i="29" s="1"/>
  <c r="CD27" i="29"/>
  <c r="CE27" i="29" s="1"/>
  <c r="CD294" i="29"/>
  <c r="CE294" i="29" s="1"/>
  <c r="CD62" i="29"/>
  <c r="CE62" i="29" s="1"/>
  <c r="CD86" i="29"/>
  <c r="CE86" i="29" s="1"/>
  <c r="CD108" i="29"/>
  <c r="CE108" i="29" s="1"/>
  <c r="CD128" i="29"/>
  <c r="CE128" i="29" s="1"/>
  <c r="CD145" i="29"/>
  <c r="CE145" i="29" s="1"/>
  <c r="CD164" i="29"/>
  <c r="CE164" i="29" s="1"/>
  <c r="CD184" i="29"/>
  <c r="CE184" i="29" s="1"/>
  <c r="CD207" i="29"/>
  <c r="CE207" i="29" s="1"/>
  <c r="CD228" i="29"/>
  <c r="CE228" i="29" s="1"/>
  <c r="CD248" i="29"/>
  <c r="CE248" i="29" s="1"/>
  <c r="CD244" i="29"/>
  <c r="CE244" i="29" s="1"/>
  <c r="CD285" i="29"/>
  <c r="CE285" i="29" s="1"/>
  <c r="CD307" i="29"/>
  <c r="CE307" i="29" s="1"/>
  <c r="CD97" i="29"/>
  <c r="CE97" i="29" s="1"/>
  <c r="CD28" i="29"/>
  <c r="CE28" i="29" s="1"/>
  <c r="CD48" i="29"/>
  <c r="CE48" i="29" s="1"/>
  <c r="CD67" i="29"/>
  <c r="CE67" i="29" s="1"/>
  <c r="CD87" i="29"/>
  <c r="CE87" i="29" s="1"/>
  <c r="CD109" i="29"/>
  <c r="CE109" i="29" s="1"/>
  <c r="CD129" i="29"/>
  <c r="CE129" i="29" s="1"/>
  <c r="CD146" i="29"/>
  <c r="CE146" i="29" s="1"/>
  <c r="CD165" i="29"/>
  <c r="CE165" i="29" s="1"/>
  <c r="CD185" i="29"/>
  <c r="CE185" i="29" s="1"/>
  <c r="CD208" i="29"/>
  <c r="CE208" i="29" s="1"/>
  <c r="CD229" i="29"/>
  <c r="CE229" i="29" s="1"/>
  <c r="CD249" i="29"/>
  <c r="CE249" i="29" s="1"/>
  <c r="CD253" i="29"/>
  <c r="CE253" i="29" s="1"/>
  <c r="CD286" i="29"/>
  <c r="CE286" i="29" s="1"/>
  <c r="CD308" i="29"/>
  <c r="CE308" i="29" s="1"/>
  <c r="CD29" i="29"/>
  <c r="CE29" i="29" s="1"/>
  <c r="CD49" i="29"/>
  <c r="CE49" i="29" s="1"/>
  <c r="CD68" i="29"/>
  <c r="CE68" i="29" s="1"/>
  <c r="CD88" i="29"/>
  <c r="CE88" i="29" s="1"/>
  <c r="CD110" i="29"/>
  <c r="CE110" i="29" s="1"/>
  <c r="CD188" i="29"/>
  <c r="CE188" i="29" s="1"/>
  <c r="CD147" i="29"/>
  <c r="CE147" i="29" s="1"/>
  <c r="CD166" i="29"/>
  <c r="CE166" i="29" s="1"/>
  <c r="CD186" i="29"/>
  <c r="CE186" i="29" s="1"/>
  <c r="CD209" i="29"/>
  <c r="CE209" i="29" s="1"/>
  <c r="CD230" i="29"/>
  <c r="CE230" i="29" s="1"/>
  <c r="CD250" i="29"/>
  <c r="CE250" i="29" s="1"/>
  <c r="CD268" i="29"/>
  <c r="CE268" i="29" s="1"/>
  <c r="CD287" i="29"/>
  <c r="CE287" i="29" s="1"/>
  <c r="CD309" i="29"/>
  <c r="CE309" i="29" s="1"/>
  <c r="CD238" i="29"/>
  <c r="CE238" i="29" s="1"/>
  <c r="CD137" i="29"/>
  <c r="CE137" i="29" s="1"/>
  <c r="CD30" i="29"/>
  <c r="CE30" i="29" s="1"/>
  <c r="CD50" i="29"/>
  <c r="CE50" i="29" s="1"/>
  <c r="CD69" i="29"/>
  <c r="CE69" i="29" s="1"/>
  <c r="CD89" i="29"/>
  <c r="CE89" i="29" s="1"/>
  <c r="CD111" i="29"/>
  <c r="CE111" i="29" s="1"/>
  <c r="CD130" i="29"/>
  <c r="CE130" i="29" s="1"/>
  <c r="CD148" i="29"/>
  <c r="CE148" i="29" s="1"/>
  <c r="CD167" i="29"/>
  <c r="CE167" i="29" s="1"/>
  <c r="CD187" i="29"/>
  <c r="CE187" i="29" s="1"/>
  <c r="CD211" i="29"/>
  <c r="CE211" i="29" s="1"/>
  <c r="CD231" i="29"/>
  <c r="CE231" i="29" s="1"/>
  <c r="CD251" i="29"/>
  <c r="CE251" i="29" s="1"/>
  <c r="CD269" i="29"/>
  <c r="CE269" i="29" s="1"/>
  <c r="CD288" i="29"/>
  <c r="CE288" i="29" s="1"/>
  <c r="CD310" i="29"/>
  <c r="CE310" i="29" s="1"/>
  <c r="CD297" i="29"/>
  <c r="CE297" i="29" s="1"/>
  <c r="CD157" i="29"/>
  <c r="CE157" i="29" s="1"/>
  <c r="CD31" i="29"/>
  <c r="CE31" i="29" s="1"/>
  <c r="CD51" i="29"/>
  <c r="CE51" i="29" s="1"/>
  <c r="CD70" i="29"/>
  <c r="CE70" i="29" s="1"/>
  <c r="CD90" i="29"/>
  <c r="CE90" i="29" s="1"/>
  <c r="CD112" i="29"/>
  <c r="CE112" i="29" s="1"/>
  <c r="CD131" i="29"/>
  <c r="CE131" i="29" s="1"/>
  <c r="CD149" i="29"/>
  <c r="CE149" i="29" s="1"/>
  <c r="CD168" i="29"/>
  <c r="CE168" i="29" s="1"/>
  <c r="CD189" i="29"/>
  <c r="CE189" i="29" s="1"/>
  <c r="CD212" i="29"/>
  <c r="CE212" i="29" s="1"/>
  <c r="CD232" i="29"/>
  <c r="CE232" i="29" s="1"/>
  <c r="CD252" i="29"/>
  <c r="CE252" i="29" s="1"/>
  <c r="CD270" i="29"/>
  <c r="CE270" i="29" s="1"/>
  <c r="CD289" i="29"/>
  <c r="CE289" i="29" s="1"/>
  <c r="CD311" i="29"/>
  <c r="CE311" i="29" s="1"/>
  <c r="CD118" i="29"/>
  <c r="CE118" i="29" s="1"/>
  <c r="CD260" i="29"/>
  <c r="CE260" i="29" s="1"/>
  <c r="CD32" i="29"/>
  <c r="CE32" i="29" s="1"/>
  <c r="CD52" i="29"/>
  <c r="CE52" i="29" s="1"/>
  <c r="CD71" i="29"/>
  <c r="CE71" i="29" s="1"/>
  <c r="CD91" i="29"/>
  <c r="CE91" i="29" s="1"/>
  <c r="CD113" i="29"/>
  <c r="CE113" i="29" s="1"/>
  <c r="CD132" i="29"/>
  <c r="CE132" i="29" s="1"/>
  <c r="CD151" i="29"/>
  <c r="CE151" i="29" s="1"/>
  <c r="CD169" i="29"/>
  <c r="CE169" i="29" s="1"/>
  <c r="CD190" i="29"/>
  <c r="CE190" i="29" s="1"/>
  <c r="CD213" i="29"/>
  <c r="CE213" i="29" s="1"/>
  <c r="CD233" i="29"/>
  <c r="CE233" i="29" s="1"/>
  <c r="CD254" i="29"/>
  <c r="CE254" i="29" s="1"/>
  <c r="CD271" i="29"/>
  <c r="CE271" i="29" s="1"/>
  <c r="CD290" i="29"/>
  <c r="CE290" i="29" s="1"/>
  <c r="CD312" i="29"/>
  <c r="CE312" i="29" s="1"/>
  <c r="CD276" i="29"/>
  <c r="CE276" i="29" s="1"/>
  <c r="CD77" i="29"/>
  <c r="CE77" i="29" s="1"/>
  <c r="CD33" i="29"/>
  <c r="CE33" i="29" s="1"/>
  <c r="CD53" i="29"/>
  <c r="CE53" i="29" s="1"/>
  <c r="CD72" i="29"/>
  <c r="CE72" i="29" s="1"/>
  <c r="CD92" i="29"/>
  <c r="CE92" i="29" s="1"/>
  <c r="CD114" i="29"/>
  <c r="CE114" i="29" s="1"/>
  <c r="CD99" i="29"/>
  <c r="CE99" i="29" s="1"/>
  <c r="CD152" i="29"/>
  <c r="CE152" i="29" s="1"/>
  <c r="CD170" i="29"/>
  <c r="CE170" i="29" s="1"/>
  <c r="CD191" i="29"/>
  <c r="CE191" i="29" s="1"/>
  <c r="CD214" i="29"/>
  <c r="CE214" i="29" s="1"/>
  <c r="CD234" i="29"/>
  <c r="CE234" i="29" s="1"/>
  <c r="CD255" i="29"/>
  <c r="CE255" i="29" s="1"/>
  <c r="CD272" i="29"/>
  <c r="CE272" i="29" s="1"/>
  <c r="CD292" i="29"/>
  <c r="CE292" i="29" s="1"/>
  <c r="CD298" i="29"/>
  <c r="CE298" i="29" s="1"/>
  <c r="CD34" i="29"/>
  <c r="CE34" i="29" s="1"/>
  <c r="CD54" i="29"/>
  <c r="CE54" i="29" s="1"/>
  <c r="CD73" i="29"/>
  <c r="CE73" i="29" s="1"/>
  <c r="CD93" i="29"/>
  <c r="CE93" i="29" s="1"/>
  <c r="CD115" i="29"/>
  <c r="CE115" i="29" s="1"/>
  <c r="CD101" i="29"/>
  <c r="CE101" i="29" s="1"/>
  <c r="CD153" i="29"/>
  <c r="CE153" i="29" s="1"/>
  <c r="CD171" i="29"/>
  <c r="CE171" i="29" s="1"/>
  <c r="CD193" i="29"/>
  <c r="CE193" i="29" s="1"/>
  <c r="CD215" i="29"/>
  <c r="CE215" i="29" s="1"/>
  <c r="CD235" i="29"/>
  <c r="CE235" i="29" s="1"/>
  <c r="CD256" i="29"/>
  <c r="CE256" i="29" s="1"/>
  <c r="CD273" i="29"/>
  <c r="CE273" i="29" s="1"/>
  <c r="CD293" i="29"/>
  <c r="CE293" i="29" s="1"/>
  <c r="CD218" i="29"/>
  <c r="CE218" i="29" s="1"/>
  <c r="CD35" i="29"/>
  <c r="CE35" i="29" s="1"/>
  <c r="CD55" i="29"/>
  <c r="CE55" i="29" s="1"/>
  <c r="CD74" i="29"/>
  <c r="CE74" i="29" s="1"/>
  <c r="CD94" i="29"/>
  <c r="CE94" i="29" s="1"/>
  <c r="CD116" i="29"/>
  <c r="CE116" i="29" s="1"/>
  <c r="CD133" i="29"/>
  <c r="CE133" i="29" s="1"/>
  <c r="CD154" i="29"/>
  <c r="CE154" i="29" s="1"/>
  <c r="CD172" i="29"/>
  <c r="CE172" i="29" s="1"/>
  <c r="CD194" i="29"/>
  <c r="CE194" i="29" s="1"/>
  <c r="CD216" i="29"/>
  <c r="CE216" i="29" s="1"/>
  <c r="CD236" i="29"/>
  <c r="CE236" i="29" s="1"/>
  <c r="CD257" i="29"/>
  <c r="CE257" i="29" s="1"/>
  <c r="CD274" i="29"/>
  <c r="CE274" i="29" s="1"/>
  <c r="CD295" i="29"/>
  <c r="CE295" i="29" s="1"/>
  <c r="CD156" i="29"/>
  <c r="CE156" i="29" s="1"/>
  <c r="CD175" i="29"/>
  <c r="CE175" i="29" s="1"/>
  <c r="CD36" i="29"/>
  <c r="CE36" i="29" s="1"/>
  <c r="CD45" i="29"/>
  <c r="CE45" i="29" s="1"/>
  <c r="CD75" i="29"/>
  <c r="CE75" i="29" s="1"/>
  <c r="CD95" i="29"/>
  <c r="CE95" i="29" s="1"/>
  <c r="CD117" i="29"/>
  <c r="CE117" i="29" s="1"/>
  <c r="CD134" i="29"/>
  <c r="CE134" i="29" s="1"/>
  <c r="CD155" i="29"/>
  <c r="CE155" i="29" s="1"/>
  <c r="CD174" i="29"/>
  <c r="CE174" i="29" s="1"/>
  <c r="CD196" i="29"/>
  <c r="CE196" i="29" s="1"/>
  <c r="CD217" i="29"/>
  <c r="CE217" i="29" s="1"/>
  <c r="CD237" i="29"/>
  <c r="CE237" i="29" s="1"/>
  <c r="CD258" i="29"/>
  <c r="CE258" i="29" s="1"/>
  <c r="CD275" i="29"/>
  <c r="CE275" i="29" s="1"/>
  <c r="CD296" i="29"/>
  <c r="CE296" i="29" s="1"/>
  <c r="CD37" i="29"/>
  <c r="CE37" i="29" s="1"/>
  <c r="CD76" i="29"/>
  <c r="CE76" i="29" s="1"/>
  <c r="CD38" i="29"/>
  <c r="CE38" i="29" s="1"/>
  <c r="CD56" i="29"/>
  <c r="CE56" i="29" s="1"/>
  <c r="CD57" i="29"/>
  <c r="CE57" i="29" s="1"/>
  <c r="AB242" i="29"/>
  <c r="AC242" i="29" s="1"/>
  <c r="AK18" i="29"/>
  <c r="Q34" i="29"/>
  <c r="Q18" i="29"/>
  <c r="AL18" i="29"/>
  <c r="AB293" i="29"/>
  <c r="AC293" i="29" s="1"/>
  <c r="AB49" i="29"/>
  <c r="AC49" i="29" s="1"/>
  <c r="AB219" i="29"/>
  <c r="AC219" i="29" s="1"/>
  <c r="AB129" i="29"/>
  <c r="AC129" i="29" s="1"/>
  <c r="Q97" i="29"/>
  <c r="AB230" i="29"/>
  <c r="AC230" i="29" s="1"/>
  <c r="AB126" i="29"/>
  <c r="AC126" i="29" s="1"/>
  <c r="AB83" i="29"/>
  <c r="AC83" i="29" s="1"/>
  <c r="AB152" i="29"/>
  <c r="AC152" i="29" s="1"/>
  <c r="AB188" i="29"/>
  <c r="AC188" i="29" s="1"/>
  <c r="AB243" i="29"/>
  <c r="AC243" i="29" s="1"/>
  <c r="AB125" i="29"/>
  <c r="AC125" i="29" s="1"/>
  <c r="AN18" i="29"/>
  <c r="AB287" i="29"/>
  <c r="AC287" i="29" s="1"/>
  <c r="AB94" i="29"/>
  <c r="AC94" i="29" s="1"/>
  <c r="AB25" i="29"/>
  <c r="AC25" i="29" s="1"/>
  <c r="AB160" i="29"/>
  <c r="AC160" i="29" s="1"/>
  <c r="Q229" i="29"/>
  <c r="AB299" i="29"/>
  <c r="AC299" i="29" s="1"/>
  <c r="AB200" i="29"/>
  <c r="AC200" i="29" s="1"/>
  <c r="AB189" i="29"/>
  <c r="AC189" i="29" s="1"/>
  <c r="AB282" i="29"/>
  <c r="AC282" i="29" s="1"/>
  <c r="AB103" i="29"/>
  <c r="AC103" i="29" s="1"/>
  <c r="AB252" i="29"/>
  <c r="AC252" i="29" s="1"/>
  <c r="AB221" i="29"/>
  <c r="AC221" i="29" s="1"/>
  <c r="Q292" i="29"/>
  <c r="AB184" i="29"/>
  <c r="AC184" i="29" s="1"/>
  <c r="AB171" i="29"/>
  <c r="AC171" i="29" s="1"/>
  <c r="Q58" i="29"/>
  <c r="Q179" i="29"/>
  <c r="AB57" i="29"/>
  <c r="AC57" i="29" s="1"/>
  <c r="Q284" i="29"/>
  <c r="Q124" i="29"/>
  <c r="AB165" i="29"/>
  <c r="AC165" i="29" s="1"/>
  <c r="AB159" i="29"/>
  <c r="AC159" i="29" s="1"/>
  <c r="Z208" i="29"/>
  <c r="AB279" i="29"/>
  <c r="AC279" i="29" s="1"/>
  <c r="AB72" i="29"/>
  <c r="AC72" i="29" s="1"/>
  <c r="AB85" i="29"/>
  <c r="AC85" i="29" s="1"/>
  <c r="AB268" i="29"/>
  <c r="AC268" i="29" s="1"/>
  <c r="Q308" i="29"/>
  <c r="Q239" i="29"/>
  <c r="Q213" i="29"/>
  <c r="Q132" i="29"/>
  <c r="AB218" i="29"/>
  <c r="AC218" i="29" s="1"/>
  <c r="AO18" i="29"/>
  <c r="AB61" i="29"/>
  <c r="AC61" i="29" s="1"/>
  <c r="AB173" i="29"/>
  <c r="AC173" i="29" s="1"/>
  <c r="AB65" i="29"/>
  <c r="AC65" i="29" s="1"/>
  <c r="AM18" i="29"/>
  <c r="AP18" i="29"/>
  <c r="AQ18" i="29"/>
  <c r="AR18" i="29"/>
  <c r="AS18" i="29"/>
  <c r="Q280" i="29"/>
  <c r="AB50" i="29"/>
  <c r="AC50" i="29" s="1"/>
  <c r="AB128" i="29"/>
  <c r="AC128" i="29" s="1"/>
  <c r="AB118" i="29"/>
  <c r="AC118" i="29" s="1"/>
  <c r="AB138" i="29"/>
  <c r="AC138" i="29" s="1"/>
  <c r="AB296" i="29"/>
  <c r="AC296" i="29" s="1"/>
  <c r="AB249" i="29"/>
  <c r="AC249" i="29" s="1"/>
  <c r="AB186" i="29"/>
  <c r="AC186" i="29" s="1"/>
  <c r="AB120" i="29"/>
  <c r="AC120" i="29" s="1"/>
  <c r="AB37" i="29"/>
  <c r="AC37" i="29" s="1"/>
  <c r="AB305" i="29"/>
  <c r="AC305" i="29" s="1"/>
  <c r="AB254" i="29"/>
  <c r="AC254" i="29" s="1"/>
  <c r="AB244" i="29"/>
  <c r="AC244" i="29" s="1"/>
  <c r="AB205" i="29"/>
  <c r="AC205" i="29" s="1"/>
  <c r="Q86" i="29"/>
  <c r="Z253" i="29"/>
  <c r="AB136" i="29"/>
  <c r="AC136" i="29" s="1"/>
  <c r="AB84" i="29"/>
  <c r="AC84" i="29" s="1"/>
  <c r="Q296" i="29"/>
  <c r="Q283" i="29"/>
  <c r="AB290" i="29"/>
  <c r="AC290" i="29" s="1"/>
  <c r="Q226" i="29"/>
  <c r="AB182" i="29"/>
  <c r="AC182" i="29" s="1"/>
  <c r="AB98" i="29"/>
  <c r="AC98" i="29" s="1"/>
  <c r="AB174" i="29"/>
  <c r="AC174" i="29" s="1"/>
  <c r="Q74" i="29"/>
  <c r="Q167" i="29"/>
  <c r="AB207" i="29"/>
  <c r="AC207" i="29" s="1"/>
  <c r="AB150" i="29"/>
  <c r="AC150" i="29" s="1"/>
  <c r="Q262" i="29"/>
  <c r="AB198" i="29"/>
  <c r="AC198" i="29" s="1"/>
  <c r="AB260" i="29"/>
  <c r="AC260" i="29" s="1"/>
  <c r="AB291" i="29"/>
  <c r="AC291" i="29" s="1"/>
  <c r="AB23" i="29"/>
  <c r="AC23" i="29" s="1"/>
  <c r="AB306" i="29"/>
  <c r="AC306" i="29" s="1"/>
  <c r="AB240" i="29"/>
  <c r="AC240" i="29" s="1"/>
  <c r="Q298" i="29"/>
  <c r="AB102" i="29"/>
  <c r="AC102" i="29" s="1"/>
  <c r="Z151" i="29"/>
  <c r="AB62" i="29"/>
  <c r="AC62" i="29" s="1"/>
  <c r="AB36" i="29"/>
  <c r="AC36" i="29" s="1"/>
  <c r="AB45" i="29"/>
  <c r="AC45" i="29" s="1"/>
  <c r="AB209" i="29"/>
  <c r="AC209" i="29" s="1"/>
  <c r="Q289" i="29"/>
  <c r="AB161" i="29"/>
  <c r="AC161" i="29" s="1"/>
  <c r="AB113" i="29"/>
  <c r="AC113" i="29" s="1"/>
  <c r="Q22" i="29"/>
  <c r="Q234" i="29"/>
  <c r="AB20" i="29"/>
  <c r="AC20" i="29" s="1"/>
  <c r="Z94" i="29"/>
  <c r="AB276" i="29"/>
  <c r="AC276" i="29" s="1"/>
  <c r="Q133" i="29"/>
  <c r="AB107" i="29"/>
  <c r="AC107" i="29" s="1"/>
  <c r="Q54" i="29"/>
  <c r="Q312" i="29"/>
  <c r="Z299" i="29"/>
  <c r="AB220" i="29"/>
  <c r="AC220" i="29" s="1"/>
  <c r="AB47" i="29"/>
  <c r="AC47" i="29" s="1"/>
  <c r="Y18" i="29"/>
  <c r="Z18" i="29" s="1"/>
  <c r="AB117" i="29"/>
  <c r="AC117" i="29" s="1"/>
  <c r="AB158" i="29"/>
  <c r="AC158" i="29" s="1"/>
  <c r="AB231" i="29"/>
  <c r="AC231" i="29" s="1"/>
  <c r="Z21" i="29"/>
  <c r="Q24" i="29"/>
  <c r="AB87" i="29"/>
  <c r="AC87" i="29" s="1"/>
  <c r="AB250" i="29"/>
  <c r="AC250" i="29" s="1"/>
  <c r="AB285" i="29"/>
  <c r="AC285" i="29" s="1"/>
  <c r="AT11" i="11"/>
  <c r="E38" i="3"/>
  <c r="AZ11" i="11" s="1"/>
  <c r="AS12" i="11"/>
  <c r="B29" i="3"/>
  <c r="B63" i="3" s="1"/>
  <c r="B64" i="3" s="1"/>
  <c r="B65" i="3" s="1"/>
  <c r="E24" i="3"/>
  <c r="F30" i="3"/>
  <c r="G30" i="3" s="1"/>
  <c r="B116" i="5"/>
  <c r="D116" i="5"/>
  <c r="D113" i="5"/>
  <c r="B113" i="5"/>
  <c r="AV11" i="11"/>
  <c r="P10" i="30"/>
  <c r="P13" i="30"/>
  <c r="AV6" i="11"/>
  <c r="AS11" i="11"/>
  <c r="D23" i="5"/>
  <c r="BH11" i="11"/>
  <c r="B24" i="3"/>
  <c r="AW8" i="11"/>
  <c r="B22" i="6"/>
  <c r="F27" i="3"/>
  <c r="AZ9" i="11"/>
  <c r="B19" i="6"/>
  <c r="D22" i="6"/>
  <c r="AW9" i="11"/>
  <c r="BE11" i="11"/>
  <c r="F25" i="3"/>
  <c r="D20" i="6"/>
  <c r="D19" i="6" s="1"/>
  <c r="B21" i="5"/>
  <c r="B7" i="5" s="1"/>
  <c r="B63" i="5" s="1"/>
  <c r="D22" i="5"/>
  <c r="D21" i="5" s="1"/>
  <c r="D7" i="5" s="1"/>
  <c r="D63" i="5" s="1"/>
  <c r="D13" i="6"/>
  <c r="BC18" i="29" l="1"/>
  <c r="AZ7" i="11"/>
  <c r="AT7" i="11"/>
  <c r="CF248" i="29"/>
  <c r="CG248" i="29"/>
  <c r="CH248" i="29"/>
  <c r="CL248" i="29" s="1"/>
  <c r="CI248" i="29"/>
  <c r="CM248" i="29" s="1"/>
  <c r="CF117" i="29"/>
  <c r="CJ117" i="29" s="1"/>
  <c r="CG117" i="29"/>
  <c r="CK117" i="29" s="1"/>
  <c r="CH117" i="29"/>
  <c r="CL117" i="29" s="1"/>
  <c r="CI117" i="29"/>
  <c r="CM117" i="29" s="1"/>
  <c r="CI35" i="29"/>
  <c r="CM35" i="29" s="1"/>
  <c r="CF35" i="29"/>
  <c r="CJ35" i="29" s="1"/>
  <c r="CG35" i="29"/>
  <c r="CK35" i="29" s="1"/>
  <c r="CH35" i="29"/>
  <c r="CL35" i="29" s="1"/>
  <c r="CF234" i="29"/>
  <c r="CJ234" i="29" s="1"/>
  <c r="CG234" i="29"/>
  <c r="CK234" i="29" s="1"/>
  <c r="CH234" i="29"/>
  <c r="CL234" i="29" s="1"/>
  <c r="CI234" i="29"/>
  <c r="CM234" i="29" s="1"/>
  <c r="CF190" i="29"/>
  <c r="CJ190" i="29" s="1"/>
  <c r="CG190" i="29"/>
  <c r="CK190" i="29" s="1"/>
  <c r="CH190" i="29"/>
  <c r="CL190" i="29" s="1"/>
  <c r="CI190" i="29"/>
  <c r="CM190" i="29" s="1"/>
  <c r="CF131" i="29"/>
  <c r="CG131" i="29"/>
  <c r="CH131" i="29"/>
  <c r="CL131" i="29" s="1"/>
  <c r="CI131" i="29"/>
  <c r="CM131" i="29" s="1"/>
  <c r="CF69" i="29"/>
  <c r="CI69" i="29"/>
  <c r="CM69" i="29" s="1"/>
  <c r="CG69" i="29"/>
  <c r="CK69" i="29" s="1"/>
  <c r="CH69" i="29"/>
  <c r="CL69" i="29" s="1"/>
  <c r="CF308" i="29"/>
  <c r="CJ308" i="29" s="1"/>
  <c r="CG308" i="29"/>
  <c r="CK308" i="29" s="1"/>
  <c r="CH308" i="29"/>
  <c r="CL308" i="29" s="1"/>
  <c r="CI308" i="29"/>
  <c r="CM308" i="29" s="1"/>
  <c r="CF228" i="29"/>
  <c r="CJ228" i="29" s="1"/>
  <c r="CG228" i="29"/>
  <c r="CK228" i="29" s="1"/>
  <c r="CH228" i="29"/>
  <c r="CL228" i="29" s="1"/>
  <c r="CI228" i="29"/>
  <c r="CM228" i="29" s="1"/>
  <c r="CF144" i="29"/>
  <c r="CJ144" i="29" s="1"/>
  <c r="CG144" i="29"/>
  <c r="CK144" i="29" s="1"/>
  <c r="CH144" i="29"/>
  <c r="CL144" i="29" s="1"/>
  <c r="CI144" i="29"/>
  <c r="CM144" i="29" s="1"/>
  <c r="CI65" i="29"/>
  <c r="CF65" i="29"/>
  <c r="CJ65" i="29" s="1"/>
  <c r="CG65" i="29"/>
  <c r="CK65" i="29" s="1"/>
  <c r="CH65" i="29"/>
  <c r="CL65" i="29" s="1"/>
  <c r="CF303" i="29"/>
  <c r="CJ303" i="29" s="1"/>
  <c r="CG303" i="29"/>
  <c r="CK303" i="29" s="1"/>
  <c r="CH303" i="29"/>
  <c r="CL303" i="29" s="1"/>
  <c r="CI303" i="29"/>
  <c r="CM303" i="29" s="1"/>
  <c r="CF223" i="29"/>
  <c r="CJ223" i="29" s="1"/>
  <c r="CG223" i="29"/>
  <c r="CK223" i="29" s="1"/>
  <c r="CH223" i="29"/>
  <c r="CL223" i="29" s="1"/>
  <c r="CI223" i="29"/>
  <c r="CM223" i="29" s="1"/>
  <c r="CF158" i="29"/>
  <c r="CJ158" i="29" s="1"/>
  <c r="CG158" i="29"/>
  <c r="CK158" i="29" s="1"/>
  <c r="CH158" i="29"/>
  <c r="CL158" i="29" s="1"/>
  <c r="CI158" i="29"/>
  <c r="CM158" i="29" s="1"/>
  <c r="CI100" i="29"/>
  <c r="CM100" i="29" s="1"/>
  <c r="CF100" i="29"/>
  <c r="CJ100" i="29" s="1"/>
  <c r="CG100" i="29"/>
  <c r="CK100" i="29" s="1"/>
  <c r="CH100" i="29"/>
  <c r="CL100" i="29" s="1"/>
  <c r="CF218" i="29"/>
  <c r="CG218" i="29"/>
  <c r="CK218" i="29" s="1"/>
  <c r="CH218" i="29"/>
  <c r="CL218" i="29" s="1"/>
  <c r="CI218" i="29"/>
  <c r="CM218" i="29" s="1"/>
  <c r="CF214" i="29"/>
  <c r="CJ214" i="29" s="1"/>
  <c r="CG214" i="29"/>
  <c r="CK214" i="29" s="1"/>
  <c r="CH214" i="29"/>
  <c r="CL214" i="29" s="1"/>
  <c r="CI214" i="29"/>
  <c r="CM214" i="29" s="1"/>
  <c r="CF169" i="29"/>
  <c r="CJ169" i="29" s="1"/>
  <c r="CG169" i="29"/>
  <c r="CK169" i="29" s="1"/>
  <c r="CH169" i="29"/>
  <c r="CL169" i="29" s="1"/>
  <c r="CI169" i="29"/>
  <c r="CM169" i="29" s="1"/>
  <c r="CF112" i="29"/>
  <c r="CJ112" i="29" s="1"/>
  <c r="CG112" i="29"/>
  <c r="CK112" i="29" s="1"/>
  <c r="CH112" i="29"/>
  <c r="CL112" i="29" s="1"/>
  <c r="CI112" i="29"/>
  <c r="CM112" i="29" s="1"/>
  <c r="CI50" i="29"/>
  <c r="CM50" i="29" s="1"/>
  <c r="CF50" i="29"/>
  <c r="CJ50" i="29" s="1"/>
  <c r="CG50" i="29"/>
  <c r="CK50" i="29" s="1"/>
  <c r="CH50" i="29"/>
  <c r="CL50" i="29" s="1"/>
  <c r="CF286" i="29"/>
  <c r="CG286" i="29"/>
  <c r="CK286" i="29" s="1"/>
  <c r="CH286" i="29"/>
  <c r="CL286" i="29" s="1"/>
  <c r="CI286" i="29"/>
  <c r="CM286" i="29" s="1"/>
  <c r="CF207" i="29"/>
  <c r="CJ207" i="29" s="1"/>
  <c r="CG207" i="29"/>
  <c r="CK207" i="29" s="1"/>
  <c r="CH207" i="29"/>
  <c r="CL207" i="29" s="1"/>
  <c r="CI207" i="29"/>
  <c r="CM207" i="29" s="1"/>
  <c r="CF127" i="29"/>
  <c r="CJ127" i="29" s="1"/>
  <c r="CG127" i="29"/>
  <c r="CK127" i="29" s="1"/>
  <c r="CH127" i="29"/>
  <c r="CL127" i="29" s="1"/>
  <c r="CI127" i="29"/>
  <c r="CM127" i="29" s="1"/>
  <c r="CI46" i="29"/>
  <c r="CM46" i="29" s="1"/>
  <c r="CF46" i="29"/>
  <c r="CJ46" i="29" s="1"/>
  <c r="CG46" i="29"/>
  <c r="CK46" i="29" s="1"/>
  <c r="CH46" i="29"/>
  <c r="CL46" i="29" s="1"/>
  <c r="CF281" i="29"/>
  <c r="CJ281" i="29" s="1"/>
  <c r="CG281" i="29"/>
  <c r="CK281" i="29" s="1"/>
  <c r="CH281" i="29"/>
  <c r="CL281" i="29" s="1"/>
  <c r="CI281" i="29"/>
  <c r="CM281" i="29" s="1"/>
  <c r="CF203" i="29"/>
  <c r="CJ203" i="29" s="1"/>
  <c r="CG203" i="29"/>
  <c r="CK203" i="29" s="1"/>
  <c r="CH203" i="29"/>
  <c r="CL203" i="29" s="1"/>
  <c r="CI203" i="29"/>
  <c r="CM203" i="29" s="1"/>
  <c r="CF136" i="29"/>
  <c r="CJ136" i="29" s="1"/>
  <c r="CG136" i="29"/>
  <c r="CK136" i="29" s="1"/>
  <c r="CH136" i="29"/>
  <c r="CL136" i="29" s="1"/>
  <c r="CI136" i="29"/>
  <c r="CM136" i="29" s="1"/>
  <c r="CI79" i="29"/>
  <c r="CM79" i="29" s="1"/>
  <c r="CF79" i="29"/>
  <c r="CJ79" i="29" s="1"/>
  <c r="CG79" i="29"/>
  <c r="CK79" i="29" s="1"/>
  <c r="CH79" i="29"/>
  <c r="CL79" i="29" s="1"/>
  <c r="CI55" i="29"/>
  <c r="CM55" i="29" s="1"/>
  <c r="CF55" i="29"/>
  <c r="CJ55" i="29" s="1"/>
  <c r="CG55" i="29"/>
  <c r="CK55" i="29" s="1"/>
  <c r="CH55" i="29"/>
  <c r="CL55" i="29" s="1"/>
  <c r="CF75" i="29"/>
  <c r="CJ75" i="29" s="1"/>
  <c r="CG75" i="29"/>
  <c r="CK75" i="29" s="1"/>
  <c r="CH75" i="29"/>
  <c r="CL75" i="29" s="1"/>
  <c r="CI75" i="29"/>
  <c r="CM75" i="29" s="1"/>
  <c r="CF293" i="29"/>
  <c r="CG293" i="29"/>
  <c r="CH293" i="29"/>
  <c r="CL293" i="29" s="1"/>
  <c r="CI293" i="29"/>
  <c r="CM293" i="29" s="1"/>
  <c r="CF191" i="29"/>
  <c r="CJ191" i="29" s="1"/>
  <c r="CG191" i="29"/>
  <c r="CK191" i="29" s="1"/>
  <c r="CH191" i="29"/>
  <c r="CL191" i="29" s="1"/>
  <c r="CI191" i="29"/>
  <c r="CM191" i="29" s="1"/>
  <c r="CF151" i="29"/>
  <c r="CJ151" i="29" s="1"/>
  <c r="CG151" i="29"/>
  <c r="CK151" i="29" s="1"/>
  <c r="CH151" i="29"/>
  <c r="CL151" i="29" s="1"/>
  <c r="CI151" i="29"/>
  <c r="CM151" i="29" s="1"/>
  <c r="CF90" i="29"/>
  <c r="CJ90" i="29" s="1"/>
  <c r="CG90" i="29"/>
  <c r="CK90" i="29" s="1"/>
  <c r="CH90" i="29"/>
  <c r="CL90" i="29" s="1"/>
  <c r="CI90" i="29"/>
  <c r="CM90" i="29" s="1"/>
  <c r="CI30" i="29"/>
  <c r="CM30" i="29" s="1"/>
  <c r="CF30" i="29"/>
  <c r="CJ30" i="29" s="1"/>
  <c r="CG30" i="29"/>
  <c r="CK30" i="29" s="1"/>
  <c r="CH30" i="29"/>
  <c r="CL30" i="29" s="1"/>
  <c r="CF253" i="29"/>
  <c r="CG253" i="29"/>
  <c r="CK253" i="29" s="1"/>
  <c r="CH253" i="29"/>
  <c r="CL253" i="29" s="1"/>
  <c r="CI253" i="29"/>
  <c r="CM253" i="29" s="1"/>
  <c r="CF184" i="29"/>
  <c r="CJ184" i="29" s="1"/>
  <c r="CG184" i="29"/>
  <c r="CH184" i="29"/>
  <c r="CL184" i="29" s="1"/>
  <c r="CI184" i="29"/>
  <c r="CM184" i="29" s="1"/>
  <c r="CF107" i="29"/>
  <c r="CJ107" i="29" s="1"/>
  <c r="CG107" i="29"/>
  <c r="CK107" i="29" s="1"/>
  <c r="CH107" i="29"/>
  <c r="CL107" i="29" s="1"/>
  <c r="CI107" i="29"/>
  <c r="CM107" i="29" s="1"/>
  <c r="CI26" i="29"/>
  <c r="CM26" i="29" s="1"/>
  <c r="CF26" i="29"/>
  <c r="CJ26" i="29" s="1"/>
  <c r="CG26" i="29"/>
  <c r="CK26" i="29" s="1"/>
  <c r="CH26" i="29"/>
  <c r="CL26" i="29" s="1"/>
  <c r="CF265" i="29"/>
  <c r="CJ265" i="29" s="1"/>
  <c r="CG265" i="29"/>
  <c r="CK265" i="29" s="1"/>
  <c r="CH265" i="29"/>
  <c r="CL265" i="29" s="1"/>
  <c r="CI265" i="29"/>
  <c r="CM265" i="29" s="1"/>
  <c r="CF179" i="29"/>
  <c r="CG179" i="29"/>
  <c r="CK179" i="29" s="1"/>
  <c r="CH179" i="29"/>
  <c r="CL179" i="29" s="1"/>
  <c r="CI179" i="29"/>
  <c r="CM179" i="29" s="1"/>
  <c r="CF122" i="29"/>
  <c r="CJ122" i="29" s="1"/>
  <c r="CG122" i="29"/>
  <c r="CK122" i="29" s="1"/>
  <c r="CH122" i="29"/>
  <c r="CL122" i="29" s="1"/>
  <c r="CI122" i="29"/>
  <c r="CM122" i="29" s="1"/>
  <c r="CF59" i="29"/>
  <c r="CJ59" i="29" s="1"/>
  <c r="CG59" i="29"/>
  <c r="CK59" i="29" s="1"/>
  <c r="CI59" i="29"/>
  <c r="CM59" i="29" s="1"/>
  <c r="CH59" i="29"/>
  <c r="CL59" i="29" s="1"/>
  <c r="CF163" i="29"/>
  <c r="CJ163" i="29" s="1"/>
  <c r="CG163" i="29"/>
  <c r="CK163" i="29" s="1"/>
  <c r="CH163" i="29"/>
  <c r="CL163" i="29" s="1"/>
  <c r="CI163" i="29"/>
  <c r="CM163" i="29" s="1"/>
  <c r="CF45" i="29"/>
  <c r="CJ45" i="29" s="1"/>
  <c r="CG45" i="29"/>
  <c r="CK45" i="29" s="1"/>
  <c r="CH45" i="29"/>
  <c r="CL45" i="29" s="1"/>
  <c r="CI45" i="29"/>
  <c r="CM45" i="29" s="1"/>
  <c r="CF273" i="29"/>
  <c r="CG273" i="29"/>
  <c r="CK273" i="29" s="1"/>
  <c r="CH273" i="29"/>
  <c r="CL273" i="29" s="1"/>
  <c r="CI273" i="29"/>
  <c r="CM273" i="29" s="1"/>
  <c r="CF170" i="29"/>
  <c r="CJ170" i="29" s="1"/>
  <c r="CG170" i="29"/>
  <c r="CK170" i="29" s="1"/>
  <c r="CH170" i="29"/>
  <c r="CL170" i="29" s="1"/>
  <c r="CI170" i="29"/>
  <c r="CM170" i="29" s="1"/>
  <c r="CF132" i="29"/>
  <c r="CJ132" i="29" s="1"/>
  <c r="CG132" i="29"/>
  <c r="CK132" i="29" s="1"/>
  <c r="CH132" i="29"/>
  <c r="CL132" i="29" s="1"/>
  <c r="CI132" i="29"/>
  <c r="CM132" i="29" s="1"/>
  <c r="CF70" i="29"/>
  <c r="CJ70" i="29" s="1"/>
  <c r="CG70" i="29"/>
  <c r="CK70" i="29" s="1"/>
  <c r="CH70" i="29"/>
  <c r="CL70" i="29" s="1"/>
  <c r="CI70" i="29"/>
  <c r="CM70" i="29" s="1"/>
  <c r="CF137" i="29"/>
  <c r="CJ137" i="29" s="1"/>
  <c r="CG137" i="29"/>
  <c r="CK137" i="29" s="1"/>
  <c r="CH137" i="29"/>
  <c r="CL137" i="29" s="1"/>
  <c r="CI137" i="29"/>
  <c r="CM137" i="29" s="1"/>
  <c r="CF249" i="29"/>
  <c r="CG249" i="29"/>
  <c r="CH249" i="29"/>
  <c r="CL249" i="29" s="1"/>
  <c r="CI249" i="29"/>
  <c r="CM249" i="29" s="1"/>
  <c r="CF164" i="29"/>
  <c r="CJ164" i="29" s="1"/>
  <c r="CG164" i="29"/>
  <c r="CK164" i="29" s="1"/>
  <c r="CH164" i="29"/>
  <c r="CL164" i="29" s="1"/>
  <c r="CI164" i="29"/>
  <c r="CM164" i="29" s="1"/>
  <c r="CF85" i="29"/>
  <c r="CJ85" i="29" s="1"/>
  <c r="CG85" i="29"/>
  <c r="CK85" i="29" s="1"/>
  <c r="CH85" i="29"/>
  <c r="CL85" i="29" s="1"/>
  <c r="CI85" i="29"/>
  <c r="CM85" i="29" s="1"/>
  <c r="CF304" i="29"/>
  <c r="CJ304" i="29" s="1"/>
  <c r="CG304" i="29"/>
  <c r="CK304" i="29" s="1"/>
  <c r="CH304" i="29"/>
  <c r="CL304" i="29" s="1"/>
  <c r="CI304" i="29"/>
  <c r="CM304" i="29" s="1"/>
  <c r="CF243" i="29"/>
  <c r="CJ243" i="29" s="1"/>
  <c r="CG243" i="29"/>
  <c r="CK243" i="29" s="1"/>
  <c r="CH243" i="29"/>
  <c r="CL243" i="29" s="1"/>
  <c r="CI243" i="29"/>
  <c r="CM243" i="29" s="1"/>
  <c r="CF159" i="29"/>
  <c r="CG159" i="29"/>
  <c r="CH159" i="29"/>
  <c r="CI159" i="29"/>
  <c r="CM159" i="29" s="1"/>
  <c r="CF102" i="29"/>
  <c r="CJ102" i="29" s="1"/>
  <c r="CG102" i="29"/>
  <c r="CK102" i="29" s="1"/>
  <c r="CH102" i="29"/>
  <c r="CL102" i="29" s="1"/>
  <c r="CI102" i="29"/>
  <c r="CM102" i="29" s="1"/>
  <c r="CF40" i="29"/>
  <c r="CJ40" i="29" s="1"/>
  <c r="CG40" i="29"/>
  <c r="CK40" i="29" s="1"/>
  <c r="CH40" i="29"/>
  <c r="CL40" i="29" s="1"/>
  <c r="CI40" i="29"/>
  <c r="CM40" i="29" s="1"/>
  <c r="CF242" i="29"/>
  <c r="CJ242" i="29" s="1"/>
  <c r="CG242" i="29"/>
  <c r="CK242" i="29" s="1"/>
  <c r="CH242" i="29"/>
  <c r="CL242" i="29" s="1"/>
  <c r="CI242" i="29"/>
  <c r="CM242" i="29" s="1"/>
  <c r="CF36" i="29"/>
  <c r="CJ36" i="29" s="1"/>
  <c r="CG36" i="29"/>
  <c r="CK36" i="29" s="1"/>
  <c r="CH36" i="29"/>
  <c r="CL36" i="29" s="1"/>
  <c r="CI36" i="29"/>
  <c r="CM36" i="29" s="1"/>
  <c r="CF256" i="29"/>
  <c r="CJ256" i="29" s="1"/>
  <c r="CG256" i="29"/>
  <c r="CK256" i="29" s="1"/>
  <c r="CH256" i="29"/>
  <c r="CL256" i="29" s="1"/>
  <c r="CI256" i="29"/>
  <c r="CM256" i="29" s="1"/>
  <c r="CF152" i="29"/>
  <c r="CJ152" i="29" s="1"/>
  <c r="CG152" i="29"/>
  <c r="CK152" i="29" s="1"/>
  <c r="CH152" i="29"/>
  <c r="CL152" i="29" s="1"/>
  <c r="CI152" i="29"/>
  <c r="CM152" i="29" s="1"/>
  <c r="CF113" i="29"/>
  <c r="CJ113" i="29" s="1"/>
  <c r="CG113" i="29"/>
  <c r="CK113" i="29" s="1"/>
  <c r="CH113" i="29"/>
  <c r="CL113" i="29" s="1"/>
  <c r="CI113" i="29"/>
  <c r="CM113" i="29" s="1"/>
  <c r="CF51" i="29"/>
  <c r="CJ51" i="29" s="1"/>
  <c r="CG51" i="29"/>
  <c r="CK51" i="29" s="1"/>
  <c r="CH51" i="29"/>
  <c r="CL51" i="29" s="1"/>
  <c r="CI51" i="29"/>
  <c r="CM51" i="29" s="1"/>
  <c r="CF238" i="29"/>
  <c r="CJ238" i="29" s="1"/>
  <c r="CG238" i="29"/>
  <c r="CK238" i="29" s="1"/>
  <c r="CH238" i="29"/>
  <c r="CL238" i="29" s="1"/>
  <c r="CI238" i="29"/>
  <c r="CM238" i="29" s="1"/>
  <c r="CF229" i="29"/>
  <c r="CG229" i="29"/>
  <c r="CH229" i="29"/>
  <c r="CI229" i="29"/>
  <c r="CM229" i="29" s="1"/>
  <c r="CF145" i="29"/>
  <c r="CJ145" i="29" s="1"/>
  <c r="CG145" i="29"/>
  <c r="CK145" i="29" s="1"/>
  <c r="CH145" i="29"/>
  <c r="CL145" i="29" s="1"/>
  <c r="CI145" i="29"/>
  <c r="CM145" i="29" s="1"/>
  <c r="CF66" i="29"/>
  <c r="CJ66" i="29" s="1"/>
  <c r="CG66" i="29"/>
  <c r="CK66" i="29" s="1"/>
  <c r="CH66" i="29"/>
  <c r="CL66" i="29" s="1"/>
  <c r="CI66" i="29"/>
  <c r="CM66" i="29" s="1"/>
  <c r="CF282" i="29"/>
  <c r="CJ282" i="29" s="1"/>
  <c r="CG282" i="29"/>
  <c r="CK282" i="29" s="1"/>
  <c r="CH282" i="29"/>
  <c r="CL282" i="29" s="1"/>
  <c r="CI282" i="29"/>
  <c r="CM282" i="29" s="1"/>
  <c r="CF210" i="29"/>
  <c r="CJ210" i="29" s="1"/>
  <c r="CG210" i="29"/>
  <c r="CK210" i="29" s="1"/>
  <c r="CH210" i="29"/>
  <c r="CL210" i="29" s="1"/>
  <c r="CI210" i="29"/>
  <c r="CM210" i="29" s="1"/>
  <c r="CF140" i="29"/>
  <c r="CG140" i="29"/>
  <c r="CK140" i="29" s="1"/>
  <c r="CH140" i="29"/>
  <c r="CI140" i="29"/>
  <c r="CM140" i="29" s="1"/>
  <c r="CF80" i="29"/>
  <c r="CJ80" i="29" s="1"/>
  <c r="CG80" i="29"/>
  <c r="CK80" i="29" s="1"/>
  <c r="CH80" i="29"/>
  <c r="CL80" i="29" s="1"/>
  <c r="CI80" i="29"/>
  <c r="CM80" i="29" s="1"/>
  <c r="CF198" i="29"/>
  <c r="CJ198" i="29" s="1"/>
  <c r="CG198" i="29"/>
  <c r="CK198" i="29" s="1"/>
  <c r="CH198" i="29"/>
  <c r="CL198" i="29" s="1"/>
  <c r="CI198" i="29"/>
  <c r="CM198" i="29" s="1"/>
  <c r="CF255" i="29"/>
  <c r="CJ255" i="29" s="1"/>
  <c r="CG255" i="29"/>
  <c r="CK255" i="29" s="1"/>
  <c r="CH255" i="29"/>
  <c r="CL255" i="29" s="1"/>
  <c r="CI255" i="29"/>
  <c r="CM255" i="29" s="1"/>
  <c r="CF175" i="29"/>
  <c r="CJ175" i="29" s="1"/>
  <c r="CG175" i="29"/>
  <c r="CK175" i="29" s="1"/>
  <c r="CH175" i="29"/>
  <c r="CL175" i="29" s="1"/>
  <c r="CI175" i="29"/>
  <c r="CM175" i="29" s="1"/>
  <c r="CF235" i="29"/>
  <c r="CG235" i="29"/>
  <c r="CK235" i="29" s="1"/>
  <c r="CH235" i="29"/>
  <c r="CL235" i="29" s="1"/>
  <c r="CI235" i="29"/>
  <c r="CM235" i="29" s="1"/>
  <c r="CF99" i="29"/>
  <c r="CJ99" i="29" s="1"/>
  <c r="CG99" i="29"/>
  <c r="CK99" i="29" s="1"/>
  <c r="CH99" i="29"/>
  <c r="CL99" i="29" s="1"/>
  <c r="CI99" i="29"/>
  <c r="CM99" i="29" s="1"/>
  <c r="CF91" i="29"/>
  <c r="CJ91" i="29" s="1"/>
  <c r="CG91" i="29"/>
  <c r="CK91" i="29" s="1"/>
  <c r="CH91" i="29"/>
  <c r="CL91" i="29" s="1"/>
  <c r="CI91" i="29"/>
  <c r="CM91" i="29" s="1"/>
  <c r="CF31" i="29"/>
  <c r="CJ31" i="29" s="1"/>
  <c r="CG31" i="29"/>
  <c r="CK31" i="29" s="1"/>
  <c r="CH31" i="29"/>
  <c r="CL31" i="29" s="1"/>
  <c r="CI31" i="29"/>
  <c r="CM31" i="29" s="1"/>
  <c r="CF309" i="29"/>
  <c r="CJ309" i="29" s="1"/>
  <c r="CG309" i="29"/>
  <c r="CK309" i="29" s="1"/>
  <c r="CH309" i="29"/>
  <c r="CL309" i="29" s="1"/>
  <c r="CI309" i="29"/>
  <c r="CM309" i="29" s="1"/>
  <c r="CF208" i="29"/>
  <c r="CJ208" i="29" s="1"/>
  <c r="CG208" i="29"/>
  <c r="CK208" i="29" s="1"/>
  <c r="CH208" i="29"/>
  <c r="CL208" i="29" s="1"/>
  <c r="CI208" i="29"/>
  <c r="CM208" i="29" s="1"/>
  <c r="CF128" i="29"/>
  <c r="CJ128" i="29" s="1"/>
  <c r="CG128" i="29"/>
  <c r="CK128" i="29" s="1"/>
  <c r="CH128" i="29"/>
  <c r="CL128" i="29" s="1"/>
  <c r="CI128" i="29"/>
  <c r="CM128" i="29" s="1"/>
  <c r="CF47" i="29"/>
  <c r="CJ47" i="29" s="1"/>
  <c r="CG47" i="29"/>
  <c r="CK47" i="29" s="1"/>
  <c r="CH47" i="29"/>
  <c r="CL47" i="29" s="1"/>
  <c r="CI47" i="29"/>
  <c r="CM47" i="29" s="1"/>
  <c r="CF266" i="29"/>
  <c r="CJ266" i="29" s="1"/>
  <c r="CG266" i="29"/>
  <c r="CK266" i="29" s="1"/>
  <c r="CH266" i="29"/>
  <c r="CL266" i="29" s="1"/>
  <c r="CI266" i="29"/>
  <c r="CM266" i="29" s="1"/>
  <c r="CF195" i="29"/>
  <c r="CJ195" i="29" s="1"/>
  <c r="CG195" i="29"/>
  <c r="CK195" i="29" s="1"/>
  <c r="CH195" i="29"/>
  <c r="CL195" i="29" s="1"/>
  <c r="CI195" i="29"/>
  <c r="CM195" i="29" s="1"/>
  <c r="CF123" i="29"/>
  <c r="CG123" i="29"/>
  <c r="CH123" i="29"/>
  <c r="CI123" i="29"/>
  <c r="CM123" i="29" s="1"/>
  <c r="CF60" i="29"/>
  <c r="CJ60" i="29" s="1"/>
  <c r="CG60" i="29"/>
  <c r="CK60" i="29" s="1"/>
  <c r="CH60" i="29"/>
  <c r="CL60" i="29" s="1"/>
  <c r="CI60" i="29"/>
  <c r="CM60" i="29" s="1"/>
  <c r="CF299" i="29"/>
  <c r="CJ299" i="29" s="1"/>
  <c r="CG299" i="29"/>
  <c r="CK299" i="29" s="1"/>
  <c r="CH299" i="29"/>
  <c r="CL299" i="29" s="1"/>
  <c r="CI299" i="29"/>
  <c r="CM299" i="29" s="1"/>
  <c r="CF95" i="29"/>
  <c r="CJ95" i="29" s="1"/>
  <c r="CG95" i="29"/>
  <c r="CK95" i="29" s="1"/>
  <c r="CH95" i="29"/>
  <c r="CL95" i="29" s="1"/>
  <c r="CI95" i="29"/>
  <c r="CM95" i="29" s="1"/>
  <c r="CF57" i="29"/>
  <c r="CJ57" i="29" s="1"/>
  <c r="CG57" i="29"/>
  <c r="CK57" i="29" s="1"/>
  <c r="CH57" i="29"/>
  <c r="CL57" i="29" s="1"/>
  <c r="CI57" i="29"/>
  <c r="CM57" i="29" s="1"/>
  <c r="CF156" i="29"/>
  <c r="CJ156" i="29" s="1"/>
  <c r="CG156" i="29"/>
  <c r="CH156" i="29"/>
  <c r="CL156" i="29" s="1"/>
  <c r="CI156" i="29"/>
  <c r="CM156" i="29" s="1"/>
  <c r="CF215" i="29"/>
  <c r="CJ215" i="29" s="1"/>
  <c r="CG215" i="29"/>
  <c r="CK215" i="29" s="1"/>
  <c r="CH215" i="29"/>
  <c r="CL215" i="29" s="1"/>
  <c r="CI215" i="29"/>
  <c r="CM215" i="29" s="1"/>
  <c r="CF114" i="29"/>
  <c r="CJ114" i="29" s="1"/>
  <c r="CG114" i="29"/>
  <c r="CK114" i="29" s="1"/>
  <c r="CH114" i="29"/>
  <c r="CL114" i="29" s="1"/>
  <c r="CI114" i="29"/>
  <c r="CM114" i="29" s="1"/>
  <c r="CF71" i="29"/>
  <c r="CJ71" i="29" s="1"/>
  <c r="CG71" i="29"/>
  <c r="CK71" i="29" s="1"/>
  <c r="CH71" i="29"/>
  <c r="CL71" i="29" s="1"/>
  <c r="CI71" i="29"/>
  <c r="CM71" i="29" s="1"/>
  <c r="CF157" i="29"/>
  <c r="CJ157" i="29" s="1"/>
  <c r="CG157" i="29"/>
  <c r="CK157" i="29" s="1"/>
  <c r="CH157" i="29"/>
  <c r="CL157" i="29" s="1"/>
  <c r="CI157" i="29"/>
  <c r="CM157" i="29" s="1"/>
  <c r="CF287" i="29"/>
  <c r="CG287" i="29"/>
  <c r="CK287" i="29" s="1"/>
  <c r="CH287" i="29"/>
  <c r="CL287" i="29" s="1"/>
  <c r="CI287" i="29"/>
  <c r="CM287" i="29" s="1"/>
  <c r="CF185" i="29"/>
  <c r="CJ185" i="29" s="1"/>
  <c r="CG185" i="29"/>
  <c r="CK185" i="29" s="1"/>
  <c r="CH185" i="29"/>
  <c r="CL185" i="29" s="1"/>
  <c r="CI185" i="29"/>
  <c r="CM185" i="29" s="1"/>
  <c r="CF108" i="29"/>
  <c r="CJ108" i="29" s="1"/>
  <c r="CG108" i="29"/>
  <c r="CK108" i="29" s="1"/>
  <c r="CH108" i="29"/>
  <c r="CL108" i="29" s="1"/>
  <c r="CI108" i="29"/>
  <c r="CM108" i="29" s="1"/>
  <c r="CF20" i="29"/>
  <c r="CJ20" i="29" s="1"/>
  <c r="CG20" i="29"/>
  <c r="CK20" i="29" s="1"/>
  <c r="CH20" i="29"/>
  <c r="CL20" i="29" s="1"/>
  <c r="CI20" i="29"/>
  <c r="CM20" i="29" s="1"/>
  <c r="CF245" i="29"/>
  <c r="CJ245" i="29" s="1"/>
  <c r="CG245" i="29"/>
  <c r="CK245" i="29" s="1"/>
  <c r="CH245" i="29"/>
  <c r="CL245" i="29" s="1"/>
  <c r="CI245" i="29"/>
  <c r="CM245" i="29" s="1"/>
  <c r="CF180" i="29"/>
  <c r="CG180" i="29"/>
  <c r="CH180" i="29"/>
  <c r="CI180" i="29"/>
  <c r="CM180" i="29" s="1"/>
  <c r="CF103" i="29"/>
  <c r="CJ103" i="29" s="1"/>
  <c r="CG103" i="29"/>
  <c r="CK103" i="29" s="1"/>
  <c r="CH103" i="29"/>
  <c r="CL103" i="29" s="1"/>
  <c r="CI103" i="29"/>
  <c r="CM103" i="29" s="1"/>
  <c r="CF41" i="29"/>
  <c r="CJ41" i="29" s="1"/>
  <c r="CG41" i="29"/>
  <c r="CK41" i="29" s="1"/>
  <c r="CH41" i="29"/>
  <c r="CL41" i="29" s="1"/>
  <c r="CI41" i="29"/>
  <c r="CM41" i="29" s="1"/>
  <c r="CF278" i="29"/>
  <c r="CJ278" i="29" s="1"/>
  <c r="CG278" i="29"/>
  <c r="CK278" i="29" s="1"/>
  <c r="CH278" i="29"/>
  <c r="CL278" i="29" s="1"/>
  <c r="CI278" i="29"/>
  <c r="CM278" i="29" s="1"/>
  <c r="CI295" i="29"/>
  <c r="CM295" i="29" s="1"/>
  <c r="CF295" i="29"/>
  <c r="CJ295" i="29" s="1"/>
  <c r="CG295" i="29"/>
  <c r="CK295" i="29" s="1"/>
  <c r="CH295" i="29"/>
  <c r="CL295" i="29" s="1"/>
  <c r="CF92" i="29"/>
  <c r="CG92" i="29"/>
  <c r="CK92" i="29" s="1"/>
  <c r="CH92" i="29"/>
  <c r="CL92" i="29" s="1"/>
  <c r="CI92" i="29"/>
  <c r="CM92" i="29" s="1"/>
  <c r="CF52" i="29"/>
  <c r="CJ52" i="29" s="1"/>
  <c r="CG52" i="29"/>
  <c r="CH52" i="29"/>
  <c r="CL52" i="29" s="1"/>
  <c r="CI52" i="29"/>
  <c r="CM52" i="29" s="1"/>
  <c r="CF297" i="29"/>
  <c r="CJ297" i="29" s="1"/>
  <c r="CG297" i="29"/>
  <c r="CK297" i="29" s="1"/>
  <c r="CH297" i="29"/>
  <c r="CL297" i="29" s="1"/>
  <c r="CI297" i="29"/>
  <c r="CM297" i="29" s="1"/>
  <c r="CF268" i="29"/>
  <c r="CJ268" i="29" s="1"/>
  <c r="CG268" i="29"/>
  <c r="CK268" i="29" s="1"/>
  <c r="CH268" i="29"/>
  <c r="CL268" i="29" s="1"/>
  <c r="CI268" i="29"/>
  <c r="CM268" i="29" s="1"/>
  <c r="CF165" i="29"/>
  <c r="CJ165" i="29" s="1"/>
  <c r="CG165" i="29"/>
  <c r="CK165" i="29" s="1"/>
  <c r="CH165" i="29"/>
  <c r="CL165" i="29" s="1"/>
  <c r="CI165" i="29"/>
  <c r="CM165" i="29" s="1"/>
  <c r="CF86" i="29"/>
  <c r="CG86" i="29"/>
  <c r="CK86" i="29" s="1"/>
  <c r="CH86" i="29"/>
  <c r="CL86" i="29" s="1"/>
  <c r="CI86" i="29"/>
  <c r="CM86" i="29" s="1"/>
  <c r="CF239" i="29"/>
  <c r="CJ239" i="29" s="1"/>
  <c r="CG239" i="29"/>
  <c r="CK239" i="29" s="1"/>
  <c r="CH239" i="29"/>
  <c r="CL239" i="29" s="1"/>
  <c r="CI239" i="29"/>
  <c r="CM239" i="29" s="1"/>
  <c r="CF224" i="29"/>
  <c r="CJ224" i="29" s="1"/>
  <c r="CG224" i="29"/>
  <c r="CK224" i="29" s="1"/>
  <c r="CH224" i="29"/>
  <c r="CL224" i="29" s="1"/>
  <c r="CI224" i="29"/>
  <c r="CM224" i="29" s="1"/>
  <c r="CF160" i="29"/>
  <c r="CJ160" i="29" s="1"/>
  <c r="CG160" i="29"/>
  <c r="CK160" i="29" s="1"/>
  <c r="CH160" i="29"/>
  <c r="CL160" i="29" s="1"/>
  <c r="CI160" i="29"/>
  <c r="CM160" i="29" s="1"/>
  <c r="CF81" i="29"/>
  <c r="CJ81" i="29" s="1"/>
  <c r="CG81" i="29"/>
  <c r="CK81" i="29" s="1"/>
  <c r="CH81" i="29"/>
  <c r="CL81" i="29" s="1"/>
  <c r="CI81" i="29"/>
  <c r="CM81" i="29" s="1"/>
  <c r="CF22" i="29"/>
  <c r="CG22" i="29"/>
  <c r="CK22" i="29" s="1"/>
  <c r="CH22" i="29"/>
  <c r="CL22" i="29" s="1"/>
  <c r="CI22" i="29"/>
  <c r="CM22" i="29" s="1"/>
  <c r="CF261" i="29"/>
  <c r="CJ261" i="29" s="1"/>
  <c r="CG261" i="29"/>
  <c r="CK261" i="29" s="1"/>
  <c r="CH261" i="29"/>
  <c r="CL261" i="29" s="1"/>
  <c r="CI261" i="29"/>
  <c r="CM261" i="29" s="1"/>
  <c r="CF274" i="29"/>
  <c r="CJ274" i="29" s="1"/>
  <c r="CG274" i="29"/>
  <c r="CK274" i="29" s="1"/>
  <c r="CH274" i="29"/>
  <c r="CL274" i="29" s="1"/>
  <c r="CI274" i="29"/>
  <c r="CM274" i="29" s="1"/>
  <c r="CF72" i="29"/>
  <c r="CJ72" i="29" s="1"/>
  <c r="CG72" i="29"/>
  <c r="CK72" i="29" s="1"/>
  <c r="CH72" i="29"/>
  <c r="CL72" i="29" s="1"/>
  <c r="CI72" i="29"/>
  <c r="CM72" i="29" s="1"/>
  <c r="CF32" i="29"/>
  <c r="CJ32" i="29" s="1"/>
  <c r="CG32" i="29"/>
  <c r="CK32" i="29" s="1"/>
  <c r="CH32" i="29"/>
  <c r="CL32" i="29" s="1"/>
  <c r="CI32" i="29"/>
  <c r="CM32" i="29" s="1"/>
  <c r="CI310" i="29"/>
  <c r="CF310" i="29"/>
  <c r="CG310" i="29"/>
  <c r="CK310" i="29" s="1"/>
  <c r="CH310" i="29"/>
  <c r="CL310" i="29" s="1"/>
  <c r="CF250" i="29"/>
  <c r="CJ250" i="29" s="1"/>
  <c r="CG250" i="29"/>
  <c r="CK250" i="29" s="1"/>
  <c r="CH250" i="29"/>
  <c r="CL250" i="29" s="1"/>
  <c r="CI250" i="29"/>
  <c r="CM250" i="29" s="1"/>
  <c r="CF146" i="29"/>
  <c r="CJ146" i="29" s="1"/>
  <c r="CG146" i="29"/>
  <c r="CK146" i="29" s="1"/>
  <c r="CH146" i="29"/>
  <c r="CL146" i="29" s="1"/>
  <c r="CI146" i="29"/>
  <c r="CM146" i="29" s="1"/>
  <c r="CF62" i="29"/>
  <c r="CJ62" i="29" s="1"/>
  <c r="CG62" i="29"/>
  <c r="CK62" i="29" s="1"/>
  <c r="CH62" i="29"/>
  <c r="CL62" i="29" s="1"/>
  <c r="CI62" i="29"/>
  <c r="CM62" i="29" s="1"/>
  <c r="CI305" i="29"/>
  <c r="CM305" i="29" s="1"/>
  <c r="CF305" i="29"/>
  <c r="CJ305" i="29" s="1"/>
  <c r="CG305" i="29"/>
  <c r="CK305" i="29" s="1"/>
  <c r="CH305" i="29"/>
  <c r="CL305" i="29" s="1"/>
  <c r="CF204" i="29"/>
  <c r="CJ204" i="29" s="1"/>
  <c r="CG204" i="29"/>
  <c r="CK204" i="29" s="1"/>
  <c r="CH204" i="29"/>
  <c r="CL204" i="29" s="1"/>
  <c r="CI204" i="29"/>
  <c r="CM204" i="29" s="1"/>
  <c r="CF141" i="29"/>
  <c r="CJ141" i="29" s="1"/>
  <c r="CG141" i="29"/>
  <c r="CK141" i="29" s="1"/>
  <c r="CH141" i="29"/>
  <c r="CL141" i="29" s="1"/>
  <c r="CI141" i="29"/>
  <c r="CM141" i="29" s="1"/>
  <c r="CF61" i="29"/>
  <c r="CJ61" i="29" s="1"/>
  <c r="CG61" i="29"/>
  <c r="CK61" i="29" s="1"/>
  <c r="CH61" i="29"/>
  <c r="CL61" i="29" s="1"/>
  <c r="CI61" i="29"/>
  <c r="CM61" i="29" s="1"/>
  <c r="CF199" i="29"/>
  <c r="CJ199" i="29" s="1"/>
  <c r="CG199" i="29"/>
  <c r="CK199" i="29" s="1"/>
  <c r="CH199" i="29"/>
  <c r="CL199" i="29" s="1"/>
  <c r="CI199" i="29"/>
  <c r="CM199" i="29" s="1"/>
  <c r="CF240" i="29"/>
  <c r="CJ240" i="29" s="1"/>
  <c r="CG240" i="29"/>
  <c r="CK240" i="29" s="1"/>
  <c r="CH240" i="29"/>
  <c r="CL240" i="29" s="1"/>
  <c r="CI240" i="29"/>
  <c r="CM240" i="29" s="1"/>
  <c r="CI84" i="29"/>
  <c r="CF84" i="29"/>
  <c r="CJ84" i="29" s="1"/>
  <c r="CG84" i="29"/>
  <c r="CK84" i="29" s="1"/>
  <c r="CH84" i="29"/>
  <c r="CL84" i="29" s="1"/>
  <c r="CI257" i="29"/>
  <c r="CM257" i="29" s="1"/>
  <c r="CF257" i="29"/>
  <c r="CJ257" i="29" s="1"/>
  <c r="CG257" i="29"/>
  <c r="CK257" i="29" s="1"/>
  <c r="CH257" i="29"/>
  <c r="CL257" i="29" s="1"/>
  <c r="CF53" i="29"/>
  <c r="CJ53" i="29" s="1"/>
  <c r="CG53" i="29"/>
  <c r="CK53" i="29" s="1"/>
  <c r="CH53" i="29"/>
  <c r="CL53" i="29" s="1"/>
  <c r="CI53" i="29"/>
  <c r="CM53" i="29" s="1"/>
  <c r="CF260" i="29"/>
  <c r="CJ260" i="29" s="1"/>
  <c r="CG260" i="29"/>
  <c r="CK260" i="29" s="1"/>
  <c r="CH260" i="29"/>
  <c r="CL260" i="29" s="1"/>
  <c r="CI260" i="29"/>
  <c r="CM260" i="29" s="1"/>
  <c r="CI288" i="29"/>
  <c r="CM288" i="29" s="1"/>
  <c r="CF288" i="29"/>
  <c r="CJ288" i="29" s="1"/>
  <c r="CG288" i="29"/>
  <c r="CK288" i="29" s="1"/>
  <c r="CH288" i="29"/>
  <c r="CL288" i="29" s="1"/>
  <c r="CF230" i="29"/>
  <c r="CG230" i="29"/>
  <c r="CK230" i="29" s="1"/>
  <c r="CH230" i="29"/>
  <c r="CI230" i="29"/>
  <c r="CF129" i="29"/>
  <c r="CJ129" i="29" s="1"/>
  <c r="CG129" i="29"/>
  <c r="CK129" i="29" s="1"/>
  <c r="CH129" i="29"/>
  <c r="CL129" i="29" s="1"/>
  <c r="CI129" i="29"/>
  <c r="CM129" i="29" s="1"/>
  <c r="CF294" i="29"/>
  <c r="CJ294" i="29" s="1"/>
  <c r="CG294" i="29"/>
  <c r="CK294" i="29" s="1"/>
  <c r="CH294" i="29"/>
  <c r="CL294" i="29" s="1"/>
  <c r="CI294" i="29"/>
  <c r="CM294" i="29" s="1"/>
  <c r="CF283" i="29"/>
  <c r="CJ283" i="29" s="1"/>
  <c r="CG283" i="29"/>
  <c r="CK283" i="29" s="1"/>
  <c r="CI283" i="29"/>
  <c r="CM283" i="29" s="1"/>
  <c r="CH283" i="29"/>
  <c r="CL283" i="29" s="1"/>
  <c r="CF181" i="29"/>
  <c r="CJ181" i="29" s="1"/>
  <c r="CG181" i="29"/>
  <c r="CK181" i="29" s="1"/>
  <c r="CH181" i="29"/>
  <c r="CL181" i="29" s="1"/>
  <c r="CI181" i="29"/>
  <c r="CM181" i="29" s="1"/>
  <c r="CF124" i="29"/>
  <c r="CG124" i="29"/>
  <c r="CK124" i="29" s="1"/>
  <c r="CH124" i="29"/>
  <c r="CL124" i="29" s="1"/>
  <c r="CI124" i="29"/>
  <c r="CM124" i="29" s="1"/>
  <c r="CF42" i="29"/>
  <c r="CG42" i="29"/>
  <c r="CK42" i="29" s="1"/>
  <c r="CH42" i="29"/>
  <c r="CL42" i="29" s="1"/>
  <c r="CI42" i="29"/>
  <c r="CM42" i="29" s="1"/>
  <c r="CF173" i="29"/>
  <c r="CJ173" i="29" s="1"/>
  <c r="CG173" i="29"/>
  <c r="CK173" i="29" s="1"/>
  <c r="CH173" i="29"/>
  <c r="CL173" i="29" s="1"/>
  <c r="CI173" i="29"/>
  <c r="CM173" i="29" s="1"/>
  <c r="CF220" i="29"/>
  <c r="CJ220" i="29" s="1"/>
  <c r="CG220" i="29"/>
  <c r="CK220" i="29" s="1"/>
  <c r="CH220" i="29"/>
  <c r="CL220" i="29" s="1"/>
  <c r="CI220" i="29"/>
  <c r="CM220" i="29" s="1"/>
  <c r="CF33" i="29"/>
  <c r="CJ33" i="29" s="1"/>
  <c r="CG33" i="29"/>
  <c r="CK33" i="29" s="1"/>
  <c r="CH33" i="29"/>
  <c r="CL33" i="29" s="1"/>
  <c r="CI33" i="29"/>
  <c r="CM33" i="29" s="1"/>
  <c r="CF118" i="29"/>
  <c r="CG118" i="29"/>
  <c r="CH118" i="29"/>
  <c r="CL118" i="29" s="1"/>
  <c r="CI118" i="29"/>
  <c r="CM118" i="29" s="1"/>
  <c r="CI269" i="29"/>
  <c r="CM269" i="29" s="1"/>
  <c r="CF269" i="29"/>
  <c r="CJ269" i="29" s="1"/>
  <c r="CG269" i="29"/>
  <c r="CK269" i="29" s="1"/>
  <c r="CH269" i="29"/>
  <c r="CL269" i="29" s="1"/>
  <c r="CF209" i="29"/>
  <c r="CJ209" i="29" s="1"/>
  <c r="CG209" i="29"/>
  <c r="CK209" i="29" s="1"/>
  <c r="CH209" i="29"/>
  <c r="CL209" i="29" s="1"/>
  <c r="CI209" i="29"/>
  <c r="CM209" i="29" s="1"/>
  <c r="CF109" i="29"/>
  <c r="CJ109" i="29" s="1"/>
  <c r="CG109" i="29"/>
  <c r="CK109" i="29" s="1"/>
  <c r="CH109" i="29"/>
  <c r="CL109" i="29" s="1"/>
  <c r="CI109" i="29"/>
  <c r="CM109" i="29" s="1"/>
  <c r="CF27" i="29"/>
  <c r="CJ27" i="29" s="1"/>
  <c r="CG27" i="29"/>
  <c r="CK27" i="29" s="1"/>
  <c r="CH27" i="29"/>
  <c r="CL27" i="29" s="1"/>
  <c r="CI27" i="29"/>
  <c r="CM27" i="29" s="1"/>
  <c r="CI267" i="29"/>
  <c r="CM267" i="29" s="1"/>
  <c r="CF267" i="29"/>
  <c r="CJ267" i="29" s="1"/>
  <c r="CG267" i="29"/>
  <c r="CK267" i="29" s="1"/>
  <c r="CH267" i="29"/>
  <c r="CL267" i="29" s="1"/>
  <c r="CF161" i="29"/>
  <c r="CJ161" i="29" s="1"/>
  <c r="CG161" i="29"/>
  <c r="CK161" i="29" s="1"/>
  <c r="CH161" i="29"/>
  <c r="CL161" i="29" s="1"/>
  <c r="CI161" i="29"/>
  <c r="CM161" i="29" s="1"/>
  <c r="CF104" i="29"/>
  <c r="CJ104" i="29" s="1"/>
  <c r="CG104" i="29"/>
  <c r="CK104" i="29" s="1"/>
  <c r="CH104" i="29"/>
  <c r="CL104" i="29" s="1"/>
  <c r="CI104" i="29"/>
  <c r="CM104" i="29" s="1"/>
  <c r="CF23" i="29"/>
  <c r="CJ23" i="29" s="1"/>
  <c r="CG23" i="29"/>
  <c r="CK23" i="29" s="1"/>
  <c r="CH23" i="29"/>
  <c r="CL23" i="29" s="1"/>
  <c r="CI23" i="29"/>
  <c r="CM23" i="29" s="1"/>
  <c r="CI300" i="29"/>
  <c r="CM300" i="29" s="1"/>
  <c r="CF300" i="29"/>
  <c r="CJ300" i="29" s="1"/>
  <c r="CG300" i="29"/>
  <c r="CK300" i="29" s="1"/>
  <c r="CH300" i="29"/>
  <c r="CL300" i="29" s="1"/>
  <c r="CF200" i="29"/>
  <c r="CJ200" i="29" s="1"/>
  <c r="CG200" i="29"/>
  <c r="CH200" i="29"/>
  <c r="CL200" i="29" s="1"/>
  <c r="CI200" i="29"/>
  <c r="CM200" i="29" s="1"/>
  <c r="CF134" i="29"/>
  <c r="CJ134" i="29" s="1"/>
  <c r="CG134" i="29"/>
  <c r="CK134" i="29" s="1"/>
  <c r="CH134" i="29"/>
  <c r="CL134" i="29" s="1"/>
  <c r="CI134" i="29"/>
  <c r="CM134" i="29" s="1"/>
  <c r="CF37" i="29"/>
  <c r="CJ37" i="29" s="1"/>
  <c r="CG37" i="29"/>
  <c r="CK37" i="29" s="1"/>
  <c r="CH37" i="29"/>
  <c r="CL37" i="29" s="1"/>
  <c r="CI37" i="29"/>
  <c r="CM37" i="29" s="1"/>
  <c r="CF311" i="29"/>
  <c r="CJ311" i="29" s="1"/>
  <c r="CG311" i="29"/>
  <c r="CK311" i="29" s="1"/>
  <c r="CH311" i="29"/>
  <c r="CL311" i="29" s="1"/>
  <c r="CI311" i="29"/>
  <c r="CM311" i="29" s="1"/>
  <c r="CI251" i="29"/>
  <c r="CM251" i="29" s="1"/>
  <c r="CF251" i="29"/>
  <c r="CJ251" i="29" s="1"/>
  <c r="CG251" i="29"/>
  <c r="CK251" i="29" s="1"/>
  <c r="CH251" i="29"/>
  <c r="CL251" i="29" s="1"/>
  <c r="CF186" i="29"/>
  <c r="CG186" i="29"/>
  <c r="CK186" i="29" s="1"/>
  <c r="CH186" i="29"/>
  <c r="CL186" i="29" s="1"/>
  <c r="CI186" i="29"/>
  <c r="CM186" i="29" s="1"/>
  <c r="CF87" i="29"/>
  <c r="CJ87" i="29" s="1"/>
  <c r="CG87" i="29"/>
  <c r="CK87" i="29" s="1"/>
  <c r="CH87" i="29"/>
  <c r="CL87" i="29" s="1"/>
  <c r="CI87" i="29"/>
  <c r="CM87" i="29" s="1"/>
  <c r="CF219" i="29"/>
  <c r="CJ219" i="29" s="1"/>
  <c r="CG219" i="29"/>
  <c r="CK219" i="29" s="1"/>
  <c r="CH219" i="29"/>
  <c r="CL219" i="29" s="1"/>
  <c r="CI219" i="29"/>
  <c r="CM219" i="29" s="1"/>
  <c r="CI246" i="29"/>
  <c r="CM246" i="29" s="1"/>
  <c r="CF246" i="29"/>
  <c r="CJ246" i="29" s="1"/>
  <c r="CG246" i="29"/>
  <c r="CK246" i="29" s="1"/>
  <c r="CH246" i="29"/>
  <c r="CL246" i="29" s="1"/>
  <c r="CF142" i="29"/>
  <c r="CJ142" i="29" s="1"/>
  <c r="CG142" i="29"/>
  <c r="CK142" i="29" s="1"/>
  <c r="CH142" i="29"/>
  <c r="CL142" i="29" s="1"/>
  <c r="CI142" i="29"/>
  <c r="CM142" i="29" s="1"/>
  <c r="CF82" i="29"/>
  <c r="CJ82" i="29" s="1"/>
  <c r="CG82" i="29"/>
  <c r="CK82" i="29" s="1"/>
  <c r="CH82" i="29"/>
  <c r="CL82" i="29" s="1"/>
  <c r="CI82" i="29"/>
  <c r="CM82" i="29" s="1"/>
  <c r="CF119" i="29"/>
  <c r="CJ119" i="29" s="1"/>
  <c r="CG119" i="29"/>
  <c r="CK119" i="29" s="1"/>
  <c r="CH119" i="29"/>
  <c r="CL119" i="29" s="1"/>
  <c r="CI119" i="29"/>
  <c r="CM119" i="29" s="1"/>
  <c r="CI279" i="29"/>
  <c r="CM279" i="29" s="1"/>
  <c r="CF279" i="29"/>
  <c r="CJ279" i="29" s="1"/>
  <c r="CG279" i="29"/>
  <c r="CK279" i="29" s="1"/>
  <c r="CH279" i="29"/>
  <c r="CL279" i="29" s="1"/>
  <c r="CF176" i="29"/>
  <c r="CJ176" i="29" s="1"/>
  <c r="CG176" i="29"/>
  <c r="CK176" i="29" s="1"/>
  <c r="CH176" i="29"/>
  <c r="CL176" i="29" s="1"/>
  <c r="CI176" i="29"/>
  <c r="CM176" i="29" s="1"/>
  <c r="CF96" i="29"/>
  <c r="CJ96" i="29" s="1"/>
  <c r="CG96" i="29"/>
  <c r="CK96" i="29" s="1"/>
  <c r="CH96" i="29"/>
  <c r="CL96" i="29" s="1"/>
  <c r="CI96" i="29"/>
  <c r="CM96" i="29" s="1"/>
  <c r="CF101" i="29"/>
  <c r="CG101" i="29"/>
  <c r="CK101" i="29" s="1"/>
  <c r="CH101" i="29"/>
  <c r="CL101" i="29" s="1"/>
  <c r="CI101" i="29"/>
  <c r="CM101" i="29" s="1"/>
  <c r="CF275" i="29"/>
  <c r="CJ275" i="29" s="1"/>
  <c r="CG275" i="29"/>
  <c r="CK275" i="29" s="1"/>
  <c r="CH275" i="29"/>
  <c r="CL275" i="29" s="1"/>
  <c r="CI275" i="29"/>
  <c r="CM275" i="29" s="1"/>
  <c r="CI231" i="29"/>
  <c r="CM231" i="29" s="1"/>
  <c r="CF231" i="29"/>
  <c r="CJ231" i="29" s="1"/>
  <c r="CG231" i="29"/>
  <c r="CK231" i="29" s="1"/>
  <c r="CH231" i="29"/>
  <c r="CL231" i="29" s="1"/>
  <c r="CF166" i="29"/>
  <c r="CJ166" i="29" s="1"/>
  <c r="CG166" i="29"/>
  <c r="CK166" i="29" s="1"/>
  <c r="CH166" i="29"/>
  <c r="CL166" i="29" s="1"/>
  <c r="CI166" i="29"/>
  <c r="CM166" i="29" s="1"/>
  <c r="CF67" i="29"/>
  <c r="CJ67" i="29" s="1"/>
  <c r="CG67" i="29"/>
  <c r="CK67" i="29" s="1"/>
  <c r="CH67" i="29"/>
  <c r="CL67" i="29" s="1"/>
  <c r="CI67" i="29"/>
  <c r="CM67" i="29" s="1"/>
  <c r="CF306" i="29"/>
  <c r="CG306" i="29"/>
  <c r="CK306" i="29" s="1"/>
  <c r="CH306" i="29"/>
  <c r="CL306" i="29" s="1"/>
  <c r="CI306" i="29"/>
  <c r="CI226" i="29"/>
  <c r="CM226" i="29" s="1"/>
  <c r="CF226" i="29"/>
  <c r="CJ226" i="29" s="1"/>
  <c r="CG226" i="29"/>
  <c r="CK226" i="29" s="1"/>
  <c r="CH226" i="29"/>
  <c r="CL226" i="29" s="1"/>
  <c r="CF125" i="29"/>
  <c r="CJ125" i="29" s="1"/>
  <c r="CG125" i="29"/>
  <c r="CK125" i="29" s="1"/>
  <c r="CH125" i="29"/>
  <c r="CL125" i="29" s="1"/>
  <c r="CI125" i="29"/>
  <c r="CM125" i="29" s="1"/>
  <c r="CF63" i="29"/>
  <c r="CJ63" i="29" s="1"/>
  <c r="CG63" i="29"/>
  <c r="CK63" i="29" s="1"/>
  <c r="CH63" i="29"/>
  <c r="CL63" i="29" s="1"/>
  <c r="CI63" i="29"/>
  <c r="CM63" i="29" s="1"/>
  <c r="CF259" i="29"/>
  <c r="CJ259" i="29" s="1"/>
  <c r="CG259" i="29"/>
  <c r="CK259" i="29" s="1"/>
  <c r="CH259" i="29"/>
  <c r="CL259" i="29" s="1"/>
  <c r="CI259" i="29"/>
  <c r="CM259" i="29" s="1"/>
  <c r="CF262" i="29"/>
  <c r="CI262" i="29"/>
  <c r="CM262" i="29" s="1"/>
  <c r="CG262" i="29"/>
  <c r="CK262" i="29" s="1"/>
  <c r="CH262" i="29"/>
  <c r="CL262" i="29" s="1"/>
  <c r="CF150" i="29"/>
  <c r="CJ150" i="29" s="1"/>
  <c r="CG150" i="29"/>
  <c r="CK150" i="29" s="1"/>
  <c r="CH150" i="29"/>
  <c r="CL150" i="29" s="1"/>
  <c r="CI150" i="29"/>
  <c r="CM150" i="29" s="1"/>
  <c r="CF178" i="29"/>
  <c r="CJ178" i="29" s="1"/>
  <c r="CG178" i="29"/>
  <c r="CK178" i="29" s="1"/>
  <c r="CH178" i="29"/>
  <c r="CL178" i="29" s="1"/>
  <c r="CI178" i="29"/>
  <c r="CM178" i="29" s="1"/>
  <c r="CF171" i="29"/>
  <c r="CJ171" i="29" s="1"/>
  <c r="CG171" i="29"/>
  <c r="CK171" i="29" s="1"/>
  <c r="CH171" i="29"/>
  <c r="CL171" i="29" s="1"/>
  <c r="CI171" i="29"/>
  <c r="CM171" i="29" s="1"/>
  <c r="CF216" i="29"/>
  <c r="CJ216" i="29" s="1"/>
  <c r="CG216" i="29"/>
  <c r="CK216" i="29" s="1"/>
  <c r="CH216" i="29"/>
  <c r="CL216" i="29" s="1"/>
  <c r="CI216" i="29"/>
  <c r="CM216" i="29" s="1"/>
  <c r="CF147" i="29"/>
  <c r="CG147" i="29"/>
  <c r="CH147" i="29"/>
  <c r="CL147" i="29" s="1"/>
  <c r="CI147" i="29"/>
  <c r="CM147" i="29" s="1"/>
  <c r="CF48" i="29"/>
  <c r="CJ48" i="29" s="1"/>
  <c r="CG48" i="29"/>
  <c r="CK48" i="29" s="1"/>
  <c r="CH48" i="29"/>
  <c r="CL48" i="29" s="1"/>
  <c r="CI48" i="29"/>
  <c r="CM48" i="29" s="1"/>
  <c r="CF284" i="29"/>
  <c r="CJ284" i="29" s="1"/>
  <c r="CG284" i="29"/>
  <c r="CK284" i="29" s="1"/>
  <c r="CH284" i="29"/>
  <c r="CL284" i="29" s="1"/>
  <c r="CI284" i="29"/>
  <c r="CM284" i="29" s="1"/>
  <c r="CI205" i="29"/>
  <c r="CM205" i="29" s="1"/>
  <c r="CF205" i="29"/>
  <c r="CJ205" i="29" s="1"/>
  <c r="CG205" i="29"/>
  <c r="CK205" i="29" s="1"/>
  <c r="CH205" i="29"/>
  <c r="CL205" i="29" s="1"/>
  <c r="CF105" i="29"/>
  <c r="CJ105" i="29" s="1"/>
  <c r="CG105" i="29"/>
  <c r="CK105" i="29" s="1"/>
  <c r="CH105" i="29"/>
  <c r="CL105" i="29" s="1"/>
  <c r="CI105" i="29"/>
  <c r="CF43" i="29"/>
  <c r="CG43" i="29"/>
  <c r="CH43" i="29"/>
  <c r="CL43" i="29" s="1"/>
  <c r="CI43" i="29"/>
  <c r="CM43" i="29" s="1"/>
  <c r="CF301" i="29"/>
  <c r="CJ301" i="29" s="1"/>
  <c r="CG301" i="29"/>
  <c r="CK301" i="29" s="1"/>
  <c r="CH301" i="29"/>
  <c r="CL301" i="29" s="1"/>
  <c r="CI301" i="29"/>
  <c r="CM301" i="29" s="1"/>
  <c r="CI225" i="29"/>
  <c r="CM225" i="29" s="1"/>
  <c r="CF225" i="29"/>
  <c r="CJ225" i="29" s="1"/>
  <c r="CG225" i="29"/>
  <c r="CK225" i="29" s="1"/>
  <c r="CH225" i="29"/>
  <c r="CL225" i="29" s="1"/>
  <c r="CF138" i="29"/>
  <c r="CJ138" i="29" s="1"/>
  <c r="CG138" i="29"/>
  <c r="CK138" i="29" s="1"/>
  <c r="CH138" i="29"/>
  <c r="CL138" i="29" s="1"/>
  <c r="CI138" i="29"/>
  <c r="CM138" i="29" s="1"/>
  <c r="CF29" i="29"/>
  <c r="CJ29" i="29" s="1"/>
  <c r="CG29" i="29"/>
  <c r="CK29" i="29" s="1"/>
  <c r="CH29" i="29"/>
  <c r="CL29" i="29" s="1"/>
  <c r="CI29" i="29"/>
  <c r="CF38" i="29"/>
  <c r="CG38" i="29"/>
  <c r="CK38" i="29" s="1"/>
  <c r="CH38" i="29"/>
  <c r="CL38" i="29" s="1"/>
  <c r="CI38" i="29"/>
  <c r="CM38" i="29" s="1"/>
  <c r="CF236" i="29"/>
  <c r="CJ236" i="29" s="1"/>
  <c r="CG236" i="29"/>
  <c r="CK236" i="29" s="1"/>
  <c r="CI236" i="29"/>
  <c r="CM236" i="29" s="1"/>
  <c r="CH236" i="29"/>
  <c r="CL236" i="29" s="1"/>
  <c r="CF296" i="29"/>
  <c r="CJ296" i="29" s="1"/>
  <c r="CG296" i="29"/>
  <c r="CK296" i="29" s="1"/>
  <c r="CH296" i="29"/>
  <c r="CL296" i="29" s="1"/>
  <c r="CI296" i="29"/>
  <c r="CM296" i="29" s="1"/>
  <c r="CF194" i="29"/>
  <c r="CJ194" i="29" s="1"/>
  <c r="CI194" i="29"/>
  <c r="CM194" i="29" s="1"/>
  <c r="CG194" i="29"/>
  <c r="CK194" i="29" s="1"/>
  <c r="CH194" i="29"/>
  <c r="CL194" i="29" s="1"/>
  <c r="CI172" i="29"/>
  <c r="CM172" i="29" s="1"/>
  <c r="CF172" i="29"/>
  <c r="CJ172" i="29" s="1"/>
  <c r="CG172" i="29"/>
  <c r="CK172" i="29" s="1"/>
  <c r="CH172" i="29"/>
  <c r="CL172" i="29" s="1"/>
  <c r="CF312" i="29"/>
  <c r="CJ312" i="29" s="1"/>
  <c r="CG312" i="29"/>
  <c r="CK312" i="29" s="1"/>
  <c r="CH312" i="29"/>
  <c r="CL312" i="29" s="1"/>
  <c r="CI312" i="29"/>
  <c r="CM312" i="29" s="1"/>
  <c r="CF188" i="29"/>
  <c r="CJ188" i="29" s="1"/>
  <c r="CG188" i="29"/>
  <c r="CK188" i="29" s="1"/>
  <c r="CH188" i="29"/>
  <c r="CL188" i="29" s="1"/>
  <c r="CI188" i="29"/>
  <c r="CM188" i="29" s="1"/>
  <c r="CI182" i="29"/>
  <c r="CM182" i="29" s="1"/>
  <c r="CF182" i="29"/>
  <c r="CJ182" i="29" s="1"/>
  <c r="CG182" i="29"/>
  <c r="CK182" i="29" s="1"/>
  <c r="CH182" i="29"/>
  <c r="CL182" i="29" s="1"/>
  <c r="CF83" i="29"/>
  <c r="CJ83" i="29" s="1"/>
  <c r="CG83" i="29"/>
  <c r="CK83" i="29" s="1"/>
  <c r="CH83" i="29"/>
  <c r="CL83" i="29" s="1"/>
  <c r="CI83" i="29"/>
  <c r="CM83" i="29" s="1"/>
  <c r="CF24" i="29"/>
  <c r="CJ24" i="29" s="1"/>
  <c r="CG24" i="29"/>
  <c r="CK24" i="29" s="1"/>
  <c r="CH24" i="29"/>
  <c r="CL24" i="29" s="1"/>
  <c r="CI24" i="29"/>
  <c r="CM24" i="29" s="1"/>
  <c r="CF280" i="29"/>
  <c r="CG280" i="29"/>
  <c r="CK280" i="29" s="1"/>
  <c r="CH280" i="29"/>
  <c r="CL280" i="29" s="1"/>
  <c r="CI280" i="29"/>
  <c r="CM280" i="29" s="1"/>
  <c r="CI221" i="29"/>
  <c r="CM221" i="29" s="1"/>
  <c r="CF221" i="29"/>
  <c r="CJ221" i="29" s="1"/>
  <c r="CG221" i="29"/>
  <c r="CK221" i="29" s="1"/>
  <c r="CH221" i="29"/>
  <c r="CL221" i="29" s="1"/>
  <c r="CF120" i="29"/>
  <c r="CJ120" i="29" s="1"/>
  <c r="CG120" i="29"/>
  <c r="CK120" i="29" s="1"/>
  <c r="CH120" i="29"/>
  <c r="CL120" i="29" s="1"/>
  <c r="CI120" i="29"/>
  <c r="CM120" i="29" s="1"/>
  <c r="CF213" i="29"/>
  <c r="CJ213" i="29" s="1"/>
  <c r="CG213" i="29"/>
  <c r="CK213" i="29" s="1"/>
  <c r="CH213" i="29"/>
  <c r="CL213" i="29" s="1"/>
  <c r="CI213" i="29"/>
  <c r="CM213" i="29" s="1"/>
  <c r="CF153" i="29"/>
  <c r="CJ153" i="29" s="1"/>
  <c r="CG153" i="29"/>
  <c r="CK153" i="29" s="1"/>
  <c r="CH153" i="29"/>
  <c r="CL153" i="29" s="1"/>
  <c r="CI153" i="29"/>
  <c r="CM153" i="29" s="1"/>
  <c r="CF115" i="29"/>
  <c r="CJ115" i="29" s="1"/>
  <c r="CG115" i="29"/>
  <c r="CH115" i="29"/>
  <c r="CL115" i="29" s="1"/>
  <c r="CI115" i="29"/>
  <c r="CM115" i="29" s="1"/>
  <c r="CF93" i="29"/>
  <c r="CJ93" i="29" s="1"/>
  <c r="CG93" i="29"/>
  <c r="CK93" i="29" s="1"/>
  <c r="CH93" i="29"/>
  <c r="CL93" i="29" s="1"/>
  <c r="CI93" i="29"/>
  <c r="CM93" i="29" s="1"/>
  <c r="CF252" i="29"/>
  <c r="CJ252" i="29" s="1"/>
  <c r="CG252" i="29"/>
  <c r="CK252" i="29" s="1"/>
  <c r="CH252" i="29"/>
  <c r="CL252" i="29" s="1"/>
  <c r="CI252" i="29"/>
  <c r="CM252" i="29" s="1"/>
  <c r="CF217" i="29"/>
  <c r="CJ217" i="29" s="1"/>
  <c r="CG217" i="29"/>
  <c r="CK217" i="29" s="1"/>
  <c r="CH217" i="29"/>
  <c r="CL217" i="29" s="1"/>
  <c r="CI217" i="29"/>
  <c r="CM217" i="29" s="1"/>
  <c r="CF133" i="29"/>
  <c r="CJ133" i="29" s="1"/>
  <c r="CI133" i="29"/>
  <c r="CM133" i="29" s="1"/>
  <c r="CG133" i="29"/>
  <c r="CK133" i="29" s="1"/>
  <c r="CH133" i="29"/>
  <c r="CF34" i="29"/>
  <c r="CJ34" i="29" s="1"/>
  <c r="CG34" i="29"/>
  <c r="CK34" i="29" s="1"/>
  <c r="CH34" i="29"/>
  <c r="CL34" i="29" s="1"/>
  <c r="CI34" i="29"/>
  <c r="CM34" i="29" s="1"/>
  <c r="CF290" i="29"/>
  <c r="CJ290" i="29" s="1"/>
  <c r="CG290" i="29"/>
  <c r="CK290" i="29" s="1"/>
  <c r="CH290" i="29"/>
  <c r="CL290" i="29" s="1"/>
  <c r="CI290" i="29"/>
  <c r="CM290" i="29" s="1"/>
  <c r="CF232" i="29"/>
  <c r="CJ232" i="29" s="1"/>
  <c r="CG232" i="29"/>
  <c r="CK232" i="29" s="1"/>
  <c r="CH232" i="29"/>
  <c r="CL232" i="29" s="1"/>
  <c r="CI232" i="29"/>
  <c r="CM232" i="29" s="1"/>
  <c r="CI167" i="29"/>
  <c r="CM167" i="29" s="1"/>
  <c r="CF167" i="29"/>
  <c r="CJ167" i="29" s="1"/>
  <c r="CG167" i="29"/>
  <c r="CK167" i="29" s="1"/>
  <c r="CH167" i="29"/>
  <c r="CL167" i="29" s="1"/>
  <c r="CF110" i="29"/>
  <c r="CJ110" i="29" s="1"/>
  <c r="CG110" i="29"/>
  <c r="CK110" i="29" s="1"/>
  <c r="CH110" i="29"/>
  <c r="CL110" i="29" s="1"/>
  <c r="CI110" i="29"/>
  <c r="CM110" i="29" s="1"/>
  <c r="CF97" i="29"/>
  <c r="CJ97" i="29" s="1"/>
  <c r="CG97" i="29"/>
  <c r="CH97" i="29"/>
  <c r="CL97" i="29" s="1"/>
  <c r="CI97" i="29"/>
  <c r="CM97" i="29" s="1"/>
  <c r="CF247" i="29"/>
  <c r="CJ247" i="29" s="1"/>
  <c r="CG247" i="29"/>
  <c r="CK247" i="29" s="1"/>
  <c r="CH247" i="29"/>
  <c r="CL247" i="29" s="1"/>
  <c r="CI247" i="29"/>
  <c r="CM247" i="29" s="1"/>
  <c r="CI162" i="29"/>
  <c r="CM162" i="29" s="1"/>
  <c r="CF162" i="29"/>
  <c r="CJ162" i="29" s="1"/>
  <c r="CG162" i="29"/>
  <c r="CK162" i="29" s="1"/>
  <c r="CH162" i="29"/>
  <c r="CL162" i="29" s="1"/>
  <c r="CF64" i="29"/>
  <c r="CJ64" i="29" s="1"/>
  <c r="CG64" i="29"/>
  <c r="CK64" i="29" s="1"/>
  <c r="CH64" i="29"/>
  <c r="CL64" i="29" s="1"/>
  <c r="CI64" i="29"/>
  <c r="CM64" i="29" s="1"/>
  <c r="CF135" i="29"/>
  <c r="CJ135" i="29" s="1"/>
  <c r="CG135" i="29"/>
  <c r="CK135" i="29" s="1"/>
  <c r="CH135" i="29"/>
  <c r="CL135" i="29" s="1"/>
  <c r="CI135" i="29"/>
  <c r="CF263" i="29"/>
  <c r="CG263" i="29"/>
  <c r="CK263" i="29" s="1"/>
  <c r="CH263" i="29"/>
  <c r="CL263" i="29" s="1"/>
  <c r="CI263" i="29"/>
  <c r="CM263" i="29" s="1"/>
  <c r="CI201" i="29"/>
  <c r="CM201" i="29" s="1"/>
  <c r="CF201" i="29"/>
  <c r="CJ201" i="29" s="1"/>
  <c r="CG201" i="29"/>
  <c r="CK201" i="29" s="1"/>
  <c r="CH201" i="29"/>
  <c r="CL201" i="29" s="1"/>
  <c r="CF98" i="29"/>
  <c r="CJ98" i="29" s="1"/>
  <c r="CG98" i="29"/>
  <c r="CK98" i="29" s="1"/>
  <c r="CH98" i="29"/>
  <c r="CL98" i="29" s="1"/>
  <c r="CI98" i="29"/>
  <c r="CM98" i="29" s="1"/>
  <c r="CI89" i="29"/>
  <c r="CM89" i="29" s="1"/>
  <c r="CF89" i="29"/>
  <c r="CJ89" i="29" s="1"/>
  <c r="CG89" i="29"/>
  <c r="CK89" i="29" s="1"/>
  <c r="CH89" i="29"/>
  <c r="CL89" i="29" s="1"/>
  <c r="CF289" i="29"/>
  <c r="CJ289" i="29" s="1"/>
  <c r="CG289" i="29"/>
  <c r="CK289" i="29" s="1"/>
  <c r="CH289" i="29"/>
  <c r="CL289" i="29" s="1"/>
  <c r="CI289" i="29"/>
  <c r="CM289" i="29" s="1"/>
  <c r="CF258" i="29"/>
  <c r="CG258" i="29"/>
  <c r="CK258" i="29" s="1"/>
  <c r="CH258" i="29"/>
  <c r="CL258" i="29" s="1"/>
  <c r="CI258" i="29"/>
  <c r="CM258" i="29" s="1"/>
  <c r="CF270" i="29"/>
  <c r="CJ270" i="29" s="1"/>
  <c r="CG270" i="29"/>
  <c r="CK270" i="29" s="1"/>
  <c r="CH270" i="29"/>
  <c r="CL270" i="29" s="1"/>
  <c r="CI270" i="29"/>
  <c r="CM270" i="29" s="1"/>
  <c r="CF54" i="29"/>
  <c r="CJ54" i="29" s="1"/>
  <c r="CG54" i="29"/>
  <c r="CK54" i="29" s="1"/>
  <c r="CH54" i="29"/>
  <c r="CL54" i="29" s="1"/>
  <c r="CI54" i="29"/>
  <c r="CM54" i="29" s="1"/>
  <c r="CI187" i="29"/>
  <c r="CM187" i="29" s="1"/>
  <c r="CF187" i="29"/>
  <c r="CJ187" i="29" s="1"/>
  <c r="CG187" i="29"/>
  <c r="CK187" i="29" s="1"/>
  <c r="CH187" i="29"/>
  <c r="CL187" i="29" s="1"/>
  <c r="CF196" i="29"/>
  <c r="CJ196" i="29" s="1"/>
  <c r="CG196" i="29"/>
  <c r="CK196" i="29" s="1"/>
  <c r="CH196" i="29"/>
  <c r="CL196" i="29" s="1"/>
  <c r="CI196" i="29"/>
  <c r="CM196" i="29" s="1"/>
  <c r="CI116" i="29"/>
  <c r="CF116" i="29"/>
  <c r="CJ116" i="29" s="1"/>
  <c r="CG116" i="29"/>
  <c r="CK116" i="29" s="1"/>
  <c r="CH116" i="29"/>
  <c r="CL116" i="29" s="1"/>
  <c r="CF298" i="29"/>
  <c r="CJ298" i="29" s="1"/>
  <c r="CG298" i="29"/>
  <c r="CK298" i="29" s="1"/>
  <c r="CH298" i="29"/>
  <c r="CL298" i="29" s="1"/>
  <c r="CI298" i="29"/>
  <c r="CM298" i="29" s="1"/>
  <c r="CF271" i="29"/>
  <c r="CJ271" i="29" s="1"/>
  <c r="CG271" i="29"/>
  <c r="CK271" i="29" s="1"/>
  <c r="CH271" i="29"/>
  <c r="CL271" i="29" s="1"/>
  <c r="CI271" i="29"/>
  <c r="CM271" i="29" s="1"/>
  <c r="CF212" i="29"/>
  <c r="CJ212" i="29" s="1"/>
  <c r="CG212" i="29"/>
  <c r="CK212" i="29" s="1"/>
  <c r="CH212" i="29"/>
  <c r="CL212" i="29" s="1"/>
  <c r="CI212" i="29"/>
  <c r="CM212" i="29" s="1"/>
  <c r="CI148" i="29"/>
  <c r="CM148" i="29" s="1"/>
  <c r="CF148" i="29"/>
  <c r="CJ148" i="29" s="1"/>
  <c r="CG148" i="29"/>
  <c r="CK148" i="29" s="1"/>
  <c r="CH148" i="29"/>
  <c r="CF88" i="29"/>
  <c r="CG88" i="29"/>
  <c r="CK88" i="29" s="1"/>
  <c r="CH88" i="29"/>
  <c r="CL88" i="29" s="1"/>
  <c r="CI88" i="29"/>
  <c r="CM88" i="29" s="1"/>
  <c r="CF307" i="29"/>
  <c r="CJ307" i="29" s="1"/>
  <c r="CG307" i="29"/>
  <c r="CK307" i="29" s="1"/>
  <c r="CH307" i="29"/>
  <c r="CL307" i="29" s="1"/>
  <c r="CI307" i="29"/>
  <c r="CM307" i="29" s="1"/>
  <c r="CF227" i="29"/>
  <c r="CJ227" i="29" s="1"/>
  <c r="CG227" i="29"/>
  <c r="CK227" i="29" s="1"/>
  <c r="CH227" i="29"/>
  <c r="CL227" i="29" s="1"/>
  <c r="CI227" i="29"/>
  <c r="CM227" i="29" s="1"/>
  <c r="CI143" i="29"/>
  <c r="CM143" i="29" s="1"/>
  <c r="CF143" i="29"/>
  <c r="CJ143" i="29" s="1"/>
  <c r="CG143" i="29"/>
  <c r="CK143" i="29" s="1"/>
  <c r="CH143" i="29"/>
  <c r="CL143" i="29" s="1"/>
  <c r="CF44" i="29"/>
  <c r="CJ44" i="29" s="1"/>
  <c r="CG44" i="29"/>
  <c r="CK44" i="29" s="1"/>
  <c r="CH44" i="29"/>
  <c r="CL44" i="29" s="1"/>
  <c r="CI44" i="29"/>
  <c r="CM44" i="29" s="1"/>
  <c r="CF302" i="29"/>
  <c r="CG302" i="29"/>
  <c r="CK302" i="29" s="1"/>
  <c r="CH302" i="29"/>
  <c r="CL302" i="29" s="1"/>
  <c r="CI302" i="29"/>
  <c r="CM302" i="29" s="1"/>
  <c r="CF241" i="29"/>
  <c r="CJ241" i="29" s="1"/>
  <c r="CG241" i="29"/>
  <c r="CK241" i="29" s="1"/>
  <c r="CH241" i="29"/>
  <c r="CL241" i="29" s="1"/>
  <c r="CI241" i="29"/>
  <c r="CM241" i="29" s="1"/>
  <c r="CF177" i="29"/>
  <c r="CJ177" i="29" s="1"/>
  <c r="CG177" i="29"/>
  <c r="CK177" i="29" s="1"/>
  <c r="CI177" i="29"/>
  <c r="CM177" i="29" s="1"/>
  <c r="CH177" i="29"/>
  <c r="CL177" i="29" s="1"/>
  <c r="CF78" i="29"/>
  <c r="CJ78" i="29" s="1"/>
  <c r="CG78" i="29"/>
  <c r="CK78" i="29" s="1"/>
  <c r="CH78" i="29"/>
  <c r="CL78" i="29" s="1"/>
  <c r="CI78" i="29"/>
  <c r="CM78" i="29" s="1"/>
  <c r="CI121" i="29"/>
  <c r="CM121" i="29" s="1"/>
  <c r="CF121" i="29"/>
  <c r="CJ121" i="29" s="1"/>
  <c r="CG121" i="29"/>
  <c r="CK121" i="29" s="1"/>
  <c r="CH121" i="29"/>
  <c r="CL121" i="29" s="1"/>
  <c r="CF193" i="29"/>
  <c r="CG193" i="29"/>
  <c r="CH193" i="29"/>
  <c r="CI193" i="29"/>
  <c r="CM193" i="29" s="1"/>
  <c r="CF76" i="29"/>
  <c r="CJ76" i="29" s="1"/>
  <c r="CG76" i="29"/>
  <c r="CK76" i="29" s="1"/>
  <c r="CH76" i="29"/>
  <c r="CL76" i="29" s="1"/>
  <c r="CI76" i="29"/>
  <c r="CM76" i="29" s="1"/>
  <c r="CF77" i="29"/>
  <c r="CJ77" i="29" s="1"/>
  <c r="CG77" i="29"/>
  <c r="CK77" i="29" s="1"/>
  <c r="CH77" i="29"/>
  <c r="CL77" i="29" s="1"/>
  <c r="CI77" i="29"/>
  <c r="CM77" i="29" s="1"/>
  <c r="CI211" i="29"/>
  <c r="CM211" i="29" s="1"/>
  <c r="CF211" i="29"/>
  <c r="CJ211" i="29" s="1"/>
  <c r="CG211" i="29"/>
  <c r="CK211" i="29" s="1"/>
  <c r="CH211" i="29"/>
  <c r="CL211" i="29" s="1"/>
  <c r="CF154" i="29"/>
  <c r="CJ154" i="29" s="1"/>
  <c r="CG154" i="29"/>
  <c r="CK154" i="29" s="1"/>
  <c r="CH154" i="29"/>
  <c r="CL154" i="29" s="1"/>
  <c r="CI154" i="29"/>
  <c r="CF291" i="29"/>
  <c r="CG291" i="29"/>
  <c r="CK291" i="29" s="1"/>
  <c r="CH291" i="29"/>
  <c r="CL291" i="29" s="1"/>
  <c r="CI291" i="29"/>
  <c r="CM291" i="29" s="1"/>
  <c r="CF174" i="29"/>
  <c r="CJ174" i="29" s="1"/>
  <c r="CG174" i="29"/>
  <c r="CK174" i="29" s="1"/>
  <c r="CH174" i="29"/>
  <c r="CL174" i="29" s="1"/>
  <c r="CI174" i="29"/>
  <c r="CM174" i="29" s="1"/>
  <c r="CI94" i="29"/>
  <c r="CM94" i="29" s="1"/>
  <c r="CF94" i="29"/>
  <c r="CJ94" i="29" s="1"/>
  <c r="CG94" i="29"/>
  <c r="CK94" i="29" s="1"/>
  <c r="CH94" i="29"/>
  <c r="CL94" i="29" s="1"/>
  <c r="CF292" i="29"/>
  <c r="CJ292" i="29" s="1"/>
  <c r="CG292" i="29"/>
  <c r="CK292" i="29" s="1"/>
  <c r="CH292" i="29"/>
  <c r="CL292" i="29" s="1"/>
  <c r="CI292" i="29"/>
  <c r="CM292" i="29" s="1"/>
  <c r="CF254" i="29"/>
  <c r="CJ254" i="29" s="1"/>
  <c r="CG254" i="29"/>
  <c r="CK254" i="29" s="1"/>
  <c r="CH254" i="29"/>
  <c r="CL254" i="29" s="1"/>
  <c r="CI254" i="29"/>
  <c r="CM254" i="29" s="1"/>
  <c r="CF189" i="29"/>
  <c r="CJ189" i="29" s="1"/>
  <c r="CG189" i="29"/>
  <c r="CK189" i="29" s="1"/>
  <c r="CH189" i="29"/>
  <c r="CL189" i="29" s="1"/>
  <c r="CI189" i="29"/>
  <c r="CM189" i="29" s="1"/>
  <c r="CI130" i="29"/>
  <c r="CM130" i="29" s="1"/>
  <c r="CF130" i="29"/>
  <c r="CJ130" i="29" s="1"/>
  <c r="CG130" i="29"/>
  <c r="CK130" i="29" s="1"/>
  <c r="CH130" i="29"/>
  <c r="CL130" i="29" s="1"/>
  <c r="CF68" i="29"/>
  <c r="CJ68" i="29" s="1"/>
  <c r="CG68" i="29"/>
  <c r="CK68" i="29" s="1"/>
  <c r="CH68" i="29"/>
  <c r="CL68" i="29" s="1"/>
  <c r="CI68" i="29"/>
  <c r="CM68" i="29" s="1"/>
  <c r="CF285" i="29"/>
  <c r="CJ285" i="29" s="1"/>
  <c r="CG285" i="29"/>
  <c r="CK285" i="29" s="1"/>
  <c r="CH285" i="29"/>
  <c r="CL285" i="29" s="1"/>
  <c r="CI285" i="29"/>
  <c r="CM285" i="29" s="1"/>
  <c r="CF206" i="29"/>
  <c r="CJ206" i="29" s="1"/>
  <c r="CG206" i="29"/>
  <c r="CK206" i="29" s="1"/>
  <c r="CH206" i="29"/>
  <c r="CL206" i="29" s="1"/>
  <c r="CI206" i="29"/>
  <c r="CM206" i="29" s="1"/>
  <c r="CF126" i="29"/>
  <c r="CG126" i="29"/>
  <c r="CK126" i="29" s="1"/>
  <c r="CI126" i="29"/>
  <c r="CM126" i="29" s="1"/>
  <c r="CH126" i="29"/>
  <c r="CL126" i="29" s="1"/>
  <c r="CF25" i="29"/>
  <c r="CJ25" i="29" s="1"/>
  <c r="CG25" i="29"/>
  <c r="CK25" i="29" s="1"/>
  <c r="CH25" i="29"/>
  <c r="CL25" i="29" s="1"/>
  <c r="CI25" i="29"/>
  <c r="CM25" i="29" s="1"/>
  <c r="CF197" i="29"/>
  <c r="CJ197" i="29" s="1"/>
  <c r="CG197" i="29"/>
  <c r="CK197" i="29" s="1"/>
  <c r="CH197" i="29"/>
  <c r="CL197" i="29" s="1"/>
  <c r="CI197" i="29"/>
  <c r="CM197" i="29" s="1"/>
  <c r="CF222" i="29"/>
  <c r="CJ222" i="29" s="1"/>
  <c r="CG222" i="29"/>
  <c r="CK222" i="29" s="1"/>
  <c r="CH222" i="29"/>
  <c r="CL222" i="29" s="1"/>
  <c r="CI222" i="29"/>
  <c r="CM222" i="29" s="1"/>
  <c r="CI192" i="29"/>
  <c r="CM192" i="29" s="1"/>
  <c r="CF192" i="29"/>
  <c r="CJ192" i="29" s="1"/>
  <c r="CG192" i="29"/>
  <c r="CK192" i="29" s="1"/>
  <c r="CH192" i="29"/>
  <c r="CL192" i="29" s="1"/>
  <c r="CF58" i="29"/>
  <c r="CG58" i="29"/>
  <c r="CK58" i="29" s="1"/>
  <c r="CH58" i="29"/>
  <c r="CL58" i="29" s="1"/>
  <c r="CI58" i="29"/>
  <c r="CM58" i="29" s="1"/>
  <c r="CF149" i="29"/>
  <c r="CJ149" i="29" s="1"/>
  <c r="CG149" i="29"/>
  <c r="CK149" i="29" s="1"/>
  <c r="CH149" i="29"/>
  <c r="CL149" i="29" s="1"/>
  <c r="CI149" i="29"/>
  <c r="CM149" i="29" s="1"/>
  <c r="CF56" i="29"/>
  <c r="CJ56" i="29" s="1"/>
  <c r="CG56" i="29"/>
  <c r="CK56" i="29" s="1"/>
  <c r="CH56" i="29"/>
  <c r="CL56" i="29" s="1"/>
  <c r="CI56" i="29"/>
  <c r="CM56" i="29" s="1"/>
  <c r="CF276" i="29"/>
  <c r="CJ276" i="29" s="1"/>
  <c r="CG276" i="29"/>
  <c r="CK276" i="29" s="1"/>
  <c r="CH276" i="29"/>
  <c r="CL276" i="29" s="1"/>
  <c r="CI276" i="29"/>
  <c r="CM276" i="29" s="1"/>
  <c r="CF73" i="29"/>
  <c r="CJ73" i="29" s="1"/>
  <c r="CG73" i="29"/>
  <c r="CK73" i="29" s="1"/>
  <c r="CH73" i="29"/>
  <c r="CL73" i="29" s="1"/>
  <c r="CI73" i="29"/>
  <c r="CM73" i="29" s="1"/>
  <c r="CF237" i="29"/>
  <c r="CG237" i="29"/>
  <c r="CK237" i="29" s="1"/>
  <c r="CH237" i="29"/>
  <c r="CL237" i="29" s="1"/>
  <c r="CI237" i="29"/>
  <c r="CM237" i="29" s="1"/>
  <c r="CF28" i="29"/>
  <c r="CJ28" i="29" s="1"/>
  <c r="CG28" i="29"/>
  <c r="CK28" i="29" s="1"/>
  <c r="CH28" i="29"/>
  <c r="CL28" i="29" s="1"/>
  <c r="CI28" i="29"/>
  <c r="CM28" i="29" s="1"/>
  <c r="CF155" i="29"/>
  <c r="CJ155" i="29" s="1"/>
  <c r="CG155" i="29"/>
  <c r="CK155" i="29" s="1"/>
  <c r="CH155" i="29"/>
  <c r="CL155" i="29" s="1"/>
  <c r="CI155" i="29"/>
  <c r="CM155" i="29" s="1"/>
  <c r="CI74" i="29"/>
  <c r="CM74" i="29" s="1"/>
  <c r="CF74" i="29"/>
  <c r="CJ74" i="29" s="1"/>
  <c r="CG74" i="29"/>
  <c r="CK74" i="29" s="1"/>
  <c r="CH74" i="29"/>
  <c r="CL74" i="29" s="1"/>
  <c r="CF272" i="29"/>
  <c r="CJ272" i="29" s="1"/>
  <c r="CG272" i="29"/>
  <c r="CK272" i="29" s="1"/>
  <c r="CH272" i="29"/>
  <c r="CL272" i="29" s="1"/>
  <c r="CI272" i="29"/>
  <c r="CM272" i="29" s="1"/>
  <c r="CF233" i="29"/>
  <c r="CJ233" i="29" s="1"/>
  <c r="CG233" i="29"/>
  <c r="CK233" i="29" s="1"/>
  <c r="CH233" i="29"/>
  <c r="CL233" i="29" s="1"/>
  <c r="CI233" i="29"/>
  <c r="CM233" i="29" s="1"/>
  <c r="CF168" i="29"/>
  <c r="CJ168" i="29" s="1"/>
  <c r="CG168" i="29"/>
  <c r="CK168" i="29" s="1"/>
  <c r="CH168" i="29"/>
  <c r="CL168" i="29" s="1"/>
  <c r="CI168" i="29"/>
  <c r="CM168" i="29" s="1"/>
  <c r="CI111" i="29"/>
  <c r="CM111" i="29" s="1"/>
  <c r="CF111" i="29"/>
  <c r="CJ111" i="29" s="1"/>
  <c r="CG111" i="29"/>
  <c r="CK111" i="29" s="1"/>
  <c r="CH111" i="29"/>
  <c r="CL111" i="29" s="1"/>
  <c r="CF49" i="29"/>
  <c r="CJ49" i="29" s="1"/>
  <c r="CG49" i="29"/>
  <c r="CK49" i="29" s="1"/>
  <c r="CH49" i="29"/>
  <c r="CL49" i="29" s="1"/>
  <c r="CI49" i="29"/>
  <c r="CM49" i="29" s="1"/>
  <c r="CF244" i="29"/>
  <c r="CJ244" i="29" s="1"/>
  <c r="CG244" i="29"/>
  <c r="CK244" i="29" s="1"/>
  <c r="CH244" i="29"/>
  <c r="CL244" i="29" s="1"/>
  <c r="CI244" i="29"/>
  <c r="CM244" i="29" s="1"/>
  <c r="CF183" i="29"/>
  <c r="CG183" i="29"/>
  <c r="CH183" i="29"/>
  <c r="CL183" i="29" s="1"/>
  <c r="CI183" i="29"/>
  <c r="CM183" i="29" s="1"/>
  <c r="CI106" i="29"/>
  <c r="CM106" i="29" s="1"/>
  <c r="CF106" i="29"/>
  <c r="CJ106" i="29" s="1"/>
  <c r="CG106" i="29"/>
  <c r="CK106" i="29" s="1"/>
  <c r="CH106" i="29"/>
  <c r="CL106" i="29" s="1"/>
  <c r="CF277" i="29"/>
  <c r="CJ277" i="29" s="1"/>
  <c r="CG277" i="29"/>
  <c r="CK277" i="29" s="1"/>
  <c r="CH277" i="29"/>
  <c r="CL277" i="29" s="1"/>
  <c r="CI277" i="29"/>
  <c r="CM277" i="29" s="1"/>
  <c r="CF264" i="29"/>
  <c r="CJ264" i="29" s="1"/>
  <c r="CG264" i="29"/>
  <c r="CK264" i="29" s="1"/>
  <c r="CH264" i="29"/>
  <c r="CL264" i="29" s="1"/>
  <c r="CI264" i="29"/>
  <c r="CM264" i="29" s="1"/>
  <c r="CF202" i="29"/>
  <c r="CJ202" i="29" s="1"/>
  <c r="CG202" i="29"/>
  <c r="CK202" i="29" s="1"/>
  <c r="CH202" i="29"/>
  <c r="CL202" i="29" s="1"/>
  <c r="CI202" i="29"/>
  <c r="CM202" i="29" s="1"/>
  <c r="CI139" i="29"/>
  <c r="CM139" i="29" s="1"/>
  <c r="CF139" i="29"/>
  <c r="CJ139" i="29" s="1"/>
  <c r="CG139" i="29"/>
  <c r="CK139" i="29" s="1"/>
  <c r="CH139" i="29"/>
  <c r="CL139" i="29" s="1"/>
  <c r="CF39" i="29"/>
  <c r="CJ39" i="29" s="1"/>
  <c r="CG39" i="29"/>
  <c r="CK39" i="29" s="1"/>
  <c r="CH39" i="29"/>
  <c r="CL39" i="29" s="1"/>
  <c r="CI39" i="29"/>
  <c r="CM39" i="29" s="1"/>
  <c r="CL193" i="29"/>
  <c r="CK193" i="29"/>
  <c r="CJ131" i="29"/>
  <c r="CJ69" i="29"/>
  <c r="CM310" i="29"/>
  <c r="CL230" i="29"/>
  <c r="CM230" i="29"/>
  <c r="CJ218" i="29"/>
  <c r="CK52" i="29"/>
  <c r="CJ286" i="29"/>
  <c r="CJ293" i="29"/>
  <c r="CJ253" i="29"/>
  <c r="CJ179" i="29"/>
  <c r="CJ273" i="29"/>
  <c r="CJ249" i="29"/>
  <c r="CM306" i="29"/>
  <c r="CJ159" i="29"/>
  <c r="CL180" i="29"/>
  <c r="CK180" i="29"/>
  <c r="CM154" i="29"/>
  <c r="CK115" i="29"/>
  <c r="CJ229" i="29"/>
  <c r="CK147" i="29"/>
  <c r="CJ140" i="29"/>
  <c r="CK200" i="29"/>
  <c r="CJ235" i="29"/>
  <c r="CL133" i="29"/>
  <c r="CJ123" i="29"/>
  <c r="CM116" i="29"/>
  <c r="CJ287" i="29"/>
  <c r="CJ180" i="29"/>
  <c r="CM105" i="29"/>
  <c r="CK43" i="29"/>
  <c r="CJ193" i="29"/>
  <c r="CJ92" i="29"/>
  <c r="CJ86" i="29"/>
  <c r="CJ22" i="29"/>
  <c r="CJ310" i="29"/>
  <c r="CL148" i="29"/>
  <c r="CJ230" i="29"/>
  <c r="CK183" i="29"/>
  <c r="CJ124" i="29"/>
  <c r="CJ42" i="29"/>
  <c r="CK97" i="29"/>
  <c r="CJ118" i="29"/>
  <c r="CM29" i="29"/>
  <c r="CJ186" i="29"/>
  <c r="CK248" i="29"/>
  <c r="CM84" i="29"/>
  <c r="CJ248" i="29"/>
  <c r="CJ306" i="29"/>
  <c r="CM65" i="29"/>
  <c r="CJ262" i="29"/>
  <c r="CJ43" i="29"/>
  <c r="CK123" i="29"/>
  <c r="CL123" i="29"/>
  <c r="CJ291" i="29"/>
  <c r="CJ280" i="29"/>
  <c r="CJ101" i="29"/>
  <c r="CJ258" i="29"/>
  <c r="CM135" i="29"/>
  <c r="CK293" i="29"/>
  <c r="CK249" i="29"/>
  <c r="CJ263" i="29"/>
  <c r="CJ237" i="29"/>
  <c r="CK131" i="29"/>
  <c r="CK118" i="29"/>
  <c r="CJ88" i="29"/>
  <c r="CK229" i="29"/>
  <c r="CL229" i="29"/>
  <c r="CJ302" i="29"/>
  <c r="CJ38" i="29"/>
  <c r="CJ147" i="29"/>
  <c r="CJ126" i="29"/>
  <c r="CK159" i="29"/>
  <c r="CL159" i="29"/>
  <c r="CJ58" i="29"/>
  <c r="CK156" i="29"/>
  <c r="CK184" i="29"/>
  <c r="CJ183" i="29"/>
  <c r="CL140" i="29"/>
  <c r="AB18" i="29"/>
  <c r="AC18" i="29" s="1"/>
  <c r="B45" i="3"/>
  <c r="B51" i="3" s="1"/>
  <c r="AT10" i="11"/>
  <c r="AT13" i="11" s="1"/>
  <c r="AY11" i="11"/>
  <c r="F38" i="3"/>
  <c r="P15" i="30"/>
  <c r="E9" i="30"/>
  <c r="E17" i="30" s="1"/>
  <c r="AY12" i="11"/>
  <c r="AV12" i="11"/>
  <c r="C29" i="3"/>
  <c r="D32" i="6"/>
  <c r="B119" i="5"/>
  <c r="AS6" i="11"/>
  <c r="C24" i="3"/>
  <c r="AS10" i="11"/>
  <c r="AZ8" i="11"/>
  <c r="F26" i="3"/>
  <c r="F24" i="3" s="1"/>
  <c r="BC7" i="11" s="1"/>
  <c r="B32" i="6"/>
  <c r="P9" i="30"/>
  <c r="H30" i="3"/>
  <c r="G25" i="3"/>
  <c r="BB12" i="11"/>
  <c r="F31" i="3"/>
  <c r="G27" i="3"/>
  <c r="BC9" i="11"/>
  <c r="P17" i="30" l="1"/>
  <c r="I24" i="30" s="1"/>
  <c r="I26" i="30" s="1"/>
  <c r="CI21" i="29"/>
  <c r="CM21" i="29" s="1"/>
  <c r="CH21" i="29"/>
  <c r="CL21" i="29" s="1"/>
  <c r="CG21" i="29"/>
  <c r="CK21" i="29" s="1"/>
  <c r="BB11" i="11"/>
  <c r="BC11" i="11"/>
  <c r="B9" i="6"/>
  <c r="B16" i="6" s="1"/>
  <c r="B34" i="6" s="1"/>
  <c r="B69" i="3"/>
  <c r="B70" i="3" s="1"/>
  <c r="B71" i="3" s="1"/>
  <c r="AS13" i="11"/>
  <c r="AS5" i="11" s="1"/>
  <c r="AY6" i="11"/>
  <c r="AR10" i="11"/>
  <c r="AR11" i="11"/>
  <c r="B37" i="6"/>
  <c r="D25" i="11"/>
  <c r="D26" i="11" s="1"/>
  <c r="BC8" i="11"/>
  <c r="G26" i="3"/>
  <c r="G24" i="3" s="1"/>
  <c r="BF7" i="11" s="1"/>
  <c r="AR9" i="11"/>
  <c r="AR8" i="11"/>
  <c r="AR7" i="11"/>
  <c r="H25" i="3"/>
  <c r="BF9" i="11"/>
  <c r="H27" i="3"/>
  <c r="BI9" i="11" s="1"/>
  <c r="G31" i="3"/>
  <c r="BH12" i="11"/>
  <c r="BE12" i="11"/>
  <c r="BB6" i="11"/>
  <c r="E33" i="3" l="1"/>
  <c r="AT5" i="11"/>
  <c r="B39" i="6"/>
  <c r="G33" i="3"/>
  <c r="H33" i="3"/>
  <c r="F33" i="3"/>
  <c r="B57" i="3"/>
  <c r="B59" i="3" s="1"/>
  <c r="B3" i="32" s="1"/>
  <c r="BF8" i="11"/>
  <c r="H26" i="3"/>
  <c r="BI8" i="11" s="1"/>
  <c r="H31" i="3"/>
  <c r="BE6" i="11"/>
  <c r="BB18" i="29" l="1"/>
  <c r="BD18" i="29" s="1"/>
  <c r="BJ18" i="29" s="1"/>
  <c r="H24" i="3"/>
  <c r="BI7" i="11" s="1"/>
  <c r="E3" i="32"/>
  <c r="BH6" i="11"/>
  <c r="E34" i="3" l="1"/>
  <c r="E29" i="3" s="1"/>
  <c r="BM18" i="29"/>
  <c r="H34" i="3" s="1"/>
  <c r="BL18" i="29"/>
  <c r="G34" i="3" s="1"/>
  <c r="BK18" i="29"/>
  <c r="F34" i="3" s="1"/>
  <c r="D29" i="3"/>
  <c r="E51" i="3" l="1"/>
  <c r="E45" i="3"/>
  <c r="C6" i="32"/>
  <c r="C7" i="32"/>
  <c r="C8" i="32"/>
  <c r="D5" i="32"/>
  <c r="C5" i="32"/>
  <c r="D7" i="32"/>
  <c r="D8" i="32"/>
  <c r="D6" i="32"/>
  <c r="F29" i="3"/>
  <c r="AV10" i="11"/>
  <c r="AW10" i="11"/>
  <c r="D119" i="5"/>
  <c r="D45" i="3"/>
  <c r="D51" i="3" s="1"/>
  <c r="H29" i="3"/>
  <c r="E63" i="3"/>
  <c r="E64" i="3" s="1"/>
  <c r="E65" i="3" s="1"/>
  <c r="G29" i="3"/>
  <c r="G51" i="3" s="1"/>
  <c r="H63" i="3" l="1"/>
  <c r="H64" i="3" s="1"/>
  <c r="H65" i="3" s="1"/>
  <c r="H51" i="3"/>
  <c r="F63" i="3"/>
  <c r="F64" i="3" s="1"/>
  <c r="F65" i="3" s="1"/>
  <c r="F51" i="3"/>
  <c r="G45" i="3"/>
  <c r="G63" i="3"/>
  <c r="G64" i="3" s="1"/>
  <c r="G65" i="3" s="1"/>
  <c r="BE10" i="11"/>
  <c r="BF10" i="11"/>
  <c r="BI10" i="11"/>
  <c r="BH10" i="11"/>
  <c r="H45" i="3"/>
  <c r="AV13" i="11"/>
  <c r="AV5" i="11" s="1"/>
  <c r="AY10" i="11"/>
  <c r="AZ10" i="11"/>
  <c r="D9" i="6"/>
  <c r="D37" i="6"/>
  <c r="AW13" i="11"/>
  <c r="AU11" i="11" s="1"/>
  <c r="BC10" i="11"/>
  <c r="BB10" i="11"/>
  <c r="F45" i="3"/>
  <c r="H69" i="3" l="1"/>
  <c r="H70" i="3" s="1"/>
  <c r="H71" i="3" s="1"/>
  <c r="G57" i="3"/>
  <c r="G59" i="3" s="1"/>
  <c r="B7" i="32" s="1"/>
  <c r="E69" i="3"/>
  <c r="E70" i="3" s="1"/>
  <c r="E71" i="3" s="1"/>
  <c r="F69" i="3"/>
  <c r="F70" i="3" s="1"/>
  <c r="F71" i="3" s="1"/>
  <c r="BC13" i="11"/>
  <c r="BA11" i="11" s="1"/>
  <c r="D16" i="6"/>
  <c r="D34" i="6" s="1"/>
  <c r="D39" i="6"/>
  <c r="BB13" i="11"/>
  <c r="AU7" i="11"/>
  <c r="AU8" i="11"/>
  <c r="AU9" i="11"/>
  <c r="AW14" i="11"/>
  <c r="AY13" i="11"/>
  <c r="AY5" i="11" s="1"/>
  <c r="BH13" i="11"/>
  <c r="BH5" i="11" s="1"/>
  <c r="BF13" i="11"/>
  <c r="F57" i="3"/>
  <c r="F59" i="3" s="1"/>
  <c r="Y25" i="11"/>
  <c r="AU10" i="11"/>
  <c r="K25" i="11"/>
  <c r="D57" i="3"/>
  <c r="D59" i="3" s="1"/>
  <c r="AZ13" i="11"/>
  <c r="AX11" i="11" s="1"/>
  <c r="AW5" i="11"/>
  <c r="AV14" i="11"/>
  <c r="BI13" i="11"/>
  <c r="BG11" i="11" s="1"/>
  <c r="BE13" i="11"/>
  <c r="AG25" i="11" l="1"/>
  <c r="AO25" i="11"/>
  <c r="H57" i="3"/>
  <c r="H59" i="3" s="1"/>
  <c r="E8" i="32" s="1"/>
  <c r="G69" i="3"/>
  <c r="G70" i="3" s="1"/>
  <c r="G71" i="3" s="1"/>
  <c r="S25" i="11"/>
  <c r="E57" i="3"/>
  <c r="E59" i="3" s="1"/>
  <c r="E6" i="32"/>
  <c r="B4" i="32"/>
  <c r="E4" i="32"/>
  <c r="E7" i="32"/>
  <c r="B6" i="32"/>
  <c r="BD10" i="11"/>
  <c r="BD11" i="11"/>
  <c r="BF5" i="11"/>
  <c r="BE14" i="11"/>
  <c r="Y26" i="11"/>
  <c r="AZ5" i="11"/>
  <c r="AY14" i="11"/>
  <c r="BG8" i="11"/>
  <c r="BI14" i="11"/>
  <c r="BG9" i="11"/>
  <c r="BG7" i="11"/>
  <c r="AX8" i="11"/>
  <c r="AX7" i="11"/>
  <c r="AX9" i="11"/>
  <c r="AZ14" i="11"/>
  <c r="AX10" i="11"/>
  <c r="BF14" i="11"/>
  <c r="BD8" i="11"/>
  <c r="BD7" i="11"/>
  <c r="BD9" i="11"/>
  <c r="BI5" i="11"/>
  <c r="BH14" i="11"/>
  <c r="BE5" i="11"/>
  <c r="AG26" i="11"/>
  <c r="BG10" i="11"/>
  <c r="BC5" i="11"/>
  <c r="BB14" i="11"/>
  <c r="BB5" i="11"/>
  <c r="K26" i="11"/>
  <c r="BA8" i="11"/>
  <c r="BA7" i="11"/>
  <c r="BC14" i="11"/>
  <c r="BA9" i="11"/>
  <c r="BA10" i="11"/>
  <c r="AO26" i="11" l="1"/>
  <c r="B8" i="32"/>
  <c r="E5" i="32"/>
  <c r="B5" i="32"/>
  <c r="S2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tc={35BA52BF-2B31-4ABB-9471-5DCF2D583485}</author>
    <author>tc={C0175BCE-348E-462C-8221-10F8920F4E0C}</author>
    <author>tc={5018C8E3-3B3C-4E25-803B-D63BC2B78538}</author>
    <author>tc={91904040-C26E-4221-8790-DE2D804778EA}</author>
    <author>tc={B16388A7-B995-4981-820A-DF16E5976BDA}</author>
    <author>tc={B43B3CC1-95C9-4958-81C2-8C91B258F966}</author>
    <author>tc={5CDCB149-ECAF-45D8-86EB-B0C388B43562}</author>
    <author>tc={3128B79F-E70A-4F02-8428-D69FA7BDC979}</author>
    <author>tc={E8874A58-AEE5-4FCD-8E41-BDA49ADA4A3F}</author>
    <author>tc={14F851E8-FB80-460E-86AB-E4139D454765}</author>
    <author>tc={2ACBCEE9-74B4-4D37-9AFB-81C7E81619A7}</author>
    <author>tc={340AE68A-C3D7-4804-8BC5-A8BCE5A166FA}</author>
    <author>tc={31F966BE-33A6-46C8-AB2E-7B71FD54C297}</author>
    <author>tc={4E2AF42A-DB62-4C52-A6D5-298EF130EF80}</author>
    <author>tc={E66C572B-BF05-466B-82B1-E892726BDFAD}</author>
    <author>tc={2C866C0B-8A80-4825-A873-7176E6441C6D}</author>
    <author>tc={6124946F-6692-4A7F-B28E-7828D381DB0A}</author>
    <author>tc={6BAF4501-4221-4D67-B0F9-D7BD550F7980}</author>
    <author>tc={D869D6A7-600B-41A4-9863-0A668B9812CE}</author>
    <author>tc={73094CF6-B1A2-4B34-835F-4547C3D66280}</author>
    <author>tc={F801E6FE-ECDE-4B3A-A6BB-888CE84AF289}</author>
    <author>tc={ED65EDF2-943C-4AFE-B9CC-AC78A54F7E76}</author>
    <author>tc={C4CD0796-A6CC-4314-8C2E-567298F25F97}</author>
    <author>tc={1B34B45C-7C45-4687-90D9-9DA59A968794}</author>
    <author>tc={371B32DD-50D1-4A37-9067-7DBDC1128B3F}</author>
    <author>tc={27BAA349-90AB-476F-9F0A-0FF169727234}</author>
    <author>tc={54FEF895-2507-48A0-BE40-144914ACC43F}</author>
    <author>tc={33AFAC98-168F-49D4-AAE5-1F009E548B4D}</author>
  </authors>
  <commentList>
    <comment ref="A4" authorId="0" shapeId="0" xr:uid="{35BA52BF-2B31-4ABB-9471-5DCF2D583485}">
      <text>
        <t>[Kommenttiketju]
Excel-versiosi avulla voit lukea tämän kommenttiketjun, mutta siihen tehdyt muutokset poistetaan, jos tiedosto avataan uudemmassa Excel-versiossa. Lisätietoja: https://go.microsoft.com/fwlink/?linkid=870924
Kommentti:
    Lähde: Tilastokeskus (tp- ja väestötiedot), VM(siirtolaskelma marraskuu 2022) ja Kuntaliitto(muut laskelmat)</t>
      </text>
    </comment>
    <comment ref="C10" authorId="1" shapeId="0" xr:uid="{C0175BCE-348E-462C-8221-10F8920F4E0C}">
      <text>
        <t>[Kommenttiketju]
Excel-versiosi avulla voit lukea tämän kommenttiketjun, mutta siihen tehdyt muutokset poistetaan, jos tiedosto avataan uudemmassa Excel-versiossa. Lisätietoja: https://go.microsoft.com/fwlink/?linkid=870924
Kommentti:
    Voit täyttää tähän vuoden 2022 tilinpäätöstä vastaavan luvun. Jakoavain laskee siirtolaskelmissa käytettävän keskiarvon. Syötä tähän toimintakate + poistot.
Vastaus:
    Esitäytetty tilinpäätösarvio 2022 mukaiset kulut.
Vastaus:
    Muutos: poistoja ei enää eritellä alempana vaan ne sisältyvät tähän.</t>
      </text>
    </comment>
    <comment ref="C11" authorId="2" shapeId="0" xr:uid="{5018C8E3-3B3C-4E25-803B-D63BC2B78538}">
      <text>
        <t>[Kommenttiketju]
Excel-versiosi avulla voit lukea tämän kommenttiketjun, mutta siihen tehdyt muutokset poistetaan, jos tiedosto avataan uudemmassa Excel-versiossa. Lisätietoja: https://go.microsoft.com/fwlink/?linkid=870924
Kommentti:
    Voit täyttää tähän vuoden 2022 tilinpäätöstä vastaavan luvun. Jakoavain laskee siirtolaskelmissa käytettävän keskiarvon. Syötä tähän toimintakate + poistot.
Vastaus:
    Esitäytetty tilinpäätösarvio 2022 mukaiset kulut.
Vastaus:
    Muutos: poistoja ei enää eritellä alempana vaan ne sisältyvät tähän.</t>
      </text>
    </comment>
    <comment ref="B14" authorId="3" shapeId="0" xr:uid="{91904040-C26E-4221-8790-DE2D804778EA}">
      <text>
        <t>[Kommenttiketju]
Excel-versiosi avulla voit lukea tämän kommenttiketjun, mutta siihen tehdyt muutokset poistetaan, jos tiedosto avataan uudemmassa Excel-versiossa. Lisätietoja: https://go.microsoft.com/fwlink/?linkid=870924
Kommentti:
    Siirtolaskelmissa käytetään maksuunpantuja verotuloja. Verotulojen tietopohja lukittiin peruspalveluiden valtionosuusasetuksessa. Maksuunpannut verotulot kuvaavat poikkileikkaustilannetta kuten myös siirrettävät kulut sekä valtionosuudet.
Vastaus:
    Myös verotiedot päivitetään siirtolaskelmassa vastaamaan lopullista. Siirtolaskelman lopputarkistuksessa käytetään vuoden 2022 lopullisia maksuunpantuja veroja siten, että siirtyvä kunnallisvero vastaa 12,64 prosenttiyksikön leikkausta kun taas siirtyvä yhteisövero vastaa 1/3 osaa kunnan yhteisöveroista.</t>
      </text>
    </comment>
    <comment ref="B15" authorId="4" shapeId="0" xr:uid="{B16388A7-B995-4981-820A-DF16E5976BDA}">
      <text>
        <t>[Kommenttiketju]
Excel-versiosi avulla voit lukea tämän kommenttiketjun, mutta siihen tehdyt muutokset poistetaan, jos tiedosto avataan uudemmassa Excel-versiossa. Lisätietoja: https://go.microsoft.com/fwlink/?linkid=870924
Kommentti:
    Voit simuloida vaikutusta Kuntaliiton veroennusteella. Korvaa Kuntaliiton veroennuste soluista F14 ja F15.
Vastaus:
    Jos haluat käyttää verokehikon muokattua kunnallisveroennustetta, poimi kehikosta: välilehti A1, solu I62
Vastaus:
    Jakoavain laskee automaattisesti valitun kunnan siirtyvät verotulot.
Vastaus:
    Jakoavaimessa on esitäytettynä VM:n veroennuste. Verotuloarviot tarkentuvat kesäkuussa. Nyt käytössä olevat arviot saattavat vielä muuttua jonkin verran.</t>
      </text>
    </comment>
    <comment ref="F15" authorId="5" shapeId="0" xr:uid="{B43B3CC1-95C9-4958-81C2-8C91B258F966}">
      <text>
        <t>[Kommenttiketju]
Excel-versiosi avulla voit lukea tämän kommenttiketjun, mutta siihen tehdyt muutokset poistetaan, jos tiedosto avataan uudemmassa Excel-versiossa. Lisätietoja: https://go.microsoft.com/fwlink/?linkid=870924
Kommentti:
    Huhtikuussa 2023 julkaistu kuntakohtainen veroennuste.
Vastaus:
    Voit korvata tämän luvun soluun B15. Silloin Jakoavain laskee valtionosuuksien muutostarpeen.</t>
      </text>
    </comment>
    <comment ref="B16" authorId="6" shapeId="0" xr:uid="{5CDCB149-ECAF-45D8-86EB-B0C388B43562}">
      <text>
        <t xml:space="preserve">[Kommenttiketju]
Excel-versiosi avulla voit lukea tämän kommenttiketjun, mutta siihen tehdyt muutokset poistetaan, jos tiedosto avataan uudemmassa Excel-versiossa. Lisätietoja: https://go.microsoft.com/fwlink/?linkid=870924
Kommentti:
    Voit simuloida vaikutusta Kuntaliiton veroennusteella. Korvaa Kuntaliiton veroennuste soluista F14 ja F15.
Vastaus:
    Jos haluat käyttää kehikon muokattua yhteisöveroennustetta, syötä kehikosta: välilehti "B1ja2", solu I12
Vastaus:
    Jakoavain laskee automaattisesti valitun kunnan siirtyvät verotulot.
Vastaus:
    Jakoavaimessa on esitäytettynä VM:n veroennuste. Verotuloarviot tarkentuvat kesäkuussa. Nyt käytössä olevat arviot saattavat vielä muuttua jonkin verran.
</t>
      </text>
    </comment>
    <comment ref="F16" authorId="7" shapeId="0" xr:uid="{3128B79F-E70A-4F02-8428-D69FA7BDC979}">
      <text>
        <t>[Kommenttiketju]
Excel-versiosi avulla voit lukea tämän kommenttiketjun, mutta siihen tehdyt muutokset poistetaan, jos tiedosto avataan uudemmassa Excel-versiossa. Lisätietoja: https://go.microsoft.com/fwlink/?linkid=870924
Kommentti:
    Voit korvata tämän luvun soluun B16. Silloin Jakoavain laskee valtionosuuksien korjaustarpeen.</t>
      </text>
    </comment>
    <comment ref="D20" authorId="8" shapeId="0" xr:uid="{E8874A58-AEE5-4FCD-8E41-BDA49ADA4A3F}">
      <text>
        <t>[Kommenttiketju]
Excel-versiosi avulla voit lukea tämän kommenttiketjun, mutta siihen tehdyt muutokset poistetaan, jos tiedosto avataan uudemmassa Excel-versiossa. Lisätietoja: https://go.microsoft.com/fwlink/?linkid=870924
Kommentti:
    Vuoden 2023 valtionosuusmaksatusta varten laskettu siirtolaskelma, joka ei muutu vuoden 2023 aikana, mutta joka peritään takaisin tai hyvitetään vuosina 2024 ja 2025. Ks. Rivi 58. Lopputarkistus lasketaan koko maan tasoisesti, ei kuntakohtaisesti.</t>
      </text>
    </comment>
    <comment ref="A21" authorId="9" shapeId="0" xr:uid="{14F851E8-FB80-460E-86AB-E4139D454765}">
      <text>
        <t>[Kommenttiketju]
Excel-versiosi avulla voit lukea tämän kommenttiketjun, mutta siihen tehdyt muutokset poistetaan, jos tiedosto avataan uudemmassa Excel-versiossa. Lisätietoja: https://go.microsoft.com/fwlink/?linkid=870924
Kommentti:
    Toimintakate+poistot ilman verotuskustannusten alenemaa.</t>
      </text>
    </comment>
    <comment ref="C21" authorId="10" shapeId="0" xr:uid="{2ACBCEE9-74B4-4D37-9AFB-81C7E81619A7}">
      <text>
        <t>[Kommenttiketju]
Excel-versiosi avulla voit lukea tämän kommenttiketjun, mutta siihen tehdyt muutokset poistetaan, jos tiedosto avataan uudemmassa Excel-versiossa. Lisätietoja: https://go.microsoft.com/fwlink/?linkid=870924
Kommentti:
    Jakoavain laskee toimintakatteen kahden luvun keskiarvona joka korotetaan vuoden 2022 tasoon kertoimella. Jakoavain laskee keskiarvon alla olevista laatikoista.
Vastaus:
    Siirtyvä toimintakate lasketaan kuntien ilmoittamista tiedoista. Se lasketaan ottamalla siirtyvien tehtävien nettokulujen keskiarvo vuosilta 2021 ja 2022. Keskiarvo kerrotaan korotuskertoimella vuoden 2022 tasoon. Tämä sen vuoksi, että laskelmat on määrätty tehtäväksi vuoden 2022 tasossa. Keskiarvon käyttäminen vähentää kuitenkin yksittäisten kuntien kulujen heilahtelun vaikutuksia. Kunnat ovat ilmoittaneet vuoden 2021 kustannukset KKTPP raportin yhteydessä Valtiokonttorille. Alustavassa laskelmassa vuoden 2022 kulutietona käytetään talousarviotietoa, jonka Tilastokeskus on kerännyt vuoden 2022 alussa. Siirtolaskelmien lopputarkistuksessa TA2022 tieto korvataan TP2022 tiedolla. Voit simuloida lopputarkistuksen vaikutusta syöttämällä soluihin C34 ja C35 tilinpäätöksen 2022 mukaiset nettokulut (toimintakate). Poistot on syötetty riville 68.</t>
      </text>
    </comment>
    <comment ref="C25" authorId="11" shapeId="0" xr:uid="{340AE68A-C3D7-4804-8BC5-A8BCE5A166FA}">
      <text>
        <t>[Kommenttiketju]
Excel-versiosi avulla voit lukea tämän kommenttiketjun, mutta siihen tehdyt muutokset poistetaan, jos tiedosto avataan uudemmassa Excel-versiossa. Lisätietoja: https://go.microsoft.com/fwlink/?linkid=870924
Kommentti:
    Huomio myös se, että veroennustekehikossa vuoden 2023 maksuunpantuihin verotuloihin on arvioitu myös esimerkiksi ansiotulojen kehitys 2022-&gt;2023, kun taas siirtolaskelmat tehdään aina 2022 tasossa. Toki siirtolaskelmissa huomioidaan verovähennyksissä tapahtuvat muutokset mutta niissä ei huomioida esimerkiksi väestössä tai työllisyydessä tapahtuvia muutoksia 2022 ja 2023 vuosien välillä.
Vastaus:
    Näistä syistä johtuen veroennustekehikon ja siirtolaskelmien maksuunpannut verotulot eivät ole täysin  vertailukelpoisia vuoden 2023 osalta. Jos simuloit jakoavaimella eri suuruisten maksunpantujen verotulojen vaikutusta, huomioi, että verotulot tulee olla siirtolaskelmissa aina vuoden 2022 tasossa eli laskettuna vuoden 2022 maksuunpannuista verotuloista (kehikossa välilehti A.1, solu I62).
Vastaus:
    Jakoavain laskee keltaisesta solusta siirtyvät verotulot.</t>
      </text>
    </comment>
    <comment ref="C26" authorId="12" shapeId="0" xr:uid="{31F966BE-33A6-46C8-AB2E-7B71FD54C297}">
      <text>
        <t>[Kommenttiketju]
Excel-versiosi avulla voit lukea tämän kommenttiketjun, mutta siihen tehdyt muutokset poistetaan, jos tiedosto avataan uudemmassa Excel-versiossa. Lisätietoja: https://go.microsoft.com/fwlink/?linkid=870924
Kommentti:
    Jakoavain laskee keltaisesta solusta siirtyvät verotulot.</t>
      </text>
    </comment>
    <comment ref="A33" authorId="13" shapeId="0" xr:uid="{4E2AF42A-DB62-4C52-A6D5-298EF130EF80}">
      <text>
        <t>[Kommenttiketju]
Excel-versiosi avulla voit lukea tämän kommenttiketjun, mutta siihen tehdyt muutokset poistetaan, jos tiedosto avataan uudemmassa Excel-versiossa. Lisätietoja: https://go.microsoft.com/fwlink/?linkid=870924
Kommentti:
    Sote-uudistus sisältää kaksi kuntakohtaista tasauselementtiä: muutosrajoittimen sekä siirtymätasauksen. Molemmat jäävät osaksi valtionosuutta ja niitä ei päivitetä enää lopputarkistuksen jälkeen.
Vastaus:
    Näillä tasauselementeillä uudistuksen talousvaikutus tasataan yksittäiselle kunnalle.
Vastaus:
    Muutosrajoitin siirtolaskelmista vos-laskelmien pysyväksi eräksi.</t>
      </text>
    </comment>
    <comment ref="E33" authorId="14" shapeId="0" xr:uid="{E66C572B-BF05-466B-82B1-E892726BDFAD}">
      <text>
        <t>[Kommenttiketju]
Excel-versiosi avulla voit lukea tämän kommenttiketjun, mutta siihen tehdyt muutokset poistetaan, jos tiedosto avataan uudemmassa Excel-versiossa. Lisätietoja: https://go.microsoft.com/fwlink/?linkid=870924
Kommentti:
    Seuraa laatikoituja alueita.</t>
      </text>
    </comment>
    <comment ref="A34" authorId="15" shapeId="0" xr:uid="{2C866C0B-8A80-4825-A873-7176E6441C6D}">
      <text>
        <t>[Kommenttiketju]
Excel-versiosi avulla voit lukea tämän kommenttiketjun, mutta siihen tehdyt muutokset poistetaan, jos tiedosto avataan uudemmassa Excel-versiossa. Lisätietoja: https://go.microsoft.com/fwlink/?linkid=870924
Kommentti:
    Siirtymätasaus siirtolaskelmista vos-laskelmien pysyväksi eräksi.</t>
      </text>
    </comment>
    <comment ref="A35" authorId="16" shapeId="0" xr:uid="{6124946F-6692-4A7F-B28E-7828D381DB0A}">
      <text>
        <t>[Kommenttiketju]
Excel-versiosi avulla voit lukea tämän kommenttiketjun, mutta siihen tehdyt muutokset poistetaan, jos tiedosto avataan uudemmassa Excel-versiossa. Lisätietoja: https://go.microsoft.com/fwlink/?linkid=870924
Kommentti:
    Siirtolaskelmien lopputarkistuksessa kunnilta leikataan yhtäsuuruinen €/asukas vähennys valtionosuuksista. Tällä katetaan hyvinvointialueiden rahoitustarve koko maan tasolla. Tasasuuruinen vähennys huomioidaan osana muutosrajoitinta ja siirtyviä tuottoja. Ylimenevä osa vaikuttaa kuntakohtaisesti ja näkyy kunnan muutosrajoittimessa siirtyvänä tulona (ks. välilehti Muutosrajoitin (lopullinen)). Lopputarkistuksen suuruus tarkentuu myöhemmin. Lopputarkistus otetaan 1,5-kertaisena vuosilta 2024 ja 2025, koska vuoden 2023 ylimääräisesti maksettu valtionosuus peritään takaisin (tai hyvitetään jos maksettu liian vähän). Vuodesta 2026 lähtien tasasuuruinen leikkaus jää pysyväksi (ilman korotusta) osaksi valtionosuutta. Näillä näkymin siirtolaskelmien lopputarkistuksen kaikille yhteinen vos-vähennys tulisi olemaan n. 30 euroa asukasta kohden.
Vastaus:
    Tasasuuruisen leikkauksen suuruutta voi simuloida syöttämällä (€/asukas) summan soluun B95.</t>
      </text>
    </comment>
    <comment ref="A36" authorId="17" shapeId="0" xr:uid="{6BAF4501-4221-4D67-B0F9-D7BD550F7980}">
      <text>
        <t>[Kommenttiketju]
Excel-versiosi avulla voit lukea tämän kommenttiketjun, mutta siihen tehdyt muutokset poistetaan, jos tiedosto avataan uudemmassa Excel-versiossa. Lisätietoja: https://go.microsoft.com/fwlink/?linkid=870924
Kommentti:
    Takaisinperintä toteutetaan kaikille kunnille yhteisenä (€/asukas) vähennyksenä. Kuntakohtaista muutosrajoitinta ja siirtymätasausta ei peritä takaisin tai hyvitetä. 
Vastaus:
    Lopputarkistuksen ja takaisinperinnän lopullinen suuruus selviää syksyllä 2023.</t>
      </text>
    </comment>
    <comment ref="A47" authorId="18" shapeId="0" xr:uid="{D869D6A7-600B-41A4-9863-0A668B9812CE}">
      <text>
        <t>[Kommenttiketju]
Excel-versiosi avulla voit lukea tämän kommenttiketjun, mutta siihen tehdyt muutokset poistetaan, jos tiedosto avataan uudemmassa Excel-versiossa. Lisätietoja: https://go.microsoft.com/fwlink/?linkid=870924
Kommentti:
    Poistot huomioidaan yllä siirtyvissä nettokäyttökuluissa (toimintakate+poistot).</t>
      </text>
    </comment>
    <comment ref="A51" authorId="19" shapeId="0" xr:uid="{73094CF6-B1A2-4B34-835F-4547C3D66280}">
      <text>
        <t>[Kommenttiketju]
Excel-versiosi avulla voit lukea tämän kommenttiketjun, mutta siihen tehdyt muutokset poistetaan, jos tiedosto avataan uudemmassa Excel-versiossa. Lisätietoja: https://go.microsoft.com/fwlink/?linkid=870924
Kommentti:
    Tilikauden tulos vastaa tässä siirtolaskelmien tasapainoa eli se on laskennallinen. Tulos ei vastaa tilinpäätöksen mukaista tulosta esimerkiksi sen vuoksi, että verotulot pohjautuvat maksuunpantuihin veroihin, ei tilitettyihin kirjanpidon ja tilinpäätöksen mukaisiin verotuloihin. Tilikauden tuloksen  muutos kuitenkin kuvaa todellista tulosvaikutusta.</t>
      </text>
    </comment>
    <comment ref="A62" authorId="20" shapeId="0" xr:uid="{F801E6FE-ECDE-4B3A-A6BB-888CE84AF289}">
      <text>
        <t>[Kommenttiketju]
Excel-versiosi avulla voit lukea tämän kommenttiketjun, mutta siihen tehdyt muutokset poistetaan, jos tiedosto avataan uudemmassa Excel-versiossa. Lisätietoja: https://go.microsoft.com/fwlink/?linkid=870924
Kommentti:
    Alkuperäinen: VM 6.4 julkaiseman siirtolaskelman mukaan.</t>
      </text>
    </comment>
    <comment ref="A63" authorId="21" shapeId="0" xr:uid="{ED65EDF2-943C-4AFE-B9CC-AC78A54F7E76}">
      <text>
        <t>[Kommenttiketju]
Excel-versiosi avulla voit lukea tämän kommenttiketjun, mutta siihen tehdyt muutokset poistetaan, jos tiedosto avataan uudemmassa Excel-versiossa. Lisätietoja: https://go.microsoft.com/fwlink/?linkid=870924
Kommentti:
    Muokattu: Jakoavaimeen syötettyjen tietojen mukaan laskettuna.</t>
      </text>
    </comment>
    <comment ref="A64" authorId="22" shapeId="0" xr:uid="{C4CD0796-A6CC-4314-8C2E-567298F25F97}">
      <text>
        <t>[Kommenttiketju]
Excel-versiosi avulla voit lukea tämän kommenttiketjun, mutta siihen tehdyt muutokset poistetaan, jos tiedosto avataan uudemmassa Excel-versiossa. Lisätietoja: https://go.microsoft.com/fwlink/?linkid=870924
Kommentti:
    Lisää tai vähennä erotus ennakollisiin valtionosuuslaskelmiin.</t>
      </text>
    </comment>
    <comment ref="E64" authorId="23" shapeId="0" xr:uid="{1B34B45C-7C45-4687-90D9-9DA59A968794}">
      <text>
        <t>[Kommenttiketju]
Excel-versiosi avulla voit lukea tämän kommenttiketjun, mutta siihen tehdyt muutokset poistetaan, jos tiedosto avataan uudemmassa Excel-versiossa. Lisätietoja: https://go.microsoft.com/fwlink/?linkid=870924
Kommentti:
    Vertaa muutosta ennakollisiin valtionosuuslaskelmiin ja lisää tai vähennä vos-lukua tarvittaessa.
Vastaus:
    Esimerkiksi jos valtionosuudet laskevat kasvavien sote-kulujen vuoksi, voit olettaa, että ennakolliset valtionosuuslaskelmat ovat liian suuret.</t>
      </text>
    </comment>
    <comment ref="A68" authorId="24" shapeId="0" xr:uid="{371B32DD-50D1-4A37-9067-7DBDC1128B3F}">
      <text>
        <t>[Kommenttiketju]
Excel-versiosi avulla voit lukea tämän kommenttiketjun, mutta siihen tehdyt muutokset poistetaan, jos tiedosto avataan uudemmassa Excel-versiossa. Lisätietoja: https://go.microsoft.com/fwlink/?linkid=870924
Kommentti:
    Alkuperäinen: VM 6.4 julkaiseman siirtolaskelman mukaan.</t>
      </text>
    </comment>
    <comment ref="A69" authorId="25" shapeId="0" xr:uid="{27BAA349-90AB-476F-9F0A-0FF169727234}">
      <text>
        <t>[Kommenttiketju]
Excel-versiosi avulla voit lukea tämän kommenttiketjun, mutta siihen tehdyt muutokset poistetaan, jos tiedosto avataan uudemmassa Excel-versiossa. Lisätietoja: https://go.microsoft.com/fwlink/?linkid=870924
Kommentti:
    Muokattu: Jakoavaimeen syötettyjen tietojen mukaan laskettuna.</t>
      </text>
    </comment>
    <comment ref="E70" authorId="26" shapeId="0" xr:uid="{54FEF895-2507-48A0-BE40-144914ACC43F}">
      <text>
        <t xml:space="preserve">[Kommenttiketju]
Excel-versiosi avulla voit lukea tämän kommenttiketjun, mutta siihen tehdyt muutokset poistetaan, jos tiedosto avataan uudemmassa Excel-versiossa. Lisätietoja: https://go.microsoft.com/fwlink/?linkid=870924
Kommentti:
    Vaikutus tulokseen pitää sisällään myös valtionosuuksien muutoksen. </t>
      </text>
    </comment>
    <comment ref="B73" authorId="27" shapeId="0" xr:uid="{33AFAC98-168F-49D4-AAE5-1F009E548B4D}">
      <text>
        <t>[Kommenttiketju]
Excel-versiosi avulla voit lukea tämän kommenttiketjun, mutta siihen tehdyt muutokset poistetaan, jos tiedosto avataan uudemmassa Excel-versiossa. Lisätietoja: https://go.microsoft.com/fwlink/?linkid=870924
Kommentti:
    Tasasuuruinen vos-leikkaus lasketaan koko maan tasolla siten, että hyvinvointialueille siirtyviä kuluja verrataan kunnilta siirtyvään rahoitukseen. Mikäli siirtyvä rahoitus ei riitä kattamaan siirtyviä kuluja koko maan tasolla, leikataan kaikilta kunnilta yhtä suuruinen €/asukas vähennys. Tämä huomioidaan osaksi muutosrajoitinta. Tämän lisäksi kuntakohtainen muutosrajoitin sekä siirtymätasaus lasketaan uusiksi. Jakoavain tekee nämä laskelmat.
Vastaus:
    Laita miinusmerkki luvun eteen, muutoin Jakoavain tulkitsee arvon hyvitykseksi.
Vastaus:
    Esitäyttönä Kuntaliiton (16.3) arvion mukainen leikkaus.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tc={F4503270-8252-462F-8837-0EB7D5143A77}</author>
  </authors>
  <commentList>
    <comment ref="C9" authorId="0" shapeId="0" xr:uid="{F4503270-8252-462F-8837-0EB7D5143A77}">
      <text>
        <t>[Kommenttiketju]
Excel-versiosi avulla voit lukea tämän kommenttiketjun, mutta siihen tehdyt muutokset poistetaan, jos tiedosto avataan uudemmassa Excel-versiossa. Lisätietoja: https://go.microsoft.com/fwlink/?linkid=870924
Kommentti:
    Ilman verotuskustannusten alenemaa.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tc={6A0E2409-76C1-4100-B168-4C2237996ECF}</author>
    <author>tc={126823A2-F0AB-4AAB-8B9D-BD589293A71C}</author>
    <author>Mehtonen Mikko</author>
  </authors>
  <commentList>
    <comment ref="DA11" authorId="0" shapeId="0" xr:uid="{6A0E2409-76C1-4100-B168-4C2237996ECF}">
      <text>
        <t>[Kommenttiketju]
Excel-versiosi avulla voit lukea tämän kommenttiketjun, mutta siihen tehdyt muutokset poistetaan, jos tiedosto avataan uudemmassa Excel-versiossa. Lisätietoja: https://go.microsoft.com/fwlink/?linkid=870924
Kommentti:
    Huhtikuu 2023</t>
      </text>
    </comment>
    <comment ref="DB11" authorId="1" shapeId="0" xr:uid="{126823A2-F0AB-4AAB-8B9D-BD589293A71C}">
      <text>
        <t>[Kommenttiketju]
Excel-versiosi avulla voit lukea tämän kommenttiketjun, mutta siihen tehdyt muutokset poistetaan, jos tiedosto avataan uudemmassa Excel-versiossa. Lisätietoja: https://go.microsoft.com/fwlink/?linkid=870924
Kommentti:
    Huhtikuu 2023</t>
      </text>
    </comment>
    <comment ref="AE17" authorId="2" shapeId="0" xr:uid="{00000000-0006-0000-0700-000001000000}">
      <text>
        <r>
          <rPr>
            <b/>
            <sz val="9"/>
            <color indexed="81"/>
            <rFont val="Tahoma"/>
            <family val="2"/>
          </rPr>
          <t>Mehtonen Mikko:</t>
        </r>
        <r>
          <rPr>
            <sz val="9"/>
            <color indexed="81"/>
            <rFont val="Tahoma"/>
            <family val="2"/>
          </rPr>
          <t xml:space="preserve">
Tähän arvoon siis tasataan. Muutos siis.
</t>
        </r>
      </text>
    </comment>
    <comment ref="ED17" authorId="2" shapeId="0" xr:uid="{A5D251F8-540C-4914-9D77-408CA9D87DED}">
      <text>
        <r>
          <rPr>
            <b/>
            <sz val="9"/>
            <color indexed="81"/>
            <rFont val="Tahoma"/>
            <family val="2"/>
          </rPr>
          <t>Mehtonen Mikko:</t>
        </r>
        <r>
          <rPr>
            <sz val="9"/>
            <color indexed="81"/>
            <rFont val="Tahoma"/>
            <family val="2"/>
          </rPr>
          <t xml:space="preserve">
Tähän arvoon siis tasataan. Muutos siis.
</t>
        </r>
      </text>
    </comment>
  </commentList>
</comments>
</file>

<file path=xl/sharedStrings.xml><?xml version="1.0" encoding="utf-8"?>
<sst xmlns="http://schemas.openxmlformats.org/spreadsheetml/2006/main" count="2324" uniqueCount="774">
  <si>
    <t>Verotulot</t>
  </si>
  <si>
    <t>Valtionosuudet</t>
  </si>
  <si>
    <t>VUOSIKATE</t>
  </si>
  <si>
    <t>Satunnaiset tuotot</t>
  </si>
  <si>
    <t>Satunnaiset kulut</t>
  </si>
  <si>
    <t>TILIKAUDEN TULOS</t>
  </si>
  <si>
    <t xml:space="preserve">  Vuosikate</t>
  </si>
  <si>
    <t xml:space="preserve">  Satunnaiset erät, netto</t>
  </si>
  <si>
    <t>Valmistus omaan käyttöön</t>
  </si>
  <si>
    <t>Poistot ja arvonalentumiset</t>
  </si>
  <si>
    <t>Antolainauksen muutokset</t>
  </si>
  <si>
    <t>Lainakannan muutokset</t>
  </si>
  <si>
    <t>Oman pääoman muutokset</t>
  </si>
  <si>
    <t>Muut maksuvalmiuden muutokset</t>
  </si>
  <si>
    <t xml:space="preserve">  Tulorahoituksen korjauserät</t>
  </si>
  <si>
    <t xml:space="preserve">  Investointimenot</t>
  </si>
  <si>
    <t>Rahavarojen muutos</t>
  </si>
  <si>
    <t>Toiminnan rahavirta</t>
  </si>
  <si>
    <t>Investointien rahavirta</t>
  </si>
  <si>
    <t xml:space="preserve">  Rahoitusosuudet investointimenoihin</t>
  </si>
  <si>
    <t xml:space="preserve">  Pysyvien vastaavien hyödykkeiden luovutustulot</t>
  </si>
  <si>
    <t>Rahoituksen rahavirta</t>
  </si>
  <si>
    <t>yhteensä</t>
  </si>
  <si>
    <t>Poistoeron lisäys (-) tai vähennys (+)</t>
  </si>
  <si>
    <t>Varausten lisäys (-) tai vähennys (+)</t>
  </si>
  <si>
    <t>Toiminnan ja investointien rahavirta</t>
  </si>
  <si>
    <t>VASTAAVAA:</t>
  </si>
  <si>
    <t>VASTATTAVAA:</t>
  </si>
  <si>
    <t>PYSYVÄT VASTAAVAT</t>
  </si>
  <si>
    <t>OMA PÄÄOMA</t>
  </si>
  <si>
    <t xml:space="preserve">  Aineettomat hyödykkeet</t>
  </si>
  <si>
    <t xml:space="preserve">  Peruspääoma</t>
  </si>
  <si>
    <t xml:space="preserve">    Aineettomat oikeudet</t>
  </si>
  <si>
    <t xml:space="preserve">  Arvonkorotusrahasto</t>
  </si>
  <si>
    <t xml:space="preserve">    Muut pitkävaikuitteiset menot</t>
  </si>
  <si>
    <t xml:space="preserve">  Muut omat rahastot</t>
  </si>
  <si>
    <t xml:space="preserve">    Ennakkomaksut</t>
  </si>
  <si>
    <t xml:space="preserve">  Edell. tilikausien yli-/alijäämä</t>
  </si>
  <si>
    <t xml:space="preserve">  Tilikauden yli-/alijäämä</t>
  </si>
  <si>
    <t xml:space="preserve">  Aineelliset hyödykkeet</t>
  </si>
  <si>
    <t xml:space="preserve">    Maa- ja vesialueet</t>
  </si>
  <si>
    <t xml:space="preserve">    Rakennukset</t>
  </si>
  <si>
    <t xml:space="preserve">  Poistoero</t>
  </si>
  <si>
    <t xml:space="preserve">    Kiinteät rakenteet ja laitteet</t>
  </si>
  <si>
    <t xml:space="preserve">  Vapaaehtoiset varaukset</t>
  </si>
  <si>
    <t xml:space="preserve">    Koneet ja kalusto</t>
  </si>
  <si>
    <t xml:space="preserve">    Muut aineelliset hyödykkeet</t>
  </si>
  <si>
    <t>PAKOLLISET VARAUKSET</t>
  </si>
  <si>
    <t xml:space="preserve">    Ennakkomaksut ja keskener. hank.</t>
  </si>
  <si>
    <t xml:space="preserve">  Eläkevaraukset</t>
  </si>
  <si>
    <t xml:space="preserve">  Muut pakolliset varaukset</t>
  </si>
  <si>
    <t xml:space="preserve"> Sijoitukset</t>
  </si>
  <si>
    <t xml:space="preserve">    Osakkeet ja osuudet</t>
  </si>
  <si>
    <t>TOIMEKSIANTOJEN PÄÄOMAT</t>
  </si>
  <si>
    <t xml:space="preserve">    Joukkovelkakirjalainasaamiset</t>
  </si>
  <si>
    <t xml:space="preserve">  Valtion toimeksiannot</t>
  </si>
  <si>
    <t xml:space="preserve">    Muut lainasaamiset</t>
  </si>
  <si>
    <t xml:space="preserve">  Lahjoitusrahastojen pääomat</t>
  </si>
  <si>
    <t xml:space="preserve">    Muut saamiset</t>
  </si>
  <si>
    <t xml:space="preserve">  Muut toimeksiantojen pääomat</t>
  </si>
  <si>
    <t>VIERAS PÄÄOMA</t>
  </si>
  <si>
    <t>TOIMEKSIANTOJEN VARAT</t>
  </si>
  <si>
    <t xml:space="preserve">    Joukkovelkakirjalainat</t>
  </si>
  <si>
    <t xml:space="preserve">  Lahjoitusrahastojen erityiskatteet</t>
  </si>
  <si>
    <t xml:space="preserve">    Lainat rah.- ja vak.laitoksilta</t>
  </si>
  <si>
    <t xml:space="preserve">  Muut toimeksiantojen varat</t>
  </si>
  <si>
    <t xml:space="preserve">    Lainat julkisyhteisöiltä</t>
  </si>
  <si>
    <t xml:space="preserve">    Lainat muilta luotonantajilta</t>
  </si>
  <si>
    <t>VAIHTUVAT VASTAAVAT</t>
  </si>
  <si>
    <t xml:space="preserve">    Saadut ennakot</t>
  </si>
  <si>
    <t xml:space="preserve">  Vaihto-omaisuus</t>
  </si>
  <si>
    <t xml:space="preserve">    Ostovelat</t>
  </si>
  <si>
    <t xml:space="preserve">    Aineet ja tarvikkeet</t>
  </si>
  <si>
    <t xml:space="preserve">    Liittymismaksut ja muut velat</t>
  </si>
  <si>
    <t xml:space="preserve">    Keskeneräiset tuotteet</t>
  </si>
  <si>
    <t xml:space="preserve">    Siirtovelat</t>
  </si>
  <si>
    <t xml:space="preserve">    Valmiit tuotteet/tavarat</t>
  </si>
  <si>
    <t xml:space="preserve">    Muu vaihto-omaisuus</t>
  </si>
  <si>
    <t xml:space="preserve">  Lyhytaikainen</t>
  </si>
  <si>
    <t xml:space="preserve">  Saamiset</t>
  </si>
  <si>
    <t xml:space="preserve">    Pitkäaikaiset saamiset</t>
  </si>
  <si>
    <t xml:space="preserve">      Myyntisaamiset</t>
  </si>
  <si>
    <t xml:space="preserve">      Lainasaamiset</t>
  </si>
  <si>
    <t xml:space="preserve">      Muut saamiset</t>
  </si>
  <si>
    <t xml:space="preserve">      Siirtosaamiset</t>
  </si>
  <si>
    <t xml:space="preserve">    Lyhytaikaiset saamiset</t>
  </si>
  <si>
    <t>VASTATTAVAA YHTEENSÄ</t>
  </si>
  <si>
    <t xml:space="preserve">  Rahoitusarvopaperit</t>
  </si>
  <si>
    <t xml:space="preserve">    Sijoitukset rahamarkkinainstrum.</t>
  </si>
  <si>
    <t xml:space="preserve">    Muut arvopaperit</t>
  </si>
  <si>
    <t>Omavaraisuus-%</t>
  </si>
  <si>
    <t xml:space="preserve">Rahavarat: </t>
  </si>
  <si>
    <t xml:space="preserve">  Rahat ja pankkisaamiset</t>
  </si>
  <si>
    <t xml:space="preserve">                  euroa/asukas</t>
  </si>
  <si>
    <t>VASTAAVAA YHTEENSÄ</t>
  </si>
  <si>
    <t xml:space="preserve">Lainakanta: </t>
  </si>
  <si>
    <t xml:space="preserve">        Kuntayhtymäosuudet</t>
  </si>
  <si>
    <t xml:space="preserve">        Muut osakkeet ja osuudet</t>
  </si>
  <si>
    <t>POISTOERO JA VAPAAEHTOISET VARAUKSET</t>
  </si>
  <si>
    <t xml:space="preserve">  Pitkäaikainen vieras pääoma</t>
  </si>
  <si>
    <t>Lainanhoitokate</t>
  </si>
  <si>
    <t>Uusi</t>
  </si>
  <si>
    <t>kunta</t>
  </si>
  <si>
    <t>Muutoksen aiheuttaja</t>
  </si>
  <si>
    <t>= 100 * (Oma pääoma + Poistoero ja vapaaehtoiset varaukset) / (Koko pääoma - Saadut ennakot)</t>
  </si>
  <si>
    <t>= 100 * (Vieras pääoma - Saadut ennakot) / Käyttötulot</t>
  </si>
  <si>
    <t>Testamentin määräykset huomioiden varmistettava, miten käsitellään, jos liittyy siirtyvään toimintaan</t>
  </si>
  <si>
    <t>Rahastojen lisäys (-) tai vähennys (+)</t>
  </si>
  <si>
    <t>Siirtyvän toiminnan irtaimeen omaisuuteen kohdistuva poistoero purettava</t>
  </si>
  <si>
    <t>Siirtyviin toimintoihin liittyviä investointimenoja poistuu</t>
  </si>
  <si>
    <t xml:space="preserve">Poistuvien toimintojen investointeja varten ei tarvita uusia lainoja. </t>
  </si>
  <si>
    <t>Siirtyvien toimintojen (terveydenhuolto) vaihto-omaisuuden muutos poistuu</t>
  </si>
  <si>
    <t xml:space="preserve">Perusterveydenhuollon, erikoissairaanhoidon, sosiaalitoimen ja pelastustoimen käytössä oleva irtain omaisuus (sairaalatarvikevarastot) siirtyy  </t>
  </si>
  <si>
    <t>Siirtyvän toiminnan saamiset eivät lisäänny</t>
  </si>
  <si>
    <t>(Siirtyvät osakkeet ovat pysyvissä vastaavissa)</t>
  </si>
  <si>
    <t>Siirtyvään toimintaan liittyvä vapaaehtoinen investointivaraus purettava</t>
  </si>
  <si>
    <t>Jäsenkunnan osuus kuntayhtymän alijäämästä on todennäköisesti jo huomioitu aiemmin eli pakollisissa varauksissa ei sitä pitäisi enää olla</t>
  </si>
  <si>
    <t>Siirtyviin toimintoihin liittyvät ostovelat eivät lisäänny</t>
  </si>
  <si>
    <t>Siirtyviin toimintoihin liittyvät siirtovelat eivät lisäänny</t>
  </si>
  <si>
    <t>= (Vuosikate + Korkokulut) / (Korkokulut + Lainanlyhennykset)</t>
  </si>
  <si>
    <t>Kunta</t>
  </si>
  <si>
    <t>kno</t>
  </si>
  <si>
    <t>Kunnallis-</t>
  </si>
  <si>
    <t>€/as.</t>
  </si>
  <si>
    <t>tasaus</t>
  </si>
  <si>
    <t>Akaa</t>
  </si>
  <si>
    <t>Jämsä</t>
  </si>
  <si>
    <t>Kemiönsaari</t>
  </si>
  <si>
    <t>Parainen</t>
  </si>
  <si>
    <t>Pedersören kunta</t>
  </si>
  <si>
    <t>Pyhtää</t>
  </si>
  <si>
    <t>Pyhäjärvi</t>
  </si>
  <si>
    <t>Raasepori</t>
  </si>
  <si>
    <t>Sastamala</t>
  </si>
  <si>
    <t>Siikalatva</t>
  </si>
  <si>
    <t>Vöyri</t>
  </si>
  <si>
    <t>Maa-</t>
  </si>
  <si>
    <t>Toimintatuotot yhteensä</t>
  </si>
  <si>
    <t>Valmistevarastojen muutos</t>
  </si>
  <si>
    <t>Toimintakulut yhteensä</t>
  </si>
  <si>
    <t>Toimintakate</t>
  </si>
  <si>
    <t>Osuus yhteisöveron tuotosta</t>
  </si>
  <si>
    <t>Alajärvi</t>
  </si>
  <si>
    <t>Alavieska</t>
  </si>
  <si>
    <t>Alavus</t>
  </si>
  <si>
    <t>Asikkala</t>
  </si>
  <si>
    <t>Askola</t>
  </si>
  <si>
    <t>Aura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</si>
  <si>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</si>
  <si>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</si>
  <si>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</si>
  <si>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</si>
  <si>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</si>
  <si>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</si>
  <si>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</si>
  <si>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</si>
  <si>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</si>
  <si>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</si>
  <si>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</si>
  <si>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</si>
  <si>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</si>
  <si>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</si>
  <si>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</si>
  <si>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</si>
  <si>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</si>
  <si>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</si>
  <si>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Heinola</t>
  </si>
  <si>
    <t>Heinävesi</t>
  </si>
  <si>
    <t>Helsinki</t>
  </si>
  <si>
    <t>Hirvensalmi</t>
  </si>
  <si>
    <t>Hollola</t>
  </si>
  <si>
    <t>Honkajoki</t>
  </si>
  <si>
    <t>Huittinen</t>
  </si>
  <si>
    <t>Humppila</t>
  </si>
  <si>
    <t>Hyrynsalmi</t>
  </si>
  <si>
    <t>Hyvinkää</t>
  </si>
  <si>
    <t>Hämeenkyrö</t>
  </si>
  <si>
    <t>Hämeenlinna</t>
  </si>
  <si>
    <t>Ii</t>
  </si>
  <si>
    <t>Iisalmi</t>
  </si>
  <si>
    <t>Iitti</t>
  </si>
  <si>
    <t>Ikaalinen</t>
  </si>
  <si>
    <t>Ilmajoki</t>
  </si>
  <si>
    <t>Ilomantsi</t>
  </si>
  <si>
    <t>Imatra</t>
  </si>
  <si>
    <t>Inari</t>
  </si>
  <si>
    <t>Inkoo</t>
  </si>
  <si>
    <t>Isojoki</t>
  </si>
  <si>
    <t>Isokyrö</t>
  </si>
  <si>
    <t>Janakkala</t>
  </si>
  <si>
    <t>Joensuu</t>
  </si>
  <si>
    <t>Jokioinen</t>
  </si>
  <si>
    <t>Joroinen</t>
  </si>
  <si>
    <t>Joutsa</t>
  </si>
  <si>
    <t>Juankoski</t>
  </si>
  <si>
    <t>Juuka</t>
  </si>
  <si>
    <t>Juupajoki</t>
  </si>
  <si>
    <t>Juva</t>
  </si>
  <si>
    <t>Jyväskylä</t>
  </si>
  <si>
    <t>Jämijärvi</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</si>
  <si>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</si>
  <si>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</si>
  <si>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</si>
  <si>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</si>
  <si>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</si>
  <si>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</si>
  <si>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</si>
  <si>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</si>
  <si>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</si>
  <si>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</si>
  <si>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</si>
  <si>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</si>
  <si>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</si>
  <si>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</si>
  <si>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</si>
  <si>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</si>
  <si>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</si>
  <si>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</si>
  <si>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</si>
  <si>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</si>
  <si>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</si>
  <si>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Kemijärvi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</si>
  <si>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</si>
  <si>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</si>
  <si>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</si>
  <si>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</si>
  <si>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</si>
  <si>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</si>
  <si>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</si>
  <si>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</si>
  <si>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</si>
  <si>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</si>
  <si>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</si>
  <si>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</si>
  <si>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</si>
  <si>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</si>
  <si>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</si>
  <si>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</si>
  <si>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</si>
  <si>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</si>
  <si>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</si>
  <si>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</si>
  <si>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</si>
  <si>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</si>
  <si>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</si>
  <si>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</si>
  <si>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</si>
  <si>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</si>
  <si>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</si>
  <si>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</si>
  <si>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</si>
  <si>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Kyyjärvi</t>
  </si>
  <si>
    <t>Kärkölä</t>
  </si>
  <si>
    <t>Kärsämäki</t>
  </si>
  <si>
    <t>Lahti</t>
  </si>
  <si>
    <t>Laihia</t>
  </si>
  <si>
    <t>Laitila</t>
  </si>
  <si>
    <t>Lapinjärvi</t>
  </si>
  <si>
    <t>Lapinlahti</t>
  </si>
  <si>
    <t>Lappajärvi</t>
  </si>
  <si>
    <t>Lappeenranta</t>
  </si>
  <si>
    <t>Lapua</t>
  </si>
  <si>
    <t>Laukaa</t>
  </si>
  <si>
    <t>Lemi</t>
  </si>
  <si>
    <t>Lempäälä</t>
  </si>
  <si>
    <t>Leppävirta</t>
  </si>
  <si>
    <t>Lestijärvi</t>
  </si>
  <si>
    <t>Lieksa</t>
  </si>
  <si>
    <t>Lieto</t>
  </si>
  <si>
    <t>Liminka</t>
  </si>
  <si>
    <t>Liperi</t>
  </si>
  <si>
    <t>Lohja</t>
  </si>
  <si>
    <t>Loimaa</t>
  </si>
  <si>
    <t>Loppi</t>
  </si>
  <si>
    <t>Loviisa</t>
  </si>
  <si>
    <t>Luhanka</t>
  </si>
  <si>
    <t>Lumijoki</t>
  </si>
  <si>
    <t>Luoto</t>
  </si>
  <si>
    <t>Luumäki</t>
  </si>
  <si>
    <t>Luvia</t>
  </si>
  <si>
    <t>Maalahti</t>
  </si>
  <si>
    <t>Marttila</t>
  </si>
  <si>
    <t>Masku</t>
  </si>
  <si>
    <t>Merijärvi</t>
  </si>
  <si>
    <t>Merikarvia</t>
  </si>
  <si>
    <t>Miehikkälä</t>
  </si>
  <si>
    <t>Mikkeli</t>
  </si>
  <si>
    <t>Muhos</t>
  </si>
  <si>
    <t>Multia</t>
  </si>
  <si>
    <t>Muonio</t>
  </si>
  <si>
    <t>Mustasaari</t>
  </si>
  <si>
    <t>Muurame</t>
  </si>
  <si>
    <t>Mynämäki</t>
  </si>
  <si>
    <t>Myrskylä</t>
  </si>
  <si>
    <t>Mäntsälä</t>
  </si>
  <si>
    <t>Mänttä-Vilppula</t>
  </si>
  <si>
    <t>Mäntyharju</t>
  </si>
  <si>
    <t>Naantali</t>
  </si>
  <si>
    <t>Nakkila</t>
  </si>
  <si>
    <t>Nivala</t>
  </si>
  <si>
    <t>Nokia</t>
  </si>
  <si>
    <t>Nousiainen</t>
  </si>
  <si>
    <t>Nurmes</t>
  </si>
  <si>
    <t>Nurmijärvi</t>
  </si>
  <si>
    <t>Närpiö</t>
  </si>
  <si>
    <t>Orimattila</t>
  </si>
  <si>
    <t>Oripää</t>
  </si>
  <si>
    <t>Orivesi</t>
  </si>
  <si>
    <t>Oulainen</t>
  </si>
  <si>
    <t>Oulu</t>
  </si>
  <si>
    <t>Outokumpu</t>
  </si>
  <si>
    <t>Padasjoki</t>
  </si>
  <si>
    <t>Paimio</t>
  </si>
  <si>
    <t>Paltamo</t>
  </si>
  <si>
    <t>Parikkala</t>
  </si>
  <si>
    <t>Parkano</t>
  </si>
  <si>
    <t>Pelkosenniemi</t>
  </si>
  <si>
    <t>Pello</t>
  </si>
  <si>
    <t>Perho</t>
  </si>
  <si>
    <t>Pertunmaa</t>
  </si>
  <si>
    <t>Petäjävesi</t>
  </si>
  <si>
    <t>Pieksämäki</t>
  </si>
  <si>
    <t>Pielavesi</t>
  </si>
  <si>
    <t>Pietarsaari</t>
  </si>
  <si>
    <t>Pihtipudas</t>
  </si>
  <si>
    <t>Pirkkala</t>
  </si>
  <si>
    <t>Polvijärvi</t>
  </si>
  <si>
    <t>Pomarkku</t>
  </si>
  <si>
    <t>Pori</t>
  </si>
  <si>
    <t>Pornainen</t>
  </si>
  <si>
    <t>Porvoo</t>
  </si>
  <si>
    <t>Posio</t>
  </si>
  <si>
    <t>Pudasjärvi</t>
  </si>
  <si>
    <t>Pukkila</t>
  </si>
  <si>
    <t>Punkalaidun</t>
  </si>
  <si>
    <t>Puolanka</t>
  </si>
  <si>
    <t>Puumala</t>
  </si>
  <si>
    <t>Pyhäjoki</t>
  </si>
  <si>
    <t>Pyhäntä</t>
  </si>
  <si>
    <t>Pyhäranta</t>
  </si>
  <si>
    <t>Pälkäne</t>
  </si>
  <si>
    <t>Pöytyä</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</si>
  <si>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</si>
  <si>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</si>
  <si>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</si>
  <si>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</si>
  <si>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</si>
  <si>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</si>
  <si>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</si>
  <si>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</si>
  <si>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</si>
  <si>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</si>
  <si>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</si>
  <si>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</si>
  <si>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</si>
  <si>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</si>
  <si>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</si>
  <si>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</si>
  <si>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</si>
  <si>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</si>
  <si>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</si>
  <si>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</si>
  <si>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</si>
  <si>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</si>
  <si>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</si>
  <si>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</si>
  <si>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</si>
  <si>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</si>
  <si>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</si>
  <si>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</si>
  <si>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</si>
  <si>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</si>
  <si>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</si>
  <si>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</si>
  <si>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</si>
  <si>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</si>
  <si>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</si>
  <si>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</si>
  <si>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</si>
  <si>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</si>
  <si>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</si>
  <si>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</si>
  <si>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</si>
  <si>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Taipalsaari</t>
  </si>
  <si>
    <t>Taivalkoski</t>
  </si>
  <si>
    <t>Taivassalo</t>
  </si>
  <si>
    <t>Tammela</t>
  </si>
  <si>
    <t>Tampere</t>
  </si>
  <si>
    <t>Tervo</t>
  </si>
  <si>
    <t>Tervola</t>
  </si>
  <si>
    <t>Teuva</t>
  </si>
  <si>
    <t>Tohmajärvi</t>
  </si>
  <si>
    <t>Toholampi</t>
  </si>
  <si>
    <t>Toivakka</t>
  </si>
  <si>
    <t>Tornio</t>
  </si>
  <si>
    <t>Turku</t>
  </si>
  <si>
    <t>Tuusniemi</t>
  </si>
  <si>
    <t>Tuusula</t>
  </si>
  <si>
    <t>Tyrnävä</t>
  </si>
  <si>
    <t>Ulvila</t>
  </si>
  <si>
    <t>Urjala</t>
  </si>
  <si>
    <t>Utajärvi</t>
  </si>
  <si>
    <t>Utsjoki</t>
  </si>
  <si>
    <t>Uurainen</t>
  </si>
  <si>
    <t>Uusikaarlepyy</t>
  </si>
  <si>
    <t>Uusikaupunki</t>
  </si>
  <si>
    <t>Vaala</t>
  </si>
  <si>
    <t>Vaasa</t>
  </si>
  <si>
    <t>Valkeakoski</t>
  </si>
  <si>
    <t>Valtimo</t>
  </si>
  <si>
    <t>Vantaa</t>
  </si>
  <si>
    <t>Varkaus</t>
  </si>
  <si>
    <t>Vehmaa</t>
  </si>
  <si>
    <t>Vesanto</t>
  </si>
  <si>
    <t>Vesilahti</t>
  </si>
  <si>
    <t>Veteli</t>
  </si>
  <si>
    <t>Vieremä</t>
  </si>
  <si>
    <t>Vihti</t>
  </si>
  <si>
    <t>Viitasaari</t>
  </si>
  <si>
    <t>Vimpeli</t>
  </si>
  <si>
    <t>Virolahti</t>
  </si>
  <si>
    <t>Virrat</t>
  </si>
  <si>
    <t>Ylitornio</t>
  </si>
  <si>
    <t>Ylivieska</t>
  </si>
  <si>
    <t>Ylöjärvi</t>
  </si>
  <si>
    <t>Ypäjä</t>
  </si>
  <si>
    <t>Ähtäri</t>
  </si>
  <si>
    <t>Äänekoski</t>
  </si>
  <si>
    <t>(Luvut 1000 euroina)</t>
  </si>
  <si>
    <t>Siirtyvät</t>
  </si>
  <si>
    <t>Yhteisövero</t>
  </si>
  <si>
    <t xml:space="preserve">      siitä: Kunnan tulovero</t>
  </si>
  <si>
    <t xml:space="preserve">      siitä: Osuus yhteisöveron tuotosta</t>
  </si>
  <si>
    <t>Valitse kunta:</t>
  </si>
  <si>
    <t>siirtyvät</t>
  </si>
  <si>
    <t>Lakisääteisten kuntayhtymien jäsenkunnat ja maakunta voivat sopia, että osa kuntayhtymän maaomaisuudesta jää jäsenkunnille. Kuntien maaomaisuuteen mahdollista lisäystä taseen pysyviin vastaaviin, jos esim. kunta joutuu lunastamaan muiden jäsenkuntien osuudet esimerkiksi rajojensa sisäpuolella olevasta maa-alueesta.</t>
  </si>
  <si>
    <t>Perusterveydenhuollon, erikoissairaanhoidon, sosiaalitoimen ja pelastustoimen käytössä oleva irtain omaisuus siirtyy. Maakunnalle ei siirry sellainen kunnan omistama irtaimisto tai osakkeet, jota kunta käyttää työterveyshuoltolain mukaisessa toiminnassa. Kunta ja maakunta voivat sopia irtaimen omaisuuden siirtymisestä myös toisin kuin lakiehdotuksessa todetaan.</t>
  </si>
  <si>
    <t>siitä: Toimeksiantojen varojen ja pääomien muutos</t>
  </si>
  <si>
    <t>siitä: Vaihto-omaisuuden muutos</t>
  </si>
  <si>
    <t>siitä: Saamisten muutos</t>
  </si>
  <si>
    <t>siitä: Korottomien velkojen muutos</t>
  </si>
  <si>
    <t>siitä: Pitkäaikaisten lainojen lisäys</t>
  </si>
  <si>
    <t>siitä: Pitkäaikaisten lainojen vähennys</t>
  </si>
  <si>
    <t>siitä: Lyhytaikaisten lainojen muutos</t>
  </si>
  <si>
    <t>siitä: Antolainasaamisten lisäykset</t>
  </si>
  <si>
    <t>siitä: Antolainasaamisten vähennykset</t>
  </si>
  <si>
    <t>Sote-tehtävien toteutattamiseksi testamentatut pääomat?</t>
  </si>
  <si>
    <t>Lainanhoitokate kertoo kunnan/konsernin tulorahoituksen riittävyyden vieraan pääoman korkojen ja lyhennysten maksuun.</t>
  </si>
  <si>
    <t>kun tunnusluvun arvo on yli 2, niin lainanhoitokyky on hyvä</t>
  </si>
  <si>
    <t>kun tunnusluku on 1 – 2 lainahoitokyky on tyydyttävä</t>
  </si>
  <si>
    <t>kun tunnusluvun arvo on 1 tai suurempi, niin tulorahoitus riittää lainojen hoitoon</t>
  </si>
  <si>
    <t>kun tunnusluvun arvo jää alle yhden lainahoitokyky on heikko, joudutaan vieraan pääoman hoitoon ottamaan lisälainaa, realisoimaan kunnan/konserni-yhteisöjen omaisuutta tai vähentämään rahavaroja.</t>
  </si>
  <si>
    <t>Siirtyviin toimintoihin liittyviä rahoitusosuuksia poistuu</t>
  </si>
  <si>
    <t>(luvut 1000€), vaihda kuntaa tuloslaskelmasta</t>
  </si>
  <si>
    <t>(Luvut 1000€), vaihda kuntaa tuloslaskelmasta</t>
  </si>
  <si>
    <t>= Vieras pääoma - (Saadut ennakot + Ostovelat + Siirtovelat + Muut velat)</t>
  </si>
  <si>
    <t xml:space="preserve">                  1000  euroa</t>
  </si>
  <si>
    <t xml:space="preserve">Perusterveydenhuollon, erikoissairaanhoidon, sosiaalitoimen ja pelastustoimen käytössä olevat immateriaaliset oikeudet ja luvat siirtyvät maakunnalle.  </t>
  </si>
  <si>
    <t xml:space="preserve">Käyttötarkoituksettomaksi jäävät sote-/pelastustoimen kiinteistöt poistettava kolmen vuoden kuluessa. Maakunnalle ei siirry sellaiset toimitilaa koskevat vuokrasopimukset, joissa kunta on sitoutunut lunastamaan kyseisen tilan omistukseensa sopimuskauden päätyttyä, jolleivät maakunta ja kunta toisin sovi. </t>
  </si>
  <si>
    <t>Perusterveydenhuollon, erikoissairaanhoidon, sosiaalitoimen ja pelastustoimen käytössä oleva irtain omaisuus siirtyy maakunnalle.</t>
  </si>
  <si>
    <t>Shp:n, erityishuoltopiirien ja maakuntien liittojen kuntayhtymäosuudet poistuvat (huom. jos ollut muuta kuin lakisääteistä tehtävää, järjesteltävä uudelleen). Kirjataan peruspääomaa vastaan.</t>
  </si>
  <si>
    <t>Pienenee siirtyvän omaisuuden verran (ky-osuudet, irtain omaisuus)</t>
  </si>
  <si>
    <t>Jos siirtyviin osakkeisiin ja osuuksiin on tehty arvonkorotus, se pitää purkaa.</t>
  </si>
  <si>
    <t xml:space="preserve">Kuntien lainat eivät siirry. </t>
  </si>
  <si>
    <t>Investointien tulorahoitus %</t>
  </si>
  <si>
    <t>euroa</t>
  </si>
  <si>
    <t>Kunnan omistamat sellaisen oy:n osakkeet, jotka kunta omistaa sosiaali- ja terveydenhuollon palvelujen järjestämistä tai tuottamista varten,päätoimiala on sote-palvelujen tuottaminen, on kunnan tytäryhteisö, omistusyhteysyritys tai osakkuusyritys tai jossa kuntien yhteenlaskettu omistusosuus muodostaa tässä tarkoitetun omistusosuuden ja jonka kanssa kunnalla on sopimus 2019 sote-palveluista - poistuvat. Poistaminen kirjataan peruspääomaa vastaan. Maakuntaan ei siirry sellainen kunnan omistama irtaimisto tai osakkeet, jotka kunta omistaa työterveyshuoltolaissa säädettyjen velvoitteidensa täyttämiseksi.</t>
  </si>
  <si>
    <t>Testamentin määräykset huomioiden varmistettava, miten käsitellään, jos liittyy siirtyvään toimintaan.</t>
  </si>
  <si>
    <t>Siirtymätasaukset ja pysyvä järjestelmämuutoksen</t>
  </si>
  <si>
    <t>(pysyvä)</t>
  </si>
  <si>
    <t>Toimintakate +</t>
  </si>
  <si>
    <t>Kunnallisvero</t>
  </si>
  <si>
    <t>Kiinteistö-</t>
  </si>
  <si>
    <t>VOS</t>
  </si>
  <si>
    <t>Rahoitus-</t>
  </si>
  <si>
    <t>Verotus-</t>
  </si>
  <si>
    <t>1. vuosi</t>
  </si>
  <si>
    <t>2. vuosi</t>
  </si>
  <si>
    <t>3. vuosi</t>
  </si>
  <si>
    <t>4. vuosi</t>
  </si>
  <si>
    <t>5. vuosi</t>
  </si>
  <si>
    <t>As.luku</t>
  </si>
  <si>
    <t>maksuunpano</t>
  </si>
  <si>
    <t>vero</t>
  </si>
  <si>
    <t>VM</t>
  </si>
  <si>
    <t>muutosraj.</t>
  </si>
  <si>
    <t>kust.</t>
  </si>
  <si>
    <t>siirtymä</t>
  </si>
  <si>
    <t>alenema</t>
  </si>
  <si>
    <t>nro</t>
  </si>
  <si>
    <t>Alue</t>
  </si>
  <si>
    <t>€/as</t>
  </si>
  <si>
    <t>Koski tl</t>
  </si>
  <si>
    <t>Uusi kunta</t>
  </si>
  <si>
    <t>Kiinteistövero</t>
  </si>
  <si>
    <t>Mahdolliset omaisuuden myynnit.</t>
  </si>
  <si>
    <t>toimintakate</t>
  </si>
  <si>
    <t>(vaihda kuntaa tuloslaskelma -välilehdeltä)</t>
  </si>
  <si>
    <t>poistuvat</t>
  </si>
  <si>
    <t>poistot</t>
  </si>
  <si>
    <t>Kuvio1. Toimintakatteen, poistojen ja rahoituksen muutos.</t>
  </si>
  <si>
    <t>Nykyinen tasapaino</t>
  </si>
  <si>
    <t>Uusi tasapaino</t>
  </si>
  <si>
    <t>Vyörytystuotot</t>
  </si>
  <si>
    <t>Jalasjärvi</t>
  </si>
  <si>
    <t>Hämeenkoski</t>
  </si>
  <si>
    <t>Köyliö</t>
  </si>
  <si>
    <t>Nastola</t>
  </si>
  <si>
    <t>20161104 09:00</t>
  </si>
  <si>
    <t>Tilastokeskus</t>
  </si>
  <si>
    <t>&lt;A HREF=http://tilastokeskus.fi/til/kta/index.html TARGET=_blank&gt;Tilaston kotisivu&lt;/A&gt;</t>
  </si>
  <si>
    <t>&lt;A HREF=http://tilastokeskus.fi/til/kta/yht.html TARGET=_blank&gt;Lisätietoja&lt;/A&gt;</t>
  </si>
  <si>
    <t>1 000 euroa</t>
  </si>
  <si>
    <t>kta</t>
  </si>
  <si>
    <t>Vuoden 2015 kuntajako</t>
  </si>
  <si>
    <t>Työllistymistä tukevat palvelut</t>
  </si>
  <si>
    <t>Sosiaali- ja terveystoiminta yhteensä</t>
  </si>
  <si>
    <t>Palo- ja pelastustoiminta</t>
  </si>
  <si>
    <t>Vyörytyskulut</t>
  </si>
  <si>
    <t>käyttötalous yhteensä</t>
  </si>
  <si>
    <t>TP15 vuoden 2015 jaolla</t>
  </si>
  <si>
    <t>Siirtyvä</t>
  </si>
  <si>
    <t>Vaikutus tuloslaskelman kautta (ei hae automaattisesti tuloslaskelma -välilehdeltä!)</t>
  </si>
  <si>
    <t>Jäljelle</t>
  </si>
  <si>
    <t>VOS,</t>
  </si>
  <si>
    <t>Muut</t>
  </si>
  <si>
    <t>Nykyinen</t>
  </si>
  <si>
    <t>jäävien teht.</t>
  </si>
  <si>
    <t>poistot ja arvonal.</t>
  </si>
  <si>
    <t>tulot</t>
  </si>
  <si>
    <t>nettokust.</t>
  </si>
  <si>
    <t>(40 %:n oma-</t>
  </si>
  <si>
    <t>(nykyverojärj.)</t>
  </si>
  <si>
    <t>(ei muutu)</t>
  </si>
  <si>
    <t>vastuu)</t>
  </si>
  <si>
    <t>(hyöty)</t>
  </si>
  <si>
    <t>Poistot</t>
  </si>
  <si>
    <t>siitä: Osinkotuotot</t>
  </si>
  <si>
    <t>siitä: Korkotuotot</t>
  </si>
  <si>
    <t>siitä: Muut rahoitustuotot</t>
  </si>
  <si>
    <t>siitä: Korkokulut</t>
  </si>
  <si>
    <t>siitä: Muut rahoituskulut</t>
  </si>
  <si>
    <t xml:space="preserve">      siitä: Kiinteistövero</t>
  </si>
  <si>
    <t>Rahoituserät</t>
  </si>
  <si>
    <t>Siirtymätasaus</t>
  </si>
  <si>
    <t>Vuonna 2023</t>
  </si>
  <si>
    <t xml:space="preserve">Nro </t>
  </si>
  <si>
    <t>2018**</t>
  </si>
  <si>
    <t>2019**</t>
  </si>
  <si>
    <t>2020**</t>
  </si>
  <si>
    <t>Maksuunpantu kunnallisvero</t>
  </si>
  <si>
    <t>Nykykunta</t>
  </si>
  <si>
    <t>Vanha kunta</t>
  </si>
  <si>
    <t>Yksityiskohtainen erittely nykyisen ja uuden rahoituksen muodostumisesta</t>
  </si>
  <si>
    <t>Kuntiin jäävien tehtävien ja niiden rahoituksen osalta (sote-tehtävien siirron jälkeen)</t>
  </si>
  <si>
    <t xml:space="preserve">HUOM! Tässä ei ole huomiotu uutta siirtymätasausta, joka jää pysyväksi siten, että tasapainon muutos </t>
  </si>
  <si>
    <t>NYKYINEN TULOSLASKELMA:</t>
  </si>
  <si>
    <t>Tasapainon</t>
  </si>
  <si>
    <t>Tasapaino</t>
  </si>
  <si>
    <t>muutos</t>
  </si>
  <si>
    <t>pl. siirtymätasaus</t>
  </si>
  <si>
    <t>Kristiinankaup.</t>
  </si>
  <si>
    <t>Pedersören k.</t>
  </si>
  <si>
    <t>€</t>
  </si>
  <si>
    <t>Vuonna 2024</t>
  </si>
  <si>
    <t>Koko kunta</t>
  </si>
  <si>
    <t>Sote</t>
  </si>
  <si>
    <t>P&amp;P</t>
  </si>
  <si>
    <t>TILITYKSET</t>
  </si>
  <si>
    <t>Kunnan rahoituslaskelma ja skenaario vuodesta 2020</t>
  </si>
  <si>
    <t>Lähde: Kuntien tilinpäätösarvio (TPA17), Tilastokeskus</t>
  </si>
  <si>
    <t>Vuoden 2017 tilinpäätösarvioista ei ole saatavilla kaikkia rahoituslaskelman eriä.</t>
  </si>
  <si>
    <t>Kunnan tase 31.12.2017</t>
  </si>
  <si>
    <t>Suhteellinen velkaantuneisuus, %</t>
  </si>
  <si>
    <t>Lähde: Kuntien tilinpäätösarviot 2017, Tilastokeskus</t>
  </si>
  <si>
    <t>TPA2017</t>
  </si>
  <si>
    <t>…tämä suoraan tuloslaskelmasta (huom. 2019 tasoiset tiedot)</t>
  </si>
  <si>
    <t>toimintakatteen painelaskelma: ei käytössä</t>
  </si>
  <si>
    <t>manner-suomi</t>
  </si>
  <si>
    <t>linkki VM sivuille</t>
  </si>
  <si>
    <t>Toimintakatteen painelaskelmat. Lähde: VM</t>
  </si>
  <si>
    <t>Tarkempi aineistokuvaus</t>
  </si>
  <si>
    <r>
      <t>(</t>
    </r>
    <r>
      <rPr>
        <sz val="9"/>
        <rFont val="Calibri"/>
        <family val="2"/>
      </rPr>
      <t>©)</t>
    </r>
    <r>
      <rPr>
        <sz val="9"/>
        <rFont val="Arial"/>
        <family val="2"/>
      </rPr>
      <t xml:space="preserve"> Suomen Kuntaliitto 2018</t>
    </r>
  </si>
  <si>
    <t>Manner-Suomi</t>
  </si>
  <si>
    <r>
      <t>(</t>
    </r>
    <r>
      <rPr>
        <i/>
        <sz val="9"/>
        <rFont val="Calibri"/>
        <family val="2"/>
      </rPr>
      <t>©)</t>
    </r>
    <r>
      <rPr>
        <i/>
        <sz val="9"/>
        <rFont val="Arial"/>
        <family val="2"/>
      </rPr>
      <t xml:space="preserve"> Suomen Kuntaliitto 2018</t>
    </r>
  </si>
  <si>
    <t>VOS VM</t>
  </si>
  <si>
    <t>siitä: Muutosrajoitin</t>
  </si>
  <si>
    <t>siitä: Siirtymätasaus (jaksotettu)</t>
  </si>
  <si>
    <t>(ml. Poistot)</t>
  </si>
  <si>
    <t>TILIKAUDEN YLIJÄÄMÄ (ALIJÄÄMÄ)</t>
  </si>
  <si>
    <t>2021**</t>
  </si>
  <si>
    <t>**2021</t>
  </si>
  <si>
    <t>Siirtyvät kulut yhteensä</t>
  </si>
  <si>
    <t>Siirtyvät tuotot yhteensä</t>
  </si>
  <si>
    <t>Erotus</t>
  </si>
  <si>
    <t>Sote vos</t>
  </si>
  <si>
    <t>Muutosrajoitin</t>
  </si>
  <si>
    <t>Siirrettävä</t>
  </si>
  <si>
    <t>(vain se)</t>
  </si>
  <si>
    <t>(vaihda kunta tuloslaskelma -välilehdeltä)</t>
  </si>
  <si>
    <t>Verotuloihin perustuvan</t>
  </si>
  <si>
    <t>tasauksen</t>
  </si>
  <si>
    <t>Verotuloihin perustuvan tasauksen muutos</t>
  </si>
  <si>
    <t>SIIRTYVÄT KUSTANNUKSET</t>
  </si>
  <si>
    <t>SIIRTYVÄT TUOTOT</t>
  </si>
  <si>
    <t>Huomioita:</t>
  </si>
  <si>
    <t>Jakoavain hakee tuloslaskelma -välilehdeltä siirtyvän toimintakatteen ja käy viemässä muutosrajoittimen arvon takaisin.</t>
  </si>
  <si>
    <t>Jos sotekustannukset (siirtyvät toimintakate) pienenevät, kasvaa muutosrajoittimen arvo.</t>
  </si>
  <si>
    <t>Ks. Kaavaviittaukset.</t>
  </si>
  <si>
    <t>Verotuloihin perustuva tasauksen muutos ei muutu tässä vaikka tietoja muutetaan.</t>
  </si>
  <si>
    <t xml:space="preserve"> 31.12.2018</t>
  </si>
  <si>
    <t xml:space="preserve"> (toim.kate+poistot)</t>
  </si>
  <si>
    <t>Verotulomenetysten</t>
  </si>
  <si>
    <t>kompensaatiot</t>
  </si>
  <si>
    <t>huom. ILMAN SIIRTYMÄTASAUSTA</t>
  </si>
  <si>
    <t>Vuonna 2025</t>
  </si>
  <si>
    <t>Vuonna 2026</t>
  </si>
  <si>
    <t>Vuonna 2027</t>
  </si>
  <si>
    <t>kompensaatio</t>
  </si>
  <si>
    <t>Siirtymätasaukset (€):</t>
  </si>
  <si>
    <t>Verotulomenetysten kompensaatiot</t>
  </si>
  <si>
    <t>ml.neutralisointi</t>
  </si>
  <si>
    <t>1000 €</t>
  </si>
  <si>
    <t>maksuunpannut verot (VM:n siirtolaskelman mukaan)</t>
  </si>
  <si>
    <t>siitä: Opetus- ja kulttuuritoimen muut valtionosuudet</t>
  </si>
  <si>
    <t>siitä: Kunnan peruspalvelujen valtionosuus</t>
  </si>
  <si>
    <t>siitä: Verotulomenetysten kompensaatiot</t>
  </si>
  <si>
    <t>Kunnan tuloslaskelma ja skenaario vuodesta 2023 eteenpäin</t>
  </si>
  <si>
    <t>ilman</t>
  </si>
  <si>
    <t>siirtymätasausta</t>
  </si>
  <si>
    <t>(tuloslaskelmasta)</t>
  </si>
  <si>
    <t>Vain valitun kunnan tiedot</t>
  </si>
  <si>
    <t>Muutos</t>
  </si>
  <si>
    <t>huom. Tasapaino muuttuu vielä järjestelmätasauksen porrastuksen takia, tasauksen pysyvä taso saavutetaan viimeistään vuonna 2027.</t>
  </si>
  <si>
    <t>Uuden kunnan</t>
  </si>
  <si>
    <t>erät (netto)</t>
  </si>
  <si>
    <t>tasaus (ml. Koko maan nettomäärän neutralisointi):</t>
  </si>
  <si>
    <t>rajataan enimmillään +/- 60 euroon asukasta kohden 5. vuoden jälkeen</t>
  </si>
  <si>
    <t>HV-alue</t>
  </si>
  <si>
    <t>OKM, 2022</t>
  </si>
  <si>
    <t>UUSI TULOSLASKELMA (vuoden 2022 hintatasossa):</t>
  </si>
  <si>
    <t>(Muutosrahoittimessa huomioitavat siirtyvät tuotot)</t>
  </si>
  <si>
    <t>Muutosrajoittimen laskennassa ei huomioida kaikkia valtionosuuteen tulevia kriteerimuutoksia. Tämän vuoksi todelliset siirtyvät tuotot poikkeavat muutosrajoittimen pohjana käytetyistä siirtyvistä tuotoista.</t>
  </si>
  <si>
    <t>1)</t>
  </si>
  <si>
    <t>1) Muutosrajoittimen laskennassa huomioitu erotus (ei sisällä kaikki vos-kriteerimuutoksia)</t>
  </si>
  <si>
    <t>Molemmat summat on esitetty laskurissa. Siirtyvien tuottojen kokonaissumma (huomioiden myös nämä muut vos-kriteerimuutokset) huomioidaan kuitenkin siirtymätasauksen laskennassa.</t>
  </si>
  <si>
    <t>(Jos miinus: tasaus paranee euromääräisesti)</t>
  </si>
  <si>
    <t>&lt;</t>
  </si>
  <si>
    <t>Jakoavain kuntien tilinpäätösmuutokset</t>
  </si>
  <si>
    <t>Jakoavain simuloi puhtaasti sote-uudistuksen talousvaikutusta kunnan tuloslaskelmaan eikä se huomioi muita muutoksia.</t>
  </si>
  <si>
    <t xml:space="preserve"> 31.12.2021</t>
  </si>
  <si>
    <t>siitä: Lopputarkistuksen yhteisesti leikattava osuus</t>
  </si>
  <si>
    <t>+4 €/as</t>
  </si>
  <si>
    <t xml:space="preserve"> +/- 15 €/as</t>
  </si>
  <si>
    <t xml:space="preserve"> +/- 30 €/as</t>
  </si>
  <si>
    <t xml:space="preserve"> +/- 45 €/as</t>
  </si>
  <si>
    <t xml:space="preserve"> +/-60 €/as</t>
  </si>
  <si>
    <t>joissa on huomioitu esimerkiksi tehtävämuutoksista aiheutuvat vos-korjaukset ja väestömuutokset.</t>
  </si>
  <si>
    <t>Koko maan neutralisointi joka huomioidaan siirtymätasauksessa:</t>
  </si>
  <si>
    <t>siitä: Lopputarkistuksen takaisinperintä vuodelta 2023</t>
  </si>
  <si>
    <t>Tasasuuruisesti leikattava vos (lopputarkistus)</t>
  </si>
  <si>
    <t>ei muutu</t>
  </si>
  <si>
    <t>alkup.laskelma</t>
  </si>
  <si>
    <t>TP21</t>
  </si>
  <si>
    <t>kulut</t>
  </si>
  <si>
    <t>toimintate ja poistot</t>
  </si>
  <si>
    <t>sote</t>
  </si>
  <si>
    <t>pela</t>
  </si>
  <si>
    <t>sote-korotuskerroin:</t>
  </si>
  <si>
    <t>pela-korotuskerroin:</t>
  </si>
  <si>
    <t>Lopputarkistuksen leikkaus otetaan kaikilta €/asukas ja se huomioidaan osana muutosrajoitinta. Tarkennan arvioita tähän sitten kun tietoja on enemmän käytössä.</t>
  </si>
  <si>
    <t>(siirtymätasaus €/asukas)</t>
  </si>
  <si>
    <t>(tasapainotilan muutos)</t>
  </si>
  <si>
    <t>Tasapaino 2022</t>
  </si>
  <si>
    <t>Tasapaino 2024</t>
  </si>
  <si>
    <t>Tasapaino 2025</t>
  </si>
  <si>
    <t>Tasapaino 2026</t>
  </si>
  <si>
    <t>Tasapaino 2027</t>
  </si>
  <si>
    <t>Tasapaino ilman siirtymätasausta</t>
  </si>
  <si>
    <t/>
  </si>
  <si>
    <t>Muutosrajoitin lasketaan siirtyvistä kustannuksista ja tuotoista.</t>
  </si>
  <si>
    <t>Muutosrajoitin lasketaan maksuunpannuista verotuloista.</t>
  </si>
  <si>
    <t>Tasapaino 2023 (alustava laskelma)</t>
  </si>
  <si>
    <t>Siirtyvän</t>
  </si>
  <si>
    <t>KUVEn</t>
  </si>
  <si>
    <t>osuus</t>
  </si>
  <si>
    <t>%</t>
  </si>
  <si>
    <t>YVENn</t>
  </si>
  <si>
    <t>Kunnallisveron simulointi:</t>
  </si>
  <si>
    <t>Yhteisöveron simulointi:</t>
  </si>
  <si>
    <t>Siirtyvät erät</t>
  </si>
  <si>
    <t>Maksuunpantu vero 2022:</t>
  </si>
  <si>
    <t>Tilikauden tulos €/asukas</t>
  </si>
  <si>
    <t>Muokattu</t>
  </si>
  <si>
    <t>Ero</t>
  </si>
  <si>
    <t>Alkuperäinen</t>
  </si>
  <si>
    <t>Ero (€/asukas)</t>
  </si>
  <si>
    <t>Tilikauden tulos:</t>
  </si>
  <si>
    <t>Valtionosuudet:</t>
  </si>
  <si>
    <t>Jakoavain on kuntien tueksi laadittu apuväline. Lähtötiedot on tarkoitettu taloussuunnittelun ja laskennan pohjaksi.</t>
  </si>
  <si>
    <t xml:space="preserve">VM vos </t>
  </si>
  <si>
    <t>(1000€)</t>
  </si>
  <si>
    <t>Simuloitu</t>
  </si>
  <si>
    <t>tasapaino</t>
  </si>
  <si>
    <t>Vanha</t>
  </si>
  <si>
    <t>Vanha nettokulu</t>
  </si>
  <si>
    <t>Uusi nettokulu</t>
  </si>
  <si>
    <t>Vanha verotulo</t>
  </si>
  <si>
    <t>Uusi verotulo</t>
  </si>
  <si>
    <t>Lopputarkistus euroa:</t>
  </si>
  <si>
    <t>Lopputarkistuksen tasasuuruinen vos-leikkaus (€/as):</t>
  </si>
  <si>
    <t>Ohjetekstit siirretty solukommentteihin.</t>
  </si>
  <si>
    <r>
      <t>(</t>
    </r>
    <r>
      <rPr>
        <sz val="9"/>
        <rFont val="Calibri"/>
        <family val="2"/>
      </rPr>
      <t>©)</t>
    </r>
    <r>
      <rPr>
        <sz val="9"/>
        <rFont val="Arial"/>
        <family val="2"/>
      </rPr>
      <t xml:space="preserve"> Suomen Kuntaliitto 2023</t>
    </r>
  </si>
  <si>
    <t>Siirtyvien sote-nettokäyttökulujen simulointi:</t>
  </si>
  <si>
    <t>Siirtyvien pela-nettokäyttökulujen simulointi:</t>
  </si>
  <si>
    <t>TPA22</t>
  </si>
  <si>
    <t>Jakoavain työkalu soveltuu parhaiten sote-uudistuksen ja esimerkiksi sote-kulujen muutosten simulointiin, kun taas ennakolliset valtionosuuslaskelmat sisältävät</t>
  </si>
  <si>
    <t>Siirtolaskelmien lopputarkistus tehdään loppuvuodesta 2023. Lopputarkistus näkyy valtionosuuksissa vuodesta 2024 alkaen. Vuoden 2023 vos-maksatus korjataan takautuvasti vuosina 2024 ja 2025.</t>
  </si>
  <si>
    <t>Terveisin, Mikko.</t>
  </si>
  <si>
    <t>050-592 8986</t>
  </si>
  <si>
    <t>Toimintakate + poistot</t>
  </si>
  <si>
    <t>TOIMINTAKATE + POISTOT</t>
  </si>
  <si>
    <t>Poistot ja arvonalentumiset (yllä)</t>
  </si>
  <si>
    <t>-</t>
  </si>
  <si>
    <t>MP kunnallisvero</t>
  </si>
  <si>
    <t>MP yhteisövero</t>
  </si>
  <si>
    <t>TP21:</t>
  </si>
  <si>
    <t>TPA22:</t>
  </si>
  <si>
    <t>(ei sisällä KL ennusteita)</t>
  </si>
  <si>
    <t>&lt;- siirtymätasausta,</t>
  </si>
  <si>
    <t xml:space="preserve"> Ne tulevat vos-laskelmiin sellaisenaan!</t>
  </si>
  <si>
    <t>(VM)</t>
  </si>
  <si>
    <t>(VM huhtikuu)</t>
  </si>
  <si>
    <t>siirtolaskelma</t>
  </si>
  <si>
    <t>Peruspalveluiden</t>
  </si>
  <si>
    <t>Valtionosuus</t>
  </si>
  <si>
    <t>pre</t>
  </si>
  <si>
    <t>post</t>
  </si>
  <si>
    <t>Verokompit</t>
  </si>
  <si>
    <t>OKM-vos</t>
  </si>
  <si>
    <t>Verotuskulujen alenema</t>
  </si>
  <si>
    <t>Verotuskulujen</t>
  </si>
  <si>
    <t xml:space="preserve"> 31.12.2022</t>
  </si>
  <si>
    <t>toimintk.+poistot</t>
  </si>
  <si>
    <t>TPA2022</t>
  </si>
  <si>
    <t>Tarkistettu</t>
  </si>
  <si>
    <t>Marraskuu 2022 laskelma (alkuperäinen)</t>
  </si>
  <si>
    <t>Alkuperäinen (siirtolaskelma 6.4)</t>
  </si>
  <si>
    <t>Jälkikäteistarkistuksesta aiheutuva valtionosuuden lisäsiirto</t>
  </si>
  <si>
    <t>Huhtikuun (6.4) siirtolaskelma:</t>
  </si>
  <si>
    <t>siirtolaskelma:</t>
  </si>
  <si>
    <t>&lt;- Lisää tai vähennä ero ennakollisiin valtionosuuslaskelmiin.</t>
  </si>
  <si>
    <t>&lt;- Esitäytettynä VM:n veroennuste.</t>
  </si>
  <si>
    <t>&lt;- Seuraa muutosrajoitinta,</t>
  </si>
  <si>
    <t>&lt;- sekä lopputarkitusta ja sen takaisinperintää.</t>
  </si>
  <si>
    <t>&lt;- Esitäytetty tilinpäätösarvion 2022 mukaiset kulut. Voit korvata sen tp22 luvulla.</t>
  </si>
  <si>
    <t>Asukasluku 31.12.2022:</t>
  </si>
  <si>
    <t>tarkista muutos alta (rivi 64 alkaen).</t>
  </si>
  <si>
    <t>Perustuu VM:n huhtikuussa 2023 julkaisemaan sote-siirtolaskelmaan sekä Tilastokeskuksen alkuvuodesta 2023 keräämiin sote-tilinpäätösarviotietoihin.</t>
  </si>
  <si>
    <t>-&gt; katso riviltä 64 alkaen miten se vaikuttaa valtionosuuksiin,</t>
  </si>
  <si>
    <t>Jakoavaimen käyttöehdotus:</t>
  </si>
  <si>
    <t>-&gt; lisää tai vähennä erotus vuoden 2024 ennakollisiin vos-laskelmiin.</t>
  </si>
  <si>
    <t>Jakoavain perustuu viimeisimpään arvioon (6.4.2023) lopputarkistuksen suuruudesta.</t>
  </si>
  <si>
    <t>Esitäyttötiedoilla Jakoavain täsmää 6.4 julkaistuihin siirtolaskelmiin.</t>
  </si>
  <si>
    <t>Vaihtoehtoisilla lähtötiedoilla simulointi näyttää paljonko kunta menettää tai saa lisää valtionosuuksia suhteessa ennakollisiin siirto- ja valtionosuuslaskelmiin.</t>
  </si>
  <si>
    <t>-&gt; syötä Jakoavaimeen lopulliset sote-kulut ja/tai vaihda Kuntaliiton veroennuste,</t>
  </si>
  <si>
    <t>Sen vuoksi Jakoavaimen ja sen taustalla olevien siirtolaskelmien luvut eroavat esimerkiksi veroennusteista sekä vuoden 2024 ennakollisista valtionosuuslaskelmista,</t>
  </si>
  <si>
    <t>vuoden 2024 budjetoinnin kannalta keskeisen luvut.</t>
  </si>
  <si>
    <t>Päivitetty 26.5.2023/Mehtonen</t>
  </si>
  <si>
    <t>Päivitys 26.5: Verohallinnon ennakkotiedot (24.5) vuoden 2022 verotuloista tuotu tuloslaskelmasivulle. Huomaa: siirrä uudet verotulot laskuriin jotta näet niiden vaikutuksen.</t>
  </si>
  <si>
    <t>Verohallinnon ennakkotiedot (24.5):</t>
  </si>
  <si>
    <t>Jos haluat, voit korvata sen Verohallinnon ennakkotiedolla.</t>
  </si>
  <si>
    <t>(Verohallinto 31.7)</t>
  </si>
  <si>
    <t>Päivitetty: 15.8.2023 Mehtonen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</si>
</sst>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0\ &quot;€&quot;;[Red]\-#,##0\ &quot;€&quot;"/>
    <numFmt numFmtId="164" formatCode="#,##0.0"/>
    <numFmt numFmtId="165" formatCode="0.0"/>
    <numFmt numFmtId="166" formatCode="#,##0_);\(#,##0\)"/>
    <numFmt numFmtId="167" formatCode="#,##0_ ;[Red]\-#,##0\ "/>
    <numFmt numFmtId="168" formatCode="0.0000"/>
    <numFmt numFmtId="169" formatCode="#,##0.000"/>
    <numFmt numFmtId="170" formatCode="#\ ###\ ###\ ##0"/>
    <numFmt numFmtId="171" formatCode="General_)"/>
    <numFmt numFmtId="172" formatCode="0.000"/>
    <numFmt numFmtId="173" formatCode="#,##0.0000"/>
    <numFmt numFmtId="174" formatCode="#,##0.0_ ;[Red]\-#,##0.0\ "/>
    <numFmt numFmtId="175" formatCode="#,##0.000_ ;[Red]\-#,##0.000\ "/>
    <numFmt numFmtId="176" formatCode="#,##0.0000_ ;[Red]\-#,##0.0000\ "/>
    <numFmt numFmtId="177" formatCode="0E+00"/>
    <numFmt numFmtId="178" formatCode="#,##0.0000000_ ;[Red]\-#,##0.0000000\ "/>
    <numFmt numFmtId="179" formatCode="#,##0.00_ ;[Red]\-#,##0.00\ "/>
    <numFmt numFmtId="180" formatCode="0.0\ %"/>
  </numFmts>
  <fonts count="96" x14ac:knownFonts="1">
    <font>
      <sz val="10"/>
      <name val="Arial"/>
    </font>
    <font>
      <b/>
      <sz val="10"/>
      <name val="Arial"/>
      <family val="2"/>
    </font>
    <font>
      <sz val="9"/>
      <name val="Arial"/>
      <family val="2"/>
    </font>
    <font>
      <sz val="8"/>
      <name val="Arial"/>
      <family val="2"/>
    </font>
    <font>
      <sz val="10"/>
      <name val="Arial"/>
      <family val="2"/>
    </font>
    <font>
      <sz val="8"/>
      <name val="Arial Narrow"/>
      <family val="2"/>
    </font>
    <font>
      <sz val="10"/>
      <name val="Arial Narrow"/>
      <family val="2"/>
    </font>
    <font>
      <b/>
      <sz val="12"/>
      <name val="Arial"/>
      <family val="2"/>
    </font>
    <font>
      <i/>
      <sz val="10"/>
      <name val="Arial"/>
      <family val="2"/>
    </font>
    <font>
      <i/>
      <sz val="10"/>
      <name val="Arial Narrow"/>
      <family val="2"/>
    </font>
    <font>
      <sz val="11"/>
      <name val="Calibri"/>
      <family val="2"/>
    </font>
    <font>
      <b/>
      <sz val="8"/>
      <name val="Arial"/>
      <family val="2"/>
    </font>
    <font>
      <u/>
      <sz val="10"/>
      <name val="Arial"/>
      <family val="2"/>
    </font>
    <font>
      <i/>
      <sz val="8"/>
      <name val="Arial"/>
      <family val="2"/>
    </font>
    <font>
      <b/>
      <u/>
      <sz val="8"/>
      <name val="Arial"/>
      <family val="2"/>
    </font>
    <font>
      <sz val="9"/>
      <name val="Calibri"/>
      <family val="2"/>
    </font>
    <font>
      <b/>
      <sz val="14"/>
      <name val="Arial"/>
      <family val="2"/>
    </font>
    <font>
      <i/>
      <sz val="9"/>
      <name val="Arial"/>
      <family val="2"/>
    </font>
    <font>
      <b/>
      <sz val="10"/>
      <name val="Arial Narrow"/>
      <family val="2"/>
    </font>
    <font>
      <i/>
      <sz val="9"/>
      <name val="Calibri"/>
      <family val="2"/>
    </font>
    <font>
      <sz val="11"/>
      <name val="Arial"/>
      <family val="2"/>
    </font>
    <font>
      <sz val="12"/>
      <name val="Arial"/>
      <family val="2"/>
    </font>
    <font>
      <u/>
      <sz val="11"/>
      <name val="Arial"/>
      <family val="2"/>
    </font>
    <font>
      <b/>
      <vertAlign val="superscript"/>
      <sz val="12"/>
      <name val="Arial"/>
      <family val="2"/>
    </font>
    <font>
      <b/>
      <u/>
      <sz val="18"/>
      <name val="Arial"/>
      <family val="2"/>
    </font>
    <font>
      <sz val="9"/>
      <color indexed="81"/>
      <name val="Tahoma"/>
      <family val="2"/>
    </font>
    <font>
      <b/>
      <sz val="9"/>
      <color indexed="81"/>
      <name val="Tahoma"/>
      <family val="2"/>
    </font>
    <font>
      <sz val="8"/>
      <name val="Arial"/>
      <family val="2"/>
    </font>
    <font>
      <sz val="11"/>
      <color theme="1"/>
      <name val="Calibri"/>
      <family val="2"/>
      <scheme val="minor"/>
    </font>
    <font>
      <sz val="11"/>
      <color theme="0"/>
      <name val="Calibri"/>
      <family val="2"/>
      <scheme val="minor"/>
    </font>
    <font>
      <u/>
      <sz val="10"/>
      <color theme="10"/>
      <name val="Arial"/>
      <family val="2"/>
    </font>
    <font>
      <sz val="10"/>
      <color theme="1"/>
      <name val="Verdana"/>
      <family val="2"/>
    </font>
    <font>
      <sz val="11"/>
      <color rgb="FF000000"/>
      <name val="Calibri"/>
      <family val="2"/>
    </font>
    <font>
      <sz val="9"/>
      <color theme="1"/>
      <name val="Arial"/>
      <family val="2"/>
    </font>
    <font>
      <sz val="10"/>
      <color theme="1"/>
      <name val="Arial"/>
      <family val="2"/>
    </font>
    <font>
      <b/>
      <sz val="10"/>
      <color theme="1"/>
      <name val="Arial"/>
      <family val="2"/>
    </font>
    <font>
      <sz val="10"/>
      <color rgb="FFFF0000"/>
      <name val="Arial"/>
      <family val="2"/>
    </font>
    <font>
      <i/>
      <sz val="10"/>
      <color theme="1"/>
      <name val="Arial"/>
      <family val="2"/>
    </font>
    <font>
      <b/>
      <i/>
      <sz val="10"/>
      <color rgb="FFFF0000"/>
      <name val="Arial"/>
      <family val="2"/>
    </font>
    <font>
      <b/>
      <sz val="10"/>
      <color rgb="FFFF0000"/>
      <name val="Arial"/>
      <family val="2"/>
    </font>
    <font>
      <i/>
      <sz val="10"/>
      <color theme="0" tint="-0.499984740745262"/>
      <name val="Arial"/>
      <family val="2"/>
    </font>
    <font>
      <sz val="8"/>
      <color theme="1"/>
      <name val="Arial"/>
      <family val="2"/>
    </font>
    <font>
      <b/>
      <sz val="8"/>
      <color theme="1"/>
      <name val="Arial"/>
      <family val="2"/>
    </font>
    <font>
      <b/>
      <sz val="8"/>
      <color rgb="FF00B050"/>
      <name val="Arial"/>
      <family val="2"/>
    </font>
    <font>
      <b/>
      <sz val="10"/>
      <color rgb="FF0070C0"/>
      <name val="Arial"/>
      <family val="2"/>
    </font>
    <font>
      <b/>
      <sz val="11"/>
      <color rgb="FF000000"/>
      <name val="Calibri"/>
      <family val="2"/>
    </font>
    <font>
      <b/>
      <sz val="11"/>
      <color rgb="FFFF0000"/>
      <name val="Calibri"/>
      <family val="2"/>
    </font>
    <font>
      <b/>
      <sz val="8"/>
      <color rgb="FFFF0000"/>
      <name val="Arial"/>
      <family val="2"/>
    </font>
    <font>
      <b/>
      <u/>
      <sz val="11"/>
      <color theme="1"/>
      <name val="Arial"/>
      <family val="2"/>
    </font>
    <font>
      <sz val="8"/>
      <color rgb="FFFF0000"/>
      <name val="Arial"/>
      <family val="2"/>
    </font>
    <font>
      <i/>
      <sz val="8"/>
      <color theme="1"/>
      <name val="Arial"/>
      <family val="2"/>
    </font>
    <font>
      <b/>
      <sz val="10"/>
      <color rgb="FF00B050"/>
      <name val="Arial"/>
      <family val="2"/>
    </font>
    <font>
      <i/>
      <sz val="10"/>
      <color theme="0" tint="-0.249977111117893"/>
      <name val="Arial"/>
      <family val="2"/>
    </font>
    <font>
      <b/>
      <i/>
      <sz val="10"/>
      <color theme="1"/>
      <name val="Arial"/>
      <family val="2"/>
    </font>
    <font>
      <sz val="9"/>
      <color rgb="FFFF0000"/>
      <name val="Arial"/>
      <family val="2"/>
    </font>
    <font>
      <b/>
      <sz val="14"/>
      <color rgb="FF000000"/>
      <name val="Calibri"/>
      <family val="2"/>
    </font>
    <font>
      <b/>
      <sz val="14"/>
      <color theme="1"/>
      <name val="Arial"/>
      <family val="2"/>
    </font>
    <font>
      <b/>
      <sz val="11"/>
      <color theme="1"/>
      <name val="Arial"/>
      <family val="2"/>
    </font>
    <font>
      <b/>
      <u/>
      <sz val="8"/>
      <color theme="1"/>
      <name val="Arial"/>
      <family val="2"/>
    </font>
    <font>
      <b/>
      <sz val="10"/>
      <color rgb="FF7030A0"/>
      <name val="Arial"/>
      <family val="2"/>
    </font>
    <font>
      <b/>
      <sz val="8"/>
      <color theme="0"/>
      <name val="Calibri"/>
      <family val="2"/>
      <scheme val="minor"/>
    </font>
    <font>
      <sz val="8"/>
      <color theme="0"/>
      <name val="Calibri"/>
      <family val="2"/>
      <scheme val="minor"/>
    </font>
    <font>
      <b/>
      <sz val="9"/>
      <color theme="0"/>
      <name val="Calibri"/>
      <family val="2"/>
      <scheme val="minor"/>
    </font>
    <font>
      <sz val="10"/>
      <color theme="0"/>
      <name val="Calibri"/>
      <family val="2"/>
      <scheme val="minor"/>
    </font>
    <font>
      <sz val="9"/>
      <color theme="0"/>
      <name val="Calibri"/>
      <family val="2"/>
      <scheme val="minor"/>
    </font>
    <font>
      <sz val="10"/>
      <color theme="0"/>
      <name val="Arial"/>
      <family val="2"/>
    </font>
    <font>
      <b/>
      <sz val="9"/>
      <color rgb="FFFF0000"/>
      <name val="Arial"/>
      <family val="2"/>
    </font>
    <font>
      <sz val="10"/>
      <color rgb="FFFF0000"/>
      <name val="Arial Narrow"/>
      <family val="2"/>
    </font>
    <font>
      <sz val="10"/>
      <color theme="0" tint="-0.34998626667073579"/>
      <name val="Arial"/>
      <family val="2"/>
    </font>
    <font>
      <i/>
      <sz val="10"/>
      <color rgb="FFFF0000"/>
      <name val="Arial"/>
      <family val="2"/>
    </font>
    <font>
      <b/>
      <sz val="10"/>
      <color theme="0" tint="-0.34998626667073579"/>
      <name val="Arial"/>
      <family val="2"/>
    </font>
    <font>
      <i/>
      <sz val="10"/>
      <color theme="0" tint="-0.34998626667073579"/>
      <name val="Arial"/>
      <family val="2"/>
    </font>
    <font>
      <b/>
      <sz val="11"/>
      <color rgb="FFFF0000"/>
      <name val="Arial"/>
      <family val="2"/>
    </font>
    <font>
      <i/>
      <sz val="9"/>
      <color theme="1" tint="0.34998626667073579"/>
      <name val="Arial"/>
      <family val="2"/>
    </font>
    <font>
      <b/>
      <sz val="14"/>
      <color rgb="FFFF0000"/>
      <name val="Arial"/>
      <family val="2"/>
    </font>
    <font>
      <i/>
      <sz val="8"/>
      <color rgb="FFFF0000"/>
      <name val="Arial"/>
      <family val="2"/>
    </font>
    <font>
      <sz val="14"/>
      <color rgb="FFFF0000"/>
      <name val="Arial"/>
      <family val="2"/>
    </font>
    <font>
      <b/>
      <u/>
      <sz val="10"/>
      <name val="Arial"/>
      <family val="2"/>
    </font>
    <font>
      <b/>
      <u/>
      <sz val="10"/>
      <color theme="0" tint="-0.34998626667073579"/>
      <name val="Arial"/>
      <family val="2"/>
    </font>
    <font>
      <sz val="9"/>
      <name val="Work Sans"/>
    </font>
    <font>
      <i/>
      <sz val="9"/>
      <name val="Work Sans"/>
    </font>
    <font>
      <b/>
      <i/>
      <sz val="9"/>
      <name val="Work Sans"/>
    </font>
    <font>
      <b/>
      <sz val="9"/>
      <name val="Arial"/>
      <family val="2"/>
    </font>
    <font>
      <b/>
      <i/>
      <sz val="9"/>
      <color theme="4"/>
      <name val="Arial"/>
      <family val="2"/>
    </font>
    <font>
      <sz val="9"/>
      <color theme="0" tint="-0.34998626667073579"/>
      <name val="Arial"/>
      <family val="2"/>
    </font>
    <font>
      <b/>
      <i/>
      <sz val="9"/>
      <name val="Arial"/>
      <family val="2"/>
    </font>
    <font>
      <i/>
      <sz val="9"/>
      <color theme="4"/>
      <name val="Arial"/>
      <family val="2"/>
    </font>
    <font>
      <i/>
      <sz val="9"/>
      <color theme="0" tint="-0.34998626667073579"/>
      <name val="Arial"/>
      <family val="2"/>
    </font>
    <font>
      <sz val="12"/>
      <color theme="3" tint="0.39997558519241921"/>
      <name val="Arial"/>
      <family val="2"/>
    </font>
    <font>
      <u/>
      <sz val="10"/>
      <color theme="1"/>
      <name val="Arial"/>
      <family val="2"/>
    </font>
    <font>
      <b/>
      <u/>
      <sz val="11"/>
      <name val="Arial"/>
      <family val="2"/>
    </font>
    <font>
      <u/>
      <sz val="12"/>
      <name val="Arial"/>
      <family val="2"/>
    </font>
    <font>
      <sz val="10"/>
      <color theme="0" tint="-0.249977111117893"/>
      <name val="Arial"/>
      <family val="2"/>
    </font>
    <font>
      <b/>
      <sz val="8"/>
      <color theme="3" tint="0.39997558519241921"/>
      <name val="Arial"/>
      <family val="2"/>
    </font>
    <font>
      <sz val="8"/>
      <color theme="3" tint="0.39997558519241921"/>
      <name val="Arial"/>
      <family val="2"/>
    </font>
    <font>
      <sz val="10"/>
      <color theme="3" tint="0.39997558519241921"/>
      <name val="Arial"/>
      <family val="2"/>
    </font>
  </fonts>
  <fills count="24">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9"/>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EBE657"/>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30" fillId="0" borderId="0" applyNumberFormat="0" applyFill="0" applyBorder="0" applyAlignment="0" applyProtection="0"/>
    <xf numFmtId="0" fontId="28" fillId="0" borderId="0"/>
    <xf numFmtId="0" fontId="31" fillId="0" borderId="0"/>
    <xf numFmtId="0" fontId="32" fillId="0" borderId="0" applyNumberFormat="0" applyBorder="0" applyAlignment="0"/>
    <xf numFmtId="0" fontId="28" fillId="0" borderId="0"/>
  </cellStyleXfs>
  <cellXfs count="528">
    <xf numFmtId="0" fontId="0" fillId="0" borderId="0" xfId="0"/>
    <xf numFmtId="0" fontId="2" fillId="0" borderId="0" xfId="0" applyFont="1"/>
    <xf numFmtId="0" fontId="1" fillId="0" borderId="0" xfId="0" applyFont="1"/>
    <xf numFmtId="0" fontId="4" fillId="0" borderId="0" xfId="0" applyFont="1"/>
    <xf numFmtId="14" fontId="33" fillId="0" borderId="0" xfId="0" applyNumberFormat="1" applyFont="1" applyAlignment="1">
      <alignment horizontal="left"/>
    </xf>
    <xf numFmtId="0" fontId="34" fillId="0" borderId="0" xfId="0" applyFont="1"/>
    <xf numFmtId="3" fontId="34" fillId="0" borderId="0" xfId="0" applyNumberFormat="1" applyFont="1"/>
    <xf numFmtId="0" fontId="35" fillId="0" borderId="0" xfId="0" applyFont="1"/>
    <xf numFmtId="0" fontId="34" fillId="0" borderId="0" xfId="0" applyFont="1" applyAlignment="1">
      <alignment horizontal="center"/>
    </xf>
    <xf numFmtId="14" fontId="5" fillId="0" borderId="0" xfId="0" applyNumberFormat="1" applyFont="1" applyAlignment="1">
      <alignment horizontal="left"/>
    </xf>
    <xf numFmtId="0" fontId="6" fillId="0" borderId="0" xfId="0" applyFont="1"/>
    <xf numFmtId="0" fontId="7" fillId="6" borderId="1" xfId="0" applyFont="1" applyFill="1" applyBorder="1" applyAlignment="1">
      <alignment horizontal="left"/>
    </xf>
    <xf numFmtId="49" fontId="1" fillId="6" borderId="1" xfId="0" applyNumberFormat="1" applyFont="1" applyFill="1" applyBorder="1" applyAlignment="1">
      <alignment horizontal="center"/>
    </xf>
    <xf numFmtId="0" fontId="7" fillId="6" borderId="2" xfId="0" applyFont="1" applyFill="1" applyBorder="1" applyAlignment="1">
      <alignment horizontal="left"/>
    </xf>
    <xf numFmtId="0" fontId="1" fillId="0" borderId="3" xfId="0" applyFont="1" applyBorder="1" applyAlignment="1">
      <alignment horizontal="left"/>
    </xf>
    <xf numFmtId="0" fontId="4" fillId="0" borderId="3" xfId="0" applyFont="1" applyBorder="1" applyAlignment="1">
      <alignment horizontal="left"/>
    </xf>
    <xf numFmtId="0" fontId="2" fillId="0" borderId="3" xfId="0" applyFont="1" applyBorder="1" applyAlignment="1">
      <alignment horizontal="left"/>
    </xf>
    <xf numFmtId="0" fontId="4" fillId="0" borderId="3" xfId="0" applyFont="1" applyBorder="1"/>
    <xf numFmtId="0" fontId="3" fillId="0" borderId="3" xfId="0" applyFont="1" applyBorder="1"/>
    <xf numFmtId="0" fontId="1" fillId="0" borderId="3" xfId="0" applyFont="1" applyBorder="1"/>
    <xf numFmtId="166" fontId="1" fillId="0" borderId="3" xfId="0" applyNumberFormat="1" applyFont="1" applyBorder="1" applyAlignment="1">
      <alignment horizontal="left"/>
    </xf>
    <xf numFmtId="0" fontId="1" fillId="0" borderId="4" xfId="0" applyFont="1" applyBorder="1" applyAlignment="1">
      <alignment horizontal="left"/>
    </xf>
    <xf numFmtId="0" fontId="4" fillId="0" borderId="5" xfId="0" applyFont="1" applyBorder="1"/>
    <xf numFmtId="0" fontId="1" fillId="0" borderId="6" xfId="0" applyFont="1" applyBorder="1" applyAlignment="1">
      <alignment horizontal="left"/>
    </xf>
    <xf numFmtId="0" fontId="4" fillId="0" borderId="7" xfId="0" applyFont="1" applyBorder="1"/>
    <xf numFmtId="0" fontId="34" fillId="0" borderId="3" xfId="0" applyFont="1" applyBorder="1"/>
    <xf numFmtId="0" fontId="35" fillId="0" borderId="4" xfId="0" applyFont="1" applyBorder="1"/>
    <xf numFmtId="0" fontId="34" fillId="0" borderId="0" xfId="0" applyFont="1" applyAlignment="1">
      <alignment wrapText="1"/>
    </xf>
    <xf numFmtId="0" fontId="6" fillId="0" borderId="0" xfId="0" applyFont="1" applyAlignment="1">
      <alignment wrapText="1"/>
    </xf>
    <xf numFmtId="49" fontId="34" fillId="0" borderId="0" xfId="0" applyNumberFormat="1" applyFont="1" applyAlignment="1">
      <alignment wrapText="1"/>
    </xf>
    <xf numFmtId="0" fontId="36" fillId="0" borderId="0" xfId="0" applyFont="1"/>
    <xf numFmtId="0" fontId="34" fillId="0" borderId="0" xfId="0" applyFont="1" applyAlignment="1">
      <alignment horizontal="left" indent="3"/>
    </xf>
    <xf numFmtId="0" fontId="34" fillId="7" borderId="0" xfId="0" applyFont="1" applyFill="1"/>
    <xf numFmtId="0" fontId="35" fillId="7" borderId="0" xfId="0" applyFont="1" applyFill="1" applyAlignment="1">
      <alignment wrapText="1"/>
    </xf>
    <xf numFmtId="0" fontId="35" fillId="7" borderId="0" xfId="0" applyFont="1" applyFill="1" applyAlignment="1">
      <alignment horizontal="center"/>
    </xf>
    <xf numFmtId="0" fontId="37" fillId="7" borderId="0" xfId="0" applyFont="1" applyFill="1"/>
    <xf numFmtId="0" fontId="8" fillId="7" borderId="0" xfId="0" applyFont="1" applyFill="1"/>
    <xf numFmtId="164" fontId="38" fillId="0" borderId="0" xfId="0" applyNumberFormat="1" applyFont="1"/>
    <xf numFmtId="14" fontId="33" fillId="8" borderId="0" xfId="0" applyNumberFormat="1" applyFont="1" applyFill="1" applyAlignment="1">
      <alignment horizontal="left"/>
    </xf>
    <xf numFmtId="0" fontId="34" fillId="8" borderId="0" xfId="0" applyFont="1" applyFill="1"/>
    <xf numFmtId="0" fontId="39" fillId="8" borderId="0" xfId="0" applyFont="1" applyFill="1"/>
    <xf numFmtId="0" fontId="36" fillId="8" borderId="0" xfId="0" applyFont="1" applyFill="1"/>
    <xf numFmtId="9" fontId="36" fillId="8" borderId="0" xfId="0" applyNumberFormat="1" applyFont="1" applyFill="1" applyAlignment="1">
      <alignment horizontal="left"/>
    </xf>
    <xf numFmtId="3" fontId="4" fillId="0" borderId="0" xfId="0" applyNumberFormat="1" applyFont="1"/>
    <xf numFmtId="0" fontId="34" fillId="7" borderId="0" xfId="0" applyFont="1" applyFill="1" applyAlignment="1">
      <alignment wrapText="1"/>
    </xf>
    <xf numFmtId="49" fontId="35" fillId="7" borderId="0" xfId="0" applyNumberFormat="1" applyFont="1" applyFill="1" applyAlignment="1">
      <alignment wrapText="1"/>
    </xf>
    <xf numFmtId="0" fontId="35" fillId="0" borderId="0" xfId="0" applyFont="1" applyAlignment="1">
      <alignment horizontal="left"/>
    </xf>
    <xf numFmtId="0" fontId="34" fillId="7" borderId="0" xfId="0" applyFont="1" applyFill="1" applyAlignment="1">
      <alignment horizontal="left" wrapText="1" indent="3"/>
    </xf>
    <xf numFmtId="3" fontId="4" fillId="7" borderId="0" xfId="0" applyNumberFormat="1" applyFont="1" applyFill="1" applyAlignment="1">
      <alignment horizontal="center"/>
    </xf>
    <xf numFmtId="3" fontId="34" fillId="0" borderId="0" xfId="0" applyNumberFormat="1" applyFont="1" applyAlignment="1">
      <alignment horizontal="center"/>
    </xf>
    <xf numFmtId="3" fontId="36" fillId="0" borderId="0" xfId="0" applyNumberFormat="1" applyFont="1" applyAlignment="1">
      <alignment horizontal="center"/>
    </xf>
    <xf numFmtId="3" fontId="1" fillId="7" borderId="0" xfId="0" applyNumberFormat="1" applyFont="1" applyFill="1" applyAlignment="1">
      <alignment horizontal="center"/>
    </xf>
    <xf numFmtId="9" fontId="40" fillId="0" borderId="0" xfId="0" applyNumberFormat="1" applyFont="1" applyAlignment="1">
      <alignment horizontal="center"/>
    </xf>
    <xf numFmtId="3" fontId="4" fillId="0" borderId="0" xfId="0" applyNumberFormat="1" applyFont="1" applyAlignment="1">
      <alignment horizontal="center"/>
    </xf>
    <xf numFmtId="0" fontId="4" fillId="0" borderId="0" xfId="0" applyFont="1" applyAlignment="1">
      <alignment horizontal="center"/>
    </xf>
    <xf numFmtId="0" fontId="2" fillId="0" borderId="3" xfId="0" applyFont="1" applyBorder="1" applyAlignment="1">
      <alignment horizontal="left" indent="1"/>
    </xf>
    <xf numFmtId="0" fontId="2" fillId="0" borderId="3" xfId="0" applyFont="1" applyBorder="1" applyAlignment="1">
      <alignment horizontal="left" indent="2"/>
    </xf>
    <xf numFmtId="0" fontId="33" fillId="0" borderId="3" xfId="0" applyFont="1" applyBorder="1" applyAlignment="1">
      <alignment horizontal="left" indent="3"/>
    </xf>
    <xf numFmtId="0" fontId="4" fillId="0" borderId="3" xfId="0" applyFont="1" applyBorder="1" applyAlignment="1">
      <alignment horizontal="left" indent="1"/>
    </xf>
    <xf numFmtId="0" fontId="9" fillId="0" borderId="0" xfId="0" applyFont="1" applyAlignment="1">
      <alignment horizontal="left"/>
    </xf>
    <xf numFmtId="0" fontId="35" fillId="6" borderId="1" xfId="0" applyFont="1" applyFill="1" applyBorder="1" applyAlignment="1">
      <alignment horizontal="center"/>
    </xf>
    <xf numFmtId="0" fontId="36" fillId="0" borderId="0" xfId="0" applyFont="1" applyAlignment="1">
      <alignment horizontal="left" indent="2"/>
    </xf>
    <xf numFmtId="0" fontId="1" fillId="0" borderId="1" xfId="0" applyFont="1" applyBorder="1" applyAlignment="1">
      <alignment horizontal="center"/>
    </xf>
    <xf numFmtId="0" fontId="34" fillId="9" borderId="2" xfId="0" applyFont="1" applyFill="1" applyBorder="1"/>
    <xf numFmtId="0" fontId="34" fillId="0" borderId="0" xfId="0" applyFont="1" applyAlignment="1">
      <alignment horizontal="left" vertical="top" wrapText="1"/>
    </xf>
    <xf numFmtId="0" fontId="34" fillId="0" borderId="0" xfId="0" applyFont="1" applyAlignment="1">
      <alignment vertical="top" wrapText="1"/>
    </xf>
    <xf numFmtId="0" fontId="10" fillId="0" borderId="0" xfId="0" applyFont="1" applyAlignment="1">
      <alignment vertical="top"/>
    </xf>
    <xf numFmtId="167" fontId="41" fillId="0" borderId="0" xfId="0" applyNumberFormat="1" applyFont="1"/>
    <xf numFmtId="167" fontId="3" fillId="0" borderId="0" xfId="0" applyNumberFormat="1" applyFont="1"/>
    <xf numFmtId="167" fontId="42" fillId="0" borderId="0" xfId="0" applyNumberFormat="1" applyFont="1"/>
    <xf numFmtId="0" fontId="41" fillId="0" borderId="0" xfId="0" applyFont="1"/>
    <xf numFmtId="0" fontId="42" fillId="0" borderId="0" xfId="0" applyFont="1"/>
    <xf numFmtId="167" fontId="39" fillId="10" borderId="10" xfId="0" applyNumberFormat="1" applyFont="1" applyFill="1" applyBorder="1"/>
    <xf numFmtId="0" fontId="39" fillId="10" borderId="11" xfId="0" applyFont="1" applyFill="1" applyBorder="1"/>
    <xf numFmtId="167" fontId="39" fillId="10" borderId="12" xfId="0" applyNumberFormat="1" applyFont="1" applyFill="1" applyBorder="1"/>
    <xf numFmtId="0" fontId="39" fillId="10" borderId="12" xfId="0" applyFont="1" applyFill="1" applyBorder="1"/>
    <xf numFmtId="167" fontId="39" fillId="10" borderId="13" xfId="0" applyNumberFormat="1" applyFont="1" applyFill="1" applyBorder="1"/>
    <xf numFmtId="167" fontId="42" fillId="10" borderId="14" xfId="0" applyNumberFormat="1" applyFont="1" applyFill="1" applyBorder="1"/>
    <xf numFmtId="167" fontId="3" fillId="0" borderId="0" xfId="0" applyNumberFormat="1" applyFont="1" applyAlignment="1">
      <alignment horizontal="right"/>
    </xf>
    <xf numFmtId="167" fontId="11" fillId="0" borderId="14" xfId="0" applyNumberFormat="1" applyFont="1" applyBorder="1" applyAlignment="1">
      <alignment horizontal="right"/>
    </xf>
    <xf numFmtId="167" fontId="11" fillId="0" borderId="0" xfId="0" applyNumberFormat="1" applyFont="1" applyAlignment="1">
      <alignment horizontal="right"/>
    </xf>
    <xf numFmtId="167" fontId="3" fillId="0" borderId="14" xfId="0" applyNumberFormat="1" applyFont="1" applyBorder="1"/>
    <xf numFmtId="167" fontId="41" fillId="0" borderId="14" xfId="0" applyNumberFormat="1" applyFont="1" applyBorder="1"/>
    <xf numFmtId="167" fontId="41" fillId="10" borderId="14" xfId="0" applyNumberFormat="1" applyFont="1" applyFill="1" applyBorder="1"/>
    <xf numFmtId="167" fontId="43" fillId="7" borderId="0" xfId="0" applyNumberFormat="1" applyFont="1" applyFill="1" applyAlignment="1">
      <alignment horizontal="center"/>
    </xf>
    <xf numFmtId="0" fontId="35" fillId="0" borderId="0" xfId="0" applyFont="1" applyAlignment="1">
      <alignment vertical="top"/>
    </xf>
    <xf numFmtId="0" fontId="33" fillId="8" borderId="0" xfId="0" applyFont="1" applyFill="1" applyAlignment="1">
      <alignment vertical="top"/>
    </xf>
    <xf numFmtId="164" fontId="36" fillId="0" borderId="0" xfId="0" applyNumberFormat="1" applyFont="1" applyAlignment="1">
      <alignment horizontal="center"/>
    </xf>
    <xf numFmtId="0" fontId="0" fillId="11" borderId="0" xfId="0" applyFill="1"/>
    <xf numFmtId="3" fontId="0" fillId="0" borderId="0" xfId="0" applyNumberFormat="1"/>
    <xf numFmtId="3" fontId="0" fillId="11" borderId="0" xfId="0" applyNumberFormat="1" applyFill="1"/>
    <xf numFmtId="0" fontId="12" fillId="0" borderId="0" xfId="0" applyFont="1"/>
    <xf numFmtId="0" fontId="13" fillId="0" borderId="0" xfId="0" applyFont="1" applyAlignment="1">
      <alignment vertical="top"/>
    </xf>
    <xf numFmtId="3" fontId="4" fillId="11" borderId="0" xfId="0" applyNumberFormat="1" applyFont="1" applyFill="1"/>
    <xf numFmtId="1" fontId="0" fillId="0" borderId="0" xfId="0" applyNumberFormat="1"/>
    <xf numFmtId="0" fontId="44" fillId="0" borderId="0" xfId="0" applyFont="1"/>
    <xf numFmtId="0" fontId="4" fillId="11" borderId="0" xfId="0" applyFont="1" applyFill="1"/>
    <xf numFmtId="3" fontId="2" fillId="0" borderId="0" xfId="0" applyNumberFormat="1" applyFont="1"/>
    <xf numFmtId="0" fontId="3" fillId="0" borderId="0" xfId="0" applyFont="1"/>
    <xf numFmtId="0" fontId="32" fillId="0" borderId="0" xfId="9"/>
    <xf numFmtId="0" fontId="45" fillId="0" borderId="0" xfId="9" applyFont="1"/>
    <xf numFmtId="0" fontId="45" fillId="12" borderId="0" xfId="9" applyFont="1" applyFill="1"/>
    <xf numFmtId="0" fontId="45" fillId="13" borderId="0" xfId="9" applyFont="1" applyFill="1"/>
    <xf numFmtId="0" fontId="45" fillId="14" borderId="0" xfId="0" applyFont="1" applyFill="1"/>
    <xf numFmtId="0" fontId="45" fillId="15" borderId="0" xfId="9" applyFont="1" applyFill="1"/>
    <xf numFmtId="0" fontId="45" fillId="16" borderId="0" xfId="9" applyFont="1" applyFill="1"/>
    <xf numFmtId="0" fontId="45" fillId="17" borderId="0" xfId="9" applyFont="1" applyFill="1"/>
    <xf numFmtId="0" fontId="45" fillId="6" borderId="0" xfId="9" applyFont="1" applyFill="1"/>
    <xf numFmtId="0" fontId="46" fillId="0" borderId="0" xfId="9" applyFont="1"/>
    <xf numFmtId="0" fontId="45" fillId="17" borderId="0" xfId="0" applyFont="1" applyFill="1"/>
    <xf numFmtId="0" fontId="45" fillId="16" borderId="0" xfId="0" applyFont="1" applyFill="1"/>
    <xf numFmtId="0" fontId="45" fillId="18" borderId="0" xfId="9" applyFont="1" applyFill="1"/>
    <xf numFmtId="0" fontId="45" fillId="18" borderId="0" xfId="0" applyFont="1" applyFill="1"/>
    <xf numFmtId="0" fontId="45" fillId="19" borderId="0" xfId="9" applyFont="1" applyFill="1"/>
    <xf numFmtId="0" fontId="45" fillId="19" borderId="0" xfId="0" applyFont="1" applyFill="1"/>
    <xf numFmtId="0" fontId="47" fillId="0" borderId="0" xfId="0" applyFont="1"/>
    <xf numFmtId="167" fontId="0" fillId="0" borderId="0" xfId="0" applyNumberFormat="1"/>
    <xf numFmtId="0" fontId="4" fillId="7" borderId="0" xfId="0" applyFont="1" applyFill="1" applyAlignment="1">
      <alignment horizontal="center"/>
    </xf>
    <xf numFmtId="0" fontId="41" fillId="0" borderId="0" xfId="0" applyFont="1" applyAlignment="1">
      <alignment horizontal="right"/>
    </xf>
    <xf numFmtId="0" fontId="48" fillId="0" borderId="0" xfId="0" applyFont="1"/>
    <xf numFmtId="167" fontId="49" fillId="0" borderId="0" xfId="0" applyNumberFormat="1" applyFont="1"/>
    <xf numFmtId="167" fontId="11" fillId="10" borderId="14" xfId="0" applyNumberFormat="1" applyFont="1" applyFill="1" applyBorder="1" applyAlignment="1">
      <alignment horizontal="right"/>
    </xf>
    <xf numFmtId="167" fontId="11" fillId="10" borderId="15" xfId="0" applyNumberFormat="1" applyFont="1" applyFill="1" applyBorder="1" applyAlignment="1">
      <alignment horizontal="right"/>
    </xf>
    <xf numFmtId="167" fontId="42" fillId="10" borderId="15" xfId="0" applyNumberFormat="1" applyFont="1" applyFill="1" applyBorder="1"/>
    <xf numFmtId="167" fontId="50" fillId="0" borderId="0" xfId="0" applyNumberFormat="1" applyFont="1"/>
    <xf numFmtId="167" fontId="50" fillId="0" borderId="14" xfId="0" applyNumberFormat="1" applyFont="1" applyBorder="1"/>
    <xf numFmtId="0" fontId="39" fillId="7" borderId="0" xfId="0" applyFont="1" applyFill="1" applyAlignment="1">
      <alignment horizontal="center"/>
    </xf>
    <xf numFmtId="3" fontId="4" fillId="7" borderId="0" xfId="0" applyNumberFormat="1" applyFont="1" applyFill="1" applyAlignment="1">
      <alignment horizontal="center" vertical="center"/>
    </xf>
    <xf numFmtId="0" fontId="39" fillId="0" borderId="0" xfId="0" applyFont="1"/>
    <xf numFmtId="0" fontId="45" fillId="0" borderId="0" xfId="0" applyFont="1"/>
    <xf numFmtId="0" fontId="51" fillId="7" borderId="0" xfId="0" applyFont="1" applyFill="1" applyAlignment="1">
      <alignment horizontal="center"/>
    </xf>
    <xf numFmtId="0" fontId="34" fillId="0" borderId="0" xfId="0" applyFont="1" applyAlignment="1">
      <alignment horizontal="left" indent="2"/>
    </xf>
    <xf numFmtId="9" fontId="52" fillId="0" borderId="0" xfId="0" applyNumberFormat="1" applyFont="1" applyAlignment="1">
      <alignment horizontal="center"/>
    </xf>
    <xf numFmtId="0" fontId="39" fillId="7" borderId="0" xfId="0" applyFont="1" applyFill="1"/>
    <xf numFmtId="0" fontId="34" fillId="0" borderId="0" xfId="0" applyFont="1" applyAlignment="1">
      <alignment horizontal="left" wrapText="1"/>
    </xf>
    <xf numFmtId="0" fontId="53" fillId="7" borderId="0" xfId="0" applyFont="1" applyFill="1"/>
    <xf numFmtId="0" fontId="11" fillId="0" borderId="0" xfId="0" applyFont="1"/>
    <xf numFmtId="0" fontId="54" fillId="7" borderId="0" xfId="0" applyFont="1" applyFill="1"/>
    <xf numFmtId="3" fontId="36" fillId="7" borderId="0" xfId="0" applyNumberFormat="1" applyFont="1" applyFill="1" applyAlignment="1">
      <alignment horizontal="center" vertical="center"/>
    </xf>
    <xf numFmtId="0" fontId="55" fillId="0" borderId="0" xfId="0" applyFont="1"/>
    <xf numFmtId="0" fontId="0" fillId="0" borderId="0" xfId="0" applyAlignment="1">
      <alignment wrapText="1"/>
    </xf>
    <xf numFmtId="0" fontId="56" fillId="0" borderId="0" xfId="0" applyFont="1"/>
    <xf numFmtId="3" fontId="41" fillId="0" borderId="0" xfId="0" applyNumberFormat="1" applyFont="1"/>
    <xf numFmtId="0" fontId="57" fillId="0" borderId="0" xfId="0" applyFont="1"/>
    <xf numFmtId="0" fontId="58" fillId="0" borderId="0" xfId="0" applyFont="1"/>
    <xf numFmtId="3" fontId="42" fillId="0" borderId="0" xfId="0" applyNumberFormat="1" applyFont="1"/>
    <xf numFmtId="0" fontId="42" fillId="0" borderId="0" xfId="0" applyFont="1" applyAlignment="1">
      <alignment horizontal="left"/>
    </xf>
    <xf numFmtId="172" fontId="41" fillId="0" borderId="0" xfId="0" applyNumberFormat="1" applyFont="1"/>
    <xf numFmtId="0" fontId="41" fillId="0" borderId="0" xfId="0" applyFont="1" applyAlignment="1">
      <alignment horizontal="left"/>
    </xf>
    <xf numFmtId="14" fontId="41" fillId="0" borderId="0" xfId="0" applyNumberFormat="1" applyFont="1"/>
    <xf numFmtId="0" fontId="41" fillId="0" borderId="0" xfId="0" applyFont="1" applyAlignment="1">
      <alignment horizontal="center"/>
    </xf>
    <xf numFmtId="0" fontId="47" fillId="0" borderId="0" xfId="0" applyFont="1" applyAlignment="1">
      <alignment horizontal="center"/>
    </xf>
    <xf numFmtId="0" fontId="14" fillId="8" borderId="14" xfId="0" applyFont="1" applyFill="1" applyBorder="1"/>
    <xf numFmtId="0" fontId="35" fillId="8" borderId="0" xfId="0" applyFont="1" applyFill="1"/>
    <xf numFmtId="0" fontId="42" fillId="8" borderId="0" xfId="0" applyFont="1" applyFill="1"/>
    <xf numFmtId="3" fontId="11" fillId="15" borderId="14" xfId="0" applyNumberFormat="1" applyFont="1" applyFill="1" applyBorder="1" applyAlignment="1">
      <alignment horizontal="right"/>
    </xf>
    <xf numFmtId="3" fontId="11" fillId="15" borderId="15" xfId="0" applyNumberFormat="1" applyFont="1" applyFill="1" applyBorder="1" applyAlignment="1">
      <alignment horizontal="right"/>
    </xf>
    <xf numFmtId="167" fontId="11" fillId="15" borderId="14" xfId="0" applyNumberFormat="1" applyFont="1" applyFill="1" applyBorder="1" applyAlignment="1">
      <alignment horizontal="right"/>
    </xf>
    <xf numFmtId="167" fontId="11" fillId="15" borderId="15" xfId="0" applyNumberFormat="1" applyFont="1" applyFill="1" applyBorder="1" applyAlignment="1">
      <alignment horizontal="right"/>
    </xf>
    <xf numFmtId="0" fontId="11" fillId="8" borderId="14" xfId="0" applyFont="1" applyFill="1" applyBorder="1"/>
    <xf numFmtId="0" fontId="42" fillId="8" borderId="0" xfId="0" applyFont="1" applyFill="1" applyAlignment="1">
      <alignment horizontal="right"/>
    </xf>
    <xf numFmtId="0" fontId="42" fillId="8" borderId="15" xfId="0" applyFont="1" applyFill="1" applyBorder="1" applyAlignment="1">
      <alignment horizontal="right"/>
    </xf>
    <xf numFmtId="167" fontId="11" fillId="8" borderId="14" xfId="0" applyNumberFormat="1" applyFont="1" applyFill="1" applyBorder="1" applyAlignment="1">
      <alignment horizontal="right"/>
    </xf>
    <xf numFmtId="167" fontId="11" fillId="8" borderId="0" xfId="0" applyNumberFormat="1" applyFont="1" applyFill="1" applyAlignment="1">
      <alignment horizontal="right"/>
    </xf>
    <xf numFmtId="167" fontId="11" fillId="8" borderId="15" xfId="0" applyNumberFormat="1" applyFont="1" applyFill="1" applyBorder="1" applyAlignment="1">
      <alignment horizontal="right"/>
    </xf>
    <xf numFmtId="167" fontId="11" fillId="10" borderId="14" xfId="0" applyNumberFormat="1" applyFont="1" applyFill="1" applyBorder="1" applyAlignment="1">
      <alignment horizontal="left"/>
    </xf>
    <xf numFmtId="1" fontId="11" fillId="8" borderId="0" xfId="0" applyNumberFormat="1" applyFont="1" applyFill="1" applyAlignment="1">
      <alignment horizontal="right"/>
    </xf>
    <xf numFmtId="1" fontId="11" fillId="8" borderId="15" xfId="0" applyNumberFormat="1" applyFont="1" applyFill="1" applyBorder="1" applyAlignment="1">
      <alignment horizontal="right"/>
    </xf>
    <xf numFmtId="167" fontId="42" fillId="15" borderId="14" xfId="0" applyNumberFormat="1" applyFont="1" applyFill="1" applyBorder="1"/>
    <xf numFmtId="167" fontId="42" fillId="15" borderId="15" xfId="0" applyNumberFormat="1" applyFont="1" applyFill="1" applyBorder="1"/>
    <xf numFmtId="167" fontId="11" fillId="8" borderId="14" xfId="0" applyNumberFormat="1" applyFont="1" applyFill="1" applyBorder="1"/>
    <xf numFmtId="165" fontId="42" fillId="8" borderId="0" xfId="0" applyNumberFormat="1" applyFont="1" applyFill="1"/>
    <xf numFmtId="165" fontId="42" fillId="8" borderId="15" xfId="0" applyNumberFormat="1" applyFont="1" applyFill="1" applyBorder="1"/>
    <xf numFmtId="167" fontId="41" fillId="15" borderId="14" xfId="0" applyNumberFormat="1" applyFont="1" applyFill="1" applyBorder="1"/>
    <xf numFmtId="174" fontId="42" fillId="8" borderId="0" xfId="0" applyNumberFormat="1" applyFont="1" applyFill="1"/>
    <xf numFmtId="167" fontId="35" fillId="8" borderId="0" xfId="0" applyNumberFormat="1" applyFont="1" applyFill="1"/>
    <xf numFmtId="0" fontId="42" fillId="8" borderId="15" xfId="0" applyFont="1" applyFill="1" applyBorder="1"/>
    <xf numFmtId="167" fontId="11" fillId="8" borderId="0" xfId="0" applyNumberFormat="1" applyFont="1" applyFill="1"/>
    <xf numFmtId="167" fontId="11" fillId="8" borderId="15" xfId="0" applyNumberFormat="1" applyFont="1" applyFill="1" applyBorder="1"/>
    <xf numFmtId="3" fontId="39" fillId="7" borderId="9" xfId="0" applyNumberFormat="1" applyFont="1" applyFill="1" applyBorder="1" applyAlignment="1">
      <alignment horizontal="center"/>
    </xf>
    <xf numFmtId="0" fontId="59" fillId="0" borderId="16" xfId="0" applyFont="1" applyBorder="1" applyAlignment="1">
      <alignment horizontal="center"/>
    </xf>
    <xf numFmtId="0" fontId="1" fillId="0" borderId="2" xfId="0" applyFont="1" applyBorder="1" applyAlignment="1">
      <alignment horizontal="center"/>
    </xf>
    <xf numFmtId="0" fontId="16" fillId="0" borderId="0" xfId="0" applyFont="1"/>
    <xf numFmtId="172" fontId="0" fillId="0" borderId="0" xfId="0" applyNumberFormat="1"/>
    <xf numFmtId="169" fontId="40" fillId="0" borderId="0" xfId="0" applyNumberFormat="1" applyFont="1" applyAlignment="1">
      <alignment horizontal="center" vertical="top"/>
    </xf>
    <xf numFmtId="0" fontId="30" fillId="0" borderId="0" xfId="6"/>
    <xf numFmtId="0" fontId="16" fillId="8" borderId="0" xfId="0" applyFont="1" applyFill="1"/>
    <xf numFmtId="0" fontId="2" fillId="8" borderId="0" xfId="0" applyFont="1" applyFill="1"/>
    <xf numFmtId="0" fontId="17" fillId="7" borderId="0" xfId="0" applyFont="1" applyFill="1"/>
    <xf numFmtId="0" fontId="1" fillId="7" borderId="0" xfId="0" applyFont="1" applyFill="1" applyAlignment="1">
      <alignment horizontal="center"/>
    </xf>
    <xf numFmtId="0" fontId="4" fillId="7" borderId="0" xfId="0" applyFont="1" applyFill="1"/>
    <xf numFmtId="0" fontId="2" fillId="7" borderId="0" xfId="0" applyFont="1" applyFill="1" applyAlignment="1">
      <alignment vertical="top"/>
    </xf>
    <xf numFmtId="0" fontId="16" fillId="7" borderId="0" xfId="0" applyFont="1" applyFill="1"/>
    <xf numFmtId="3" fontId="4" fillId="7" borderId="0" xfId="0" applyNumberFormat="1" applyFont="1" applyFill="1"/>
    <xf numFmtId="0" fontId="16" fillId="0" borderId="0" xfId="0" applyFont="1" applyAlignment="1">
      <alignment horizontal="left"/>
    </xf>
    <xf numFmtId="0" fontId="18" fillId="0" borderId="0" xfId="0" applyFont="1"/>
    <xf numFmtId="0" fontId="17" fillId="0" borderId="0" xfId="0" applyFont="1"/>
    <xf numFmtId="1" fontId="60" fillId="0" borderId="0" xfId="0" applyNumberFormat="1" applyFont="1" applyAlignment="1">
      <alignment horizontal="right" vertical="center"/>
    </xf>
    <xf numFmtId="1" fontId="61" fillId="0" borderId="0" xfId="0" applyNumberFormat="1" applyFont="1"/>
    <xf numFmtId="0" fontId="61" fillId="0" borderId="0" xfId="0" applyFont="1"/>
    <xf numFmtId="0" fontId="62" fillId="0" borderId="0" xfId="0" applyFont="1"/>
    <xf numFmtId="0" fontId="63" fillId="0" borderId="0" xfId="0" applyFont="1" applyAlignment="1">
      <alignment horizontal="center"/>
    </xf>
    <xf numFmtId="1" fontId="62" fillId="0" borderId="0" xfId="0" applyNumberFormat="1" applyFont="1"/>
    <xf numFmtId="0" fontId="64" fillId="0" borderId="0" xfId="0" applyFont="1" applyAlignment="1">
      <alignment horizontal="center"/>
    </xf>
    <xf numFmtId="0" fontId="63" fillId="0" borderId="0" xfId="0" applyFont="1"/>
    <xf numFmtId="170" fontId="29" fillId="0" borderId="0" xfId="1" applyNumberFormat="1" applyFill="1" applyBorder="1" applyAlignment="1">
      <alignment horizontal="center"/>
    </xf>
    <xf numFmtId="0" fontId="29" fillId="0" borderId="0" xfId="1" applyFill="1" applyBorder="1" applyAlignment="1">
      <alignment horizontal="center"/>
    </xf>
    <xf numFmtId="0" fontId="29" fillId="0" borderId="0" xfId="2" applyFill="1" applyBorder="1" applyAlignment="1">
      <alignment horizontal="center"/>
    </xf>
    <xf numFmtId="0" fontId="29" fillId="0" borderId="0" xfId="4" quotePrefix="1" applyFill="1" applyBorder="1" applyAlignment="1">
      <alignment horizontal="center"/>
    </xf>
    <xf numFmtId="0" fontId="65" fillId="0" borderId="0" xfId="0" applyFont="1"/>
    <xf numFmtId="3" fontId="61" fillId="0" borderId="0" xfId="0" applyNumberFormat="1" applyFont="1" applyAlignment="1">
      <alignment horizontal="center"/>
    </xf>
    <xf numFmtId="1" fontId="60" fillId="0" borderId="0" xfId="0" applyNumberFormat="1" applyFont="1" applyAlignment="1">
      <alignment horizontal="right"/>
    </xf>
    <xf numFmtId="167" fontId="39" fillId="10" borderId="17" xfId="0" applyNumberFormat="1" applyFont="1" applyFill="1" applyBorder="1"/>
    <xf numFmtId="0" fontId="39" fillId="10" borderId="17" xfId="0" applyFont="1" applyFill="1" applyBorder="1"/>
    <xf numFmtId="167" fontId="39" fillId="10" borderId="18" xfId="0" applyNumberFormat="1" applyFont="1" applyFill="1" applyBorder="1"/>
    <xf numFmtId="0" fontId="66" fillId="10" borderId="10" xfId="0" applyFont="1" applyFill="1" applyBorder="1"/>
    <xf numFmtId="167" fontId="54" fillId="10" borderId="17" xfId="0" applyNumberFormat="1" applyFont="1" applyFill="1" applyBorder="1"/>
    <xf numFmtId="167" fontId="54" fillId="10" borderId="18" xfId="0" applyNumberFormat="1" applyFont="1" applyFill="1" applyBorder="1"/>
    <xf numFmtId="0" fontId="66" fillId="10" borderId="11" xfId="0" applyFont="1" applyFill="1" applyBorder="1"/>
    <xf numFmtId="167" fontId="36" fillId="10" borderId="12" xfId="0" applyNumberFormat="1" applyFont="1" applyFill="1" applyBorder="1"/>
    <xf numFmtId="167" fontId="36" fillId="10" borderId="13" xfId="0" applyNumberFormat="1" applyFont="1" applyFill="1" applyBorder="1"/>
    <xf numFmtId="0" fontId="0" fillId="20" borderId="0" xfId="0" applyFill="1"/>
    <xf numFmtId="0" fontId="0" fillId="0" borderId="0" xfId="0" applyAlignment="1">
      <alignment horizontal="left"/>
    </xf>
    <xf numFmtId="167" fontId="11" fillId="0" borderId="0" xfId="0" applyNumberFormat="1" applyFont="1" applyAlignment="1">
      <alignment horizontal="left"/>
    </xf>
    <xf numFmtId="6" fontId="11" fillId="0" borderId="0" xfId="0" applyNumberFormat="1" applyFont="1" applyAlignment="1">
      <alignment horizontal="left"/>
    </xf>
    <xf numFmtId="3" fontId="39" fillId="7" borderId="0" xfId="0" applyNumberFormat="1" applyFont="1" applyFill="1" applyAlignment="1">
      <alignment horizontal="center"/>
    </xf>
    <xf numFmtId="3" fontId="36" fillId="0" borderId="0" xfId="0" applyNumberFormat="1" applyFont="1"/>
    <xf numFmtId="3" fontId="8" fillId="0" borderId="0" xfId="0" applyNumberFormat="1" applyFont="1" applyAlignment="1">
      <alignment horizontal="center" vertical="top"/>
    </xf>
    <xf numFmtId="1" fontId="60" fillId="0" borderId="15" xfId="0" applyNumberFormat="1" applyFont="1" applyBorder="1" applyAlignment="1">
      <alignment horizontal="right" vertical="center"/>
    </xf>
    <xf numFmtId="170" fontId="62" fillId="0" borderId="12" xfId="0" quotePrefix="1" applyNumberFormat="1" applyFont="1" applyBorder="1"/>
    <xf numFmtId="170" fontId="62" fillId="0" borderId="12" xfId="0" applyNumberFormat="1" applyFont="1" applyBorder="1"/>
    <xf numFmtId="0" fontId="29" fillId="0" borderId="0" xfId="1" applyFill="1" applyAlignment="1">
      <alignment horizontal="center"/>
    </xf>
    <xf numFmtId="0" fontId="29" fillId="0" borderId="0" xfId="1" applyFill="1" applyAlignment="1">
      <alignment horizontal="left"/>
    </xf>
    <xf numFmtId="0" fontId="61" fillId="0" borderId="0" xfId="0" quotePrefix="1" applyFont="1"/>
    <xf numFmtId="1" fontId="61" fillId="0" borderId="0" xfId="0" applyNumberFormat="1" applyFont="1" applyAlignment="1">
      <alignment horizontal="left"/>
    </xf>
    <xf numFmtId="1" fontId="61" fillId="0" borderId="0" xfId="0" applyNumberFormat="1" applyFont="1" applyAlignment="1">
      <alignment horizontal="center"/>
    </xf>
    <xf numFmtId="171" fontId="61" fillId="0" borderId="0" xfId="0" quotePrefix="1" applyNumberFormat="1" applyFont="1"/>
    <xf numFmtId="171" fontId="61" fillId="0" borderId="0" xfId="0" applyNumberFormat="1" applyFont="1"/>
    <xf numFmtId="0" fontId="8" fillId="0" borderId="0" xfId="0" applyFont="1"/>
    <xf numFmtId="0" fontId="7" fillId="0" borderId="0" xfId="0" applyFont="1"/>
    <xf numFmtId="0" fontId="20" fillId="0" borderId="0" xfId="0" applyFont="1"/>
    <xf numFmtId="0" fontId="21" fillId="0" borderId="0" xfId="0" applyFont="1"/>
    <xf numFmtId="0" fontId="22" fillId="0" borderId="0" xfId="0" applyFont="1"/>
    <xf numFmtId="3" fontId="36" fillId="7" borderId="1" xfId="0" applyNumberFormat="1" applyFont="1" applyFill="1" applyBorder="1" applyAlignment="1">
      <alignment horizontal="center"/>
    </xf>
    <xf numFmtId="3" fontId="36" fillId="7" borderId="9" xfId="0" applyNumberFormat="1" applyFont="1" applyFill="1" applyBorder="1" applyAlignment="1">
      <alignment horizontal="center"/>
    </xf>
    <xf numFmtId="0" fontId="36" fillId="9" borderId="2" xfId="0" applyFont="1" applyFill="1" applyBorder="1" applyAlignment="1">
      <alignment horizontal="center"/>
    </xf>
    <xf numFmtId="3" fontId="36" fillId="7" borderId="8" xfId="0" applyNumberFormat="1" applyFont="1" applyFill="1" applyBorder="1" applyAlignment="1">
      <alignment horizontal="center"/>
    </xf>
    <xf numFmtId="0" fontId="36" fillId="0" borderId="0" xfId="0" applyFont="1" applyAlignment="1">
      <alignment horizontal="center"/>
    </xf>
    <xf numFmtId="0" fontId="36" fillId="8" borderId="19" xfId="0" applyFont="1" applyFill="1" applyBorder="1" applyAlignment="1">
      <alignment horizontal="center"/>
    </xf>
    <xf numFmtId="0" fontId="36" fillId="9" borderId="17" xfId="0" applyFont="1" applyFill="1" applyBorder="1" applyAlignment="1">
      <alignment horizontal="center"/>
    </xf>
    <xf numFmtId="0" fontId="36" fillId="9" borderId="0" xfId="0" applyFont="1" applyFill="1" applyAlignment="1">
      <alignment horizontal="center"/>
    </xf>
    <xf numFmtId="0" fontId="36" fillId="9" borderId="12" xfId="0" applyFont="1" applyFill="1" applyBorder="1" applyAlignment="1">
      <alignment horizontal="center"/>
    </xf>
    <xf numFmtId="3" fontId="39" fillId="7" borderId="8" xfId="0" applyNumberFormat="1" applyFont="1" applyFill="1" applyBorder="1" applyAlignment="1">
      <alignment horizontal="center"/>
    </xf>
    <xf numFmtId="3" fontId="39" fillId="0" borderId="0" xfId="0" applyNumberFormat="1" applyFont="1" applyAlignment="1">
      <alignment horizontal="center"/>
    </xf>
    <xf numFmtId="3" fontId="39" fillId="7" borderId="1" xfId="0" applyNumberFormat="1" applyFont="1" applyFill="1" applyBorder="1" applyAlignment="1">
      <alignment horizontal="center"/>
    </xf>
    <xf numFmtId="0" fontId="36" fillId="9" borderId="19" xfId="0" applyFont="1" applyFill="1" applyBorder="1" applyAlignment="1">
      <alignment horizontal="center"/>
    </xf>
    <xf numFmtId="164" fontId="39" fillId="11" borderId="0" xfId="0" applyNumberFormat="1" applyFont="1" applyFill="1" applyAlignment="1">
      <alignment horizontal="center"/>
    </xf>
    <xf numFmtId="0" fontId="67" fillId="0" borderId="0" xfId="0" applyFont="1"/>
    <xf numFmtId="3" fontId="67" fillId="0" borderId="0" xfId="0" applyNumberFormat="1" applyFont="1"/>
    <xf numFmtId="3" fontId="39" fillId="0" borderId="16" xfId="0" applyNumberFormat="1" applyFont="1" applyBorder="1" applyAlignment="1">
      <alignment horizontal="center"/>
    </xf>
    <xf numFmtId="3" fontId="39" fillId="0" borderId="20" xfId="0" applyNumberFormat="1" applyFont="1" applyBorder="1" applyAlignment="1">
      <alignment horizontal="center"/>
    </xf>
    <xf numFmtId="3" fontId="39" fillId="0" borderId="21" xfId="0" applyNumberFormat="1" applyFont="1" applyBorder="1" applyAlignment="1">
      <alignment horizontal="center"/>
    </xf>
    <xf numFmtId="3" fontId="36" fillId="0" borderId="20" xfId="0" applyNumberFormat="1" applyFont="1" applyBorder="1" applyAlignment="1">
      <alignment horizontal="center"/>
    </xf>
    <xf numFmtId="166" fontId="36" fillId="9" borderId="1" xfId="0" applyNumberFormat="1" applyFont="1" applyFill="1" applyBorder="1"/>
    <xf numFmtId="3" fontId="36" fillId="0" borderId="9" xfId="0" applyNumberFormat="1" applyFont="1" applyBorder="1" applyAlignment="1">
      <alignment horizontal="center"/>
    </xf>
    <xf numFmtId="166" fontId="36" fillId="9" borderId="9" xfId="0" applyNumberFormat="1" applyFont="1" applyFill="1" applyBorder="1"/>
    <xf numFmtId="166" fontId="36" fillId="9" borderId="8" xfId="0" applyNumberFormat="1" applyFont="1" applyFill="1" applyBorder="1"/>
    <xf numFmtId="0" fontId="36" fillId="0" borderId="15" xfId="0" applyFont="1" applyBorder="1" applyAlignment="1">
      <alignment horizontal="center"/>
    </xf>
    <xf numFmtId="166" fontId="36" fillId="0" borderId="0" xfId="0" applyNumberFormat="1" applyFont="1"/>
    <xf numFmtId="0" fontId="36" fillId="0" borderId="9" xfId="0" applyFont="1" applyBorder="1"/>
    <xf numFmtId="0" fontId="36" fillId="0" borderId="15" xfId="0" applyFont="1" applyBorder="1"/>
    <xf numFmtId="0" fontId="36" fillId="9" borderId="1" xfId="0" applyFont="1" applyFill="1" applyBorder="1"/>
    <xf numFmtId="0" fontId="36" fillId="9" borderId="9" xfId="0" applyFont="1" applyFill="1" applyBorder="1"/>
    <xf numFmtId="0" fontId="36" fillId="9" borderId="8" xfId="0" applyFont="1" applyFill="1" applyBorder="1"/>
    <xf numFmtId="0" fontId="39" fillId="9" borderId="9" xfId="0" applyFont="1" applyFill="1" applyBorder="1"/>
    <xf numFmtId="0" fontId="36" fillId="0" borderId="8" xfId="0" applyFont="1" applyBorder="1"/>
    <xf numFmtId="0" fontId="54" fillId="0" borderId="0" xfId="0" applyFont="1"/>
    <xf numFmtId="3" fontId="36" fillId="0" borderId="15" xfId="0" applyNumberFormat="1" applyFont="1" applyBorder="1" applyAlignment="1">
      <alignment horizontal="center"/>
    </xf>
    <xf numFmtId="0" fontId="36" fillId="9" borderId="0" xfId="0" applyFont="1" applyFill="1"/>
    <xf numFmtId="0" fontId="36" fillId="9" borderId="2" xfId="0" applyFont="1" applyFill="1" applyBorder="1"/>
    <xf numFmtId="3" fontId="39" fillId="0" borderId="15" xfId="0" applyNumberFormat="1" applyFont="1" applyBorder="1" applyAlignment="1">
      <alignment horizontal="center"/>
    </xf>
    <xf numFmtId="165" fontId="39" fillId="0" borderId="15" xfId="0" applyNumberFormat="1" applyFont="1" applyBorder="1" applyAlignment="1">
      <alignment horizontal="center"/>
    </xf>
    <xf numFmtId="1" fontId="39" fillId="0" borderId="22" xfId="0" applyNumberFormat="1" applyFont="1" applyBorder="1" applyAlignment="1">
      <alignment horizontal="center"/>
    </xf>
    <xf numFmtId="3" fontId="36" fillId="0" borderId="20" xfId="0" applyNumberFormat="1" applyFont="1" applyBorder="1"/>
    <xf numFmtId="0" fontId="36" fillId="0" borderId="9" xfId="0" applyFont="1" applyBorder="1" applyAlignment="1">
      <alignment horizontal="center"/>
    </xf>
    <xf numFmtId="165" fontId="39" fillId="6" borderId="23" xfId="0" applyNumberFormat="1" applyFont="1" applyFill="1" applyBorder="1" applyAlignment="1">
      <alignment horizontal="center"/>
    </xf>
    <xf numFmtId="165" fontId="39" fillId="6" borderId="24" xfId="0" applyNumberFormat="1" applyFont="1" applyFill="1" applyBorder="1" applyAlignment="1">
      <alignment horizontal="center"/>
    </xf>
    <xf numFmtId="167" fontId="3" fillId="0" borderId="0" xfId="0" applyNumberFormat="1" applyFont="1" applyAlignment="1">
      <alignment horizontal="left"/>
    </xf>
    <xf numFmtId="167" fontId="11" fillId="0" borderId="14" xfId="0" applyNumberFormat="1" applyFont="1" applyBorder="1"/>
    <xf numFmtId="167" fontId="11" fillId="0" borderId="0" xfId="0" applyNumberFormat="1" applyFont="1"/>
    <xf numFmtId="167" fontId="11" fillId="0" borderId="15" xfId="0" applyNumberFormat="1" applyFont="1" applyBorder="1"/>
    <xf numFmtId="0" fontId="41" fillId="8" borderId="15" xfId="0" applyFont="1" applyFill="1" applyBorder="1" applyAlignment="1">
      <alignment horizontal="right"/>
    </xf>
    <xf numFmtId="3" fontId="1" fillId="7" borderId="0" xfId="0" applyNumberFormat="1" applyFont="1" applyFill="1" applyAlignment="1">
      <alignment horizontal="center" vertical="top"/>
    </xf>
    <xf numFmtId="167" fontId="11" fillId="0" borderId="0" xfId="0" quotePrefix="1" applyNumberFormat="1" applyFont="1" applyAlignment="1">
      <alignment horizontal="left"/>
    </xf>
    <xf numFmtId="3" fontId="7" fillId="0" borderId="0" xfId="0" applyNumberFormat="1" applyFont="1"/>
    <xf numFmtId="167" fontId="43" fillId="11" borderId="0" xfId="0" applyNumberFormat="1" applyFont="1" applyFill="1" applyAlignment="1">
      <alignment horizontal="center"/>
    </xf>
    <xf numFmtId="167" fontId="11" fillId="11" borderId="0" xfId="0" applyNumberFormat="1" applyFont="1" applyFill="1" applyAlignment="1">
      <alignment horizontal="left"/>
    </xf>
    <xf numFmtId="6" fontId="11" fillId="11" borderId="0" xfId="0" applyNumberFormat="1" applyFont="1" applyFill="1" applyAlignment="1">
      <alignment horizontal="left"/>
    </xf>
    <xf numFmtId="167" fontId="3" fillId="11" borderId="0" xfId="0" applyNumberFormat="1" applyFont="1" applyFill="1"/>
    <xf numFmtId="167" fontId="41" fillId="11" borderId="0" xfId="0" applyNumberFormat="1" applyFont="1" applyFill="1"/>
    <xf numFmtId="173" fontId="4" fillId="0" borderId="0" xfId="0" applyNumberFormat="1" applyFont="1" applyAlignment="1">
      <alignment horizontal="center"/>
    </xf>
    <xf numFmtId="3" fontId="1" fillId="7" borderId="0" xfId="0" applyNumberFormat="1" applyFont="1" applyFill="1" applyAlignment="1">
      <alignment horizontal="center" vertical="center"/>
    </xf>
    <xf numFmtId="3" fontId="36" fillId="7" borderId="0" xfId="0" applyNumberFormat="1" applyFont="1" applyFill="1" applyAlignment="1">
      <alignment horizontal="center"/>
    </xf>
    <xf numFmtId="0" fontId="36" fillId="7" borderId="0" xfId="0" applyFont="1" applyFill="1" applyAlignment="1">
      <alignment horizontal="center"/>
    </xf>
    <xf numFmtId="0" fontId="68" fillId="0" borderId="0" xfId="0" applyFont="1"/>
    <xf numFmtId="3" fontId="68" fillId="0" borderId="0" xfId="0" applyNumberFormat="1" applyFont="1" applyAlignment="1">
      <alignment horizontal="center"/>
    </xf>
    <xf numFmtId="175" fontId="3" fillId="0" borderId="0" xfId="0" applyNumberFormat="1" applyFont="1"/>
    <xf numFmtId="0" fontId="2" fillId="8" borderId="0" xfId="0" applyFont="1" applyFill="1" applyAlignment="1">
      <alignment vertical="top"/>
    </xf>
    <xf numFmtId="22" fontId="39" fillId="8" borderId="0" xfId="0" applyNumberFormat="1" applyFont="1" applyFill="1" applyAlignment="1">
      <alignment horizontal="left"/>
    </xf>
    <xf numFmtId="0" fontId="1" fillId="7" borderId="0" xfId="0" applyFont="1" applyFill="1"/>
    <xf numFmtId="0" fontId="36" fillId="7" borderId="0" xfId="0" applyFont="1" applyFill="1"/>
    <xf numFmtId="0" fontId="54" fillId="7" borderId="0" xfId="0" applyFont="1" applyFill="1" applyAlignment="1">
      <alignment vertical="top"/>
    </xf>
    <xf numFmtId="0" fontId="2" fillId="7" borderId="0" xfId="0" applyFont="1" applyFill="1" applyAlignment="1">
      <alignment vertical="center"/>
    </xf>
    <xf numFmtId="0" fontId="13" fillId="0" borderId="0" xfId="0" applyFont="1"/>
    <xf numFmtId="0" fontId="23" fillId="0" borderId="0" xfId="0" applyFont="1"/>
    <xf numFmtId="0" fontId="13" fillId="0" borderId="0" xfId="0" applyFont="1" applyAlignment="1">
      <alignment horizontal="right"/>
    </xf>
    <xf numFmtId="0" fontId="0" fillId="0" borderId="0" xfId="0" applyAlignment="1">
      <alignment horizontal="right"/>
    </xf>
    <xf numFmtId="0" fontId="0" fillId="8" borderId="0" xfId="0" applyFill="1"/>
    <xf numFmtId="0" fontId="4" fillId="8" borderId="0" xfId="0" applyFont="1" applyFill="1"/>
    <xf numFmtId="0" fontId="24" fillId="8" borderId="0" xfId="0" applyFont="1" applyFill="1"/>
    <xf numFmtId="0" fontId="21" fillId="8" borderId="0" xfId="0" applyFont="1" applyFill="1"/>
    <xf numFmtId="167" fontId="41" fillId="21" borderId="0" xfId="0" applyNumberFormat="1" applyFont="1" applyFill="1"/>
    <xf numFmtId="167" fontId="11" fillId="21" borderId="14" xfId="0" applyNumberFormat="1" applyFont="1" applyFill="1" applyBorder="1" applyAlignment="1">
      <alignment horizontal="right"/>
    </xf>
    <xf numFmtId="167" fontId="3" fillId="21" borderId="0" xfId="0" applyNumberFormat="1" applyFont="1" applyFill="1" applyAlignment="1">
      <alignment horizontal="right"/>
    </xf>
    <xf numFmtId="167" fontId="3" fillId="21" borderId="0" xfId="0" applyNumberFormat="1" applyFont="1" applyFill="1"/>
    <xf numFmtId="167" fontId="11" fillId="21" borderId="0" xfId="0" applyNumberFormat="1" applyFont="1" applyFill="1" applyAlignment="1">
      <alignment horizontal="left"/>
    </xf>
    <xf numFmtId="167" fontId="11" fillId="21" borderId="0" xfId="0" applyNumberFormat="1" applyFont="1" applyFill="1" applyAlignment="1">
      <alignment horizontal="right"/>
    </xf>
    <xf numFmtId="167" fontId="3" fillId="21" borderId="14" xfId="0" applyNumberFormat="1" applyFont="1" applyFill="1" applyBorder="1"/>
    <xf numFmtId="0" fontId="35" fillId="7" borderId="0" xfId="0" applyFont="1" applyFill="1"/>
    <xf numFmtId="0" fontId="35" fillId="7" borderId="0" xfId="0" applyFont="1" applyFill="1" applyAlignment="1">
      <alignment vertical="top"/>
    </xf>
    <xf numFmtId="172" fontId="34" fillId="0" borderId="0" xfId="0" applyNumberFormat="1" applyFont="1" applyAlignment="1">
      <alignment horizontal="center"/>
    </xf>
    <xf numFmtId="1" fontId="11" fillId="8" borderId="14" xfId="0" quotePrefix="1" applyNumberFormat="1" applyFont="1" applyFill="1" applyBorder="1" applyAlignment="1">
      <alignment horizontal="right"/>
    </xf>
    <xf numFmtId="176" fontId="0" fillId="0" borderId="0" xfId="0" applyNumberFormat="1"/>
    <xf numFmtId="168" fontId="0" fillId="0" borderId="0" xfId="0" applyNumberFormat="1"/>
    <xf numFmtId="177" fontId="0" fillId="0" borderId="0" xfId="0" applyNumberFormat="1"/>
    <xf numFmtId="175" fontId="0" fillId="0" borderId="0" xfId="0" applyNumberFormat="1"/>
    <xf numFmtId="0" fontId="70" fillId="12" borderId="0" xfId="0" applyFont="1" applyFill="1"/>
    <xf numFmtId="0" fontId="68" fillId="12" borderId="0" xfId="0" applyFont="1" applyFill="1"/>
    <xf numFmtId="9" fontId="71" fillId="12" borderId="0" xfId="0" applyNumberFormat="1" applyFont="1" applyFill="1" applyAlignment="1">
      <alignment horizontal="center"/>
    </xf>
    <xf numFmtId="3" fontId="70" fillId="12" borderId="0" xfId="0" applyNumberFormat="1" applyFont="1" applyFill="1" applyAlignment="1">
      <alignment horizontal="center"/>
    </xf>
    <xf numFmtId="0" fontId="68" fillId="12" borderId="0" xfId="0" applyFont="1" applyFill="1" applyAlignment="1">
      <alignment horizontal="center"/>
    </xf>
    <xf numFmtId="3" fontId="70" fillId="12" borderId="0" xfId="0" applyNumberFormat="1" applyFont="1" applyFill="1" applyAlignment="1">
      <alignment horizontal="center" vertical="top"/>
    </xf>
    <xf numFmtId="3" fontId="70" fillId="12" borderId="0" xfId="0" applyNumberFormat="1" applyFont="1" applyFill="1" applyAlignment="1">
      <alignment horizontal="center" vertical="center"/>
    </xf>
    <xf numFmtId="3" fontId="68" fillId="12" borderId="0" xfId="0" applyNumberFormat="1" applyFont="1" applyFill="1" applyAlignment="1">
      <alignment horizontal="center" vertical="center"/>
    </xf>
    <xf numFmtId="3" fontId="68" fillId="12" borderId="0" xfId="0" applyNumberFormat="1" applyFont="1" applyFill="1" applyAlignment="1">
      <alignment horizontal="center"/>
    </xf>
    <xf numFmtId="0" fontId="4" fillId="12" borderId="0" xfId="0" applyFont="1" applyFill="1"/>
    <xf numFmtId="3" fontId="34" fillId="12" borderId="0" xfId="0" applyNumberFormat="1" applyFont="1" applyFill="1" applyAlignment="1">
      <alignment horizontal="center"/>
    </xf>
    <xf numFmtId="0" fontId="68" fillId="12" borderId="0" xfId="0" applyFont="1" applyFill="1" applyAlignment="1">
      <alignment horizontal="center" vertical="top"/>
    </xf>
    <xf numFmtId="0" fontId="72" fillId="0" borderId="0" xfId="0" applyFont="1"/>
    <xf numFmtId="3" fontId="69" fillId="7" borderId="0" xfId="0" applyNumberFormat="1" applyFont="1" applyFill="1" applyAlignment="1">
      <alignment horizontal="right" vertical="center"/>
    </xf>
    <xf numFmtId="1" fontId="21" fillId="0" borderId="0" xfId="0" applyNumberFormat="1" applyFont="1"/>
    <xf numFmtId="3" fontId="41" fillId="11" borderId="0" xfId="0" applyNumberFormat="1" applyFont="1" applyFill="1"/>
    <xf numFmtId="3" fontId="3" fillId="0" borderId="0" xfId="0" applyNumberFormat="1" applyFont="1" applyAlignment="1">
      <alignment horizontal="center"/>
    </xf>
    <xf numFmtId="3" fontId="73" fillId="12" borderId="2" xfId="0" applyNumberFormat="1" applyFont="1" applyFill="1" applyBorder="1" applyAlignment="1">
      <alignment horizontal="center" vertical="center"/>
    </xf>
    <xf numFmtId="3" fontId="17" fillId="9" borderId="2" xfId="0" applyNumberFormat="1" applyFont="1" applyFill="1" applyBorder="1" applyAlignment="1">
      <alignment horizontal="center"/>
    </xf>
    <xf numFmtId="3" fontId="4" fillId="0" borderId="0" xfId="0" applyNumberFormat="1" applyFont="1" applyAlignment="1">
      <alignment horizontal="right" vertical="top"/>
    </xf>
    <xf numFmtId="3" fontId="13" fillId="0" borderId="0" xfId="0" applyNumberFormat="1" applyFont="1" applyAlignment="1">
      <alignment horizontal="center"/>
    </xf>
    <xf numFmtId="0" fontId="74" fillId="0" borderId="0" xfId="0" applyFont="1"/>
    <xf numFmtId="0" fontId="69" fillId="0" borderId="0" xfId="0" applyFont="1"/>
    <xf numFmtId="3" fontId="75" fillId="0" borderId="0" xfId="0" applyNumberFormat="1" applyFont="1" applyAlignment="1">
      <alignment horizontal="center"/>
    </xf>
    <xf numFmtId="0" fontId="4" fillId="0" borderId="0" xfId="0" applyFont="1" applyAlignment="1">
      <alignment horizontal="right"/>
    </xf>
    <xf numFmtId="0" fontId="76" fillId="0" borderId="0" xfId="0" applyFont="1"/>
    <xf numFmtId="9" fontId="36" fillId="0" borderId="0" xfId="0" applyNumberFormat="1" applyFont="1" applyAlignment="1">
      <alignment horizontal="left"/>
    </xf>
    <xf numFmtId="167" fontId="3" fillId="22" borderId="0" xfId="0" applyNumberFormat="1" applyFont="1" applyFill="1"/>
    <xf numFmtId="3" fontId="2" fillId="7" borderId="2" xfId="0" applyNumberFormat="1" applyFont="1" applyFill="1" applyBorder="1" applyAlignment="1">
      <alignment horizontal="center"/>
    </xf>
    <xf numFmtId="0" fontId="1" fillId="7" borderId="0" xfId="0" applyFont="1" applyFill="1" applyAlignment="1">
      <alignment horizontal="left"/>
    </xf>
    <xf numFmtId="0" fontId="70" fillId="0" borderId="0" xfId="0" applyFont="1"/>
    <xf numFmtId="0" fontId="77" fillId="7" borderId="0" xfId="0" applyFont="1" applyFill="1" applyAlignment="1">
      <alignment horizontal="center"/>
    </xf>
    <xf numFmtId="0" fontId="78" fillId="12" borderId="0" xfId="0" applyFont="1" applyFill="1" applyAlignment="1">
      <alignment horizontal="center"/>
    </xf>
    <xf numFmtId="0" fontId="2" fillId="7" borderId="0" xfId="0" quotePrefix="1" applyFont="1" applyFill="1" applyAlignment="1">
      <alignment horizontal="left"/>
    </xf>
    <xf numFmtId="0" fontId="2" fillId="7" borderId="0" xfId="0" quotePrefix="1" applyFont="1" applyFill="1" applyAlignment="1">
      <alignment horizontal="left" vertical="center"/>
    </xf>
    <xf numFmtId="14" fontId="82" fillId="0" borderId="0" xfId="0" applyNumberFormat="1" applyFont="1" applyAlignment="1">
      <alignment horizontal="left"/>
    </xf>
    <xf numFmtId="0" fontId="79" fillId="8" borderId="10" xfId="0" applyFont="1" applyFill="1" applyBorder="1"/>
    <xf numFmtId="0" fontId="79" fillId="8" borderId="14" xfId="0" applyFont="1" applyFill="1" applyBorder="1"/>
    <xf numFmtId="0" fontId="81" fillId="8" borderId="14" xfId="0" applyFont="1" applyFill="1" applyBorder="1"/>
    <xf numFmtId="0" fontId="80" fillId="8" borderId="11" xfId="0" applyFont="1" applyFill="1" applyBorder="1"/>
    <xf numFmtId="3" fontId="17" fillId="8" borderId="12" xfId="0" applyNumberFormat="1" applyFont="1" applyFill="1" applyBorder="1" applyAlignment="1">
      <alignment horizontal="center"/>
    </xf>
    <xf numFmtId="3" fontId="17" fillId="8" borderId="13" xfId="0" applyNumberFormat="1" applyFont="1" applyFill="1" applyBorder="1" applyAlignment="1">
      <alignment horizontal="center"/>
    </xf>
    <xf numFmtId="3" fontId="2" fillId="8" borderId="17" xfId="0" applyNumberFormat="1" applyFont="1" applyFill="1" applyBorder="1" applyAlignment="1">
      <alignment horizontal="center"/>
    </xf>
    <xf numFmtId="3" fontId="83" fillId="8" borderId="17" xfId="0" applyNumberFormat="1" applyFont="1" applyFill="1" applyBorder="1" applyAlignment="1">
      <alignment horizontal="center"/>
    </xf>
    <xf numFmtId="3" fontId="2" fillId="8" borderId="18" xfId="0" applyNumberFormat="1" applyFont="1" applyFill="1" applyBorder="1" applyAlignment="1">
      <alignment horizontal="center"/>
    </xf>
    <xf numFmtId="3" fontId="2" fillId="8" borderId="0" xfId="0" applyNumberFormat="1" applyFont="1" applyFill="1" applyAlignment="1">
      <alignment horizontal="center"/>
    </xf>
    <xf numFmtId="0" fontId="33" fillId="8" borderId="0" xfId="0" applyFont="1" applyFill="1"/>
    <xf numFmtId="1" fontId="84" fillId="12" borderId="0" xfId="0" applyNumberFormat="1" applyFont="1" applyFill="1" applyAlignment="1">
      <alignment horizontal="center"/>
    </xf>
    <xf numFmtId="3" fontId="2" fillId="8" borderId="15" xfId="0" applyNumberFormat="1" applyFont="1" applyFill="1" applyBorder="1" applyAlignment="1">
      <alignment horizontal="center"/>
    </xf>
    <xf numFmtId="3" fontId="85" fillId="8" borderId="0" xfId="0" applyNumberFormat="1" applyFont="1" applyFill="1" applyAlignment="1">
      <alignment horizontal="center"/>
    </xf>
    <xf numFmtId="3" fontId="85" fillId="8" borderId="15" xfId="0" applyNumberFormat="1" applyFont="1" applyFill="1" applyBorder="1" applyAlignment="1">
      <alignment horizontal="center"/>
    </xf>
    <xf numFmtId="0" fontId="33" fillId="8" borderId="12" xfId="0" applyFont="1" applyFill="1" applyBorder="1"/>
    <xf numFmtId="3" fontId="84" fillId="12" borderId="12" xfId="0" applyNumberFormat="1" applyFont="1" applyFill="1" applyBorder="1"/>
    <xf numFmtId="22" fontId="3" fillId="0" borderId="0" xfId="0" applyNumberFormat="1" applyFont="1" applyAlignment="1">
      <alignment horizontal="left"/>
    </xf>
    <xf numFmtId="0" fontId="41" fillId="7" borderId="0" xfId="0" applyFont="1" applyFill="1"/>
    <xf numFmtId="3" fontId="86" fillId="7" borderId="0" xfId="0" applyNumberFormat="1" applyFont="1" applyFill="1" applyAlignment="1">
      <alignment horizontal="center"/>
    </xf>
    <xf numFmtId="3" fontId="87" fillId="12" borderId="0" xfId="0" applyNumberFormat="1" applyFont="1" applyFill="1" applyAlignment="1">
      <alignment horizontal="center" vertical="center"/>
    </xf>
    <xf numFmtId="3" fontId="2" fillId="0" borderId="0" xfId="0" applyNumberFormat="1" applyFont="1" applyAlignment="1">
      <alignment horizontal="left"/>
    </xf>
    <xf numFmtId="3" fontId="84" fillId="12" borderId="17" xfId="0" applyNumberFormat="1" applyFont="1" applyFill="1" applyBorder="1" applyAlignment="1">
      <alignment horizontal="center"/>
    </xf>
    <xf numFmtId="3" fontId="84" fillId="12" borderId="0" xfId="0" applyNumberFormat="1" applyFont="1" applyFill="1" applyAlignment="1">
      <alignment horizontal="center"/>
    </xf>
    <xf numFmtId="0" fontId="4" fillId="0" borderId="0" xfId="0" applyFont="1" applyAlignment="1">
      <alignment horizontal="left"/>
    </xf>
    <xf numFmtId="6" fontId="2" fillId="0" borderId="0" xfId="0" quotePrefix="1" applyNumberFormat="1" applyFont="1" applyAlignment="1">
      <alignment horizontal="left"/>
    </xf>
    <xf numFmtId="0" fontId="33" fillId="0" borderId="0" xfId="0" applyFont="1" applyAlignment="1">
      <alignment horizontal="center"/>
    </xf>
    <xf numFmtId="167" fontId="43" fillId="0" borderId="0" xfId="0" applyNumberFormat="1" applyFont="1" applyAlignment="1">
      <alignment horizontal="center"/>
    </xf>
    <xf numFmtId="9" fontId="40" fillId="7" borderId="0" xfId="0" applyNumberFormat="1" applyFont="1" applyFill="1" applyAlignment="1">
      <alignment horizontal="center"/>
    </xf>
    <xf numFmtId="3" fontId="34" fillId="7" borderId="0" xfId="0" applyNumberFormat="1" applyFont="1" applyFill="1" applyAlignment="1">
      <alignment horizontal="center"/>
    </xf>
    <xf numFmtId="0" fontId="34" fillId="7" borderId="0" xfId="0" applyFont="1" applyFill="1" applyAlignment="1">
      <alignment horizontal="center"/>
    </xf>
    <xf numFmtId="178" fontId="41" fillId="0" borderId="0" xfId="0" applyNumberFormat="1" applyFont="1"/>
    <xf numFmtId="0" fontId="88" fillId="8" borderId="0" xfId="0" applyFont="1" applyFill="1"/>
    <xf numFmtId="0" fontId="75" fillId="0" borderId="0" xfId="0" applyFont="1"/>
    <xf numFmtId="3" fontId="4" fillId="7" borderId="0" xfId="0" quotePrefix="1" applyNumberFormat="1" applyFont="1" applyFill="1" applyAlignment="1">
      <alignment horizontal="center" vertical="top"/>
    </xf>
    <xf numFmtId="3" fontId="4" fillId="7" borderId="0" xfId="0" quotePrefix="1" applyNumberFormat="1" applyFont="1" applyFill="1" applyAlignment="1">
      <alignment horizontal="center"/>
    </xf>
    <xf numFmtId="3" fontId="68" fillId="12" borderId="0" xfId="0" quotePrefix="1" applyNumberFormat="1" applyFont="1" applyFill="1" applyAlignment="1">
      <alignment horizontal="center" vertical="top"/>
    </xf>
    <xf numFmtId="0" fontId="89" fillId="0" borderId="0" xfId="0" applyFont="1" applyAlignment="1">
      <alignment horizontal="center"/>
    </xf>
    <xf numFmtId="3" fontId="12" fillId="0" borderId="0" xfId="0" applyNumberFormat="1" applyFont="1" applyAlignment="1">
      <alignment horizontal="center" vertical="top"/>
    </xf>
    <xf numFmtId="0" fontId="75" fillId="7" borderId="0" xfId="0" applyFont="1" applyFill="1" applyAlignment="1">
      <alignment vertical="top"/>
    </xf>
    <xf numFmtId="168" fontId="75" fillId="7" borderId="0" xfId="0" applyNumberFormat="1" applyFont="1" applyFill="1" applyAlignment="1">
      <alignment horizontal="left" vertical="top"/>
    </xf>
    <xf numFmtId="3" fontId="1" fillId="7" borderId="10" xfId="0" applyNumberFormat="1" applyFont="1" applyFill="1" applyBorder="1" applyAlignment="1">
      <alignment horizontal="center" vertical="center"/>
    </xf>
    <xf numFmtId="3" fontId="1" fillId="7" borderId="17" xfId="0" applyNumberFormat="1" applyFont="1" applyFill="1" applyBorder="1" applyAlignment="1">
      <alignment horizontal="center" vertical="center"/>
    </xf>
    <xf numFmtId="3" fontId="1" fillId="7" borderId="18" xfId="0" applyNumberFormat="1" applyFont="1" applyFill="1" applyBorder="1" applyAlignment="1">
      <alignment horizontal="center" vertical="center"/>
    </xf>
    <xf numFmtId="3" fontId="1" fillId="7" borderId="14" xfId="0" applyNumberFormat="1" applyFont="1" applyFill="1" applyBorder="1" applyAlignment="1">
      <alignment horizontal="center" vertical="center"/>
    </xf>
    <xf numFmtId="3" fontId="1" fillId="7" borderId="15" xfId="0" applyNumberFormat="1" applyFont="1" applyFill="1" applyBorder="1" applyAlignment="1">
      <alignment horizontal="center" vertical="center"/>
    </xf>
    <xf numFmtId="1" fontId="35" fillId="7" borderId="14" xfId="0" applyNumberFormat="1" applyFont="1" applyFill="1" applyBorder="1" applyAlignment="1">
      <alignment horizontal="center"/>
    </xf>
    <xf numFmtId="1" fontId="35" fillId="0" borderId="0" xfId="0" applyNumberFormat="1" applyFont="1" applyAlignment="1">
      <alignment horizontal="center"/>
    </xf>
    <xf numFmtId="1" fontId="35" fillId="0" borderId="15" xfId="0" applyNumberFormat="1" applyFont="1" applyBorder="1" applyAlignment="1">
      <alignment horizontal="center"/>
    </xf>
    <xf numFmtId="3" fontId="1" fillId="7" borderId="11" xfId="0" applyNumberFormat="1" applyFont="1" applyFill="1" applyBorder="1" applyAlignment="1">
      <alignment horizontal="center" vertical="center"/>
    </xf>
    <xf numFmtId="3" fontId="1" fillId="7" borderId="12" xfId="0" applyNumberFormat="1" applyFont="1" applyFill="1" applyBorder="1" applyAlignment="1">
      <alignment horizontal="center" vertical="center"/>
    </xf>
    <xf numFmtId="3" fontId="1" fillId="7" borderId="13" xfId="0" applyNumberFormat="1" applyFont="1" applyFill="1" applyBorder="1" applyAlignment="1">
      <alignment horizontal="center" vertical="center"/>
    </xf>
    <xf numFmtId="3" fontId="17" fillId="7" borderId="0" xfId="0" applyNumberFormat="1" applyFont="1" applyFill="1" applyAlignment="1">
      <alignment horizontal="center"/>
    </xf>
    <xf numFmtId="167" fontId="47" fillId="7" borderId="0" xfId="0" applyNumberFormat="1" applyFont="1" applyFill="1" applyAlignment="1">
      <alignment horizontal="center"/>
    </xf>
    <xf numFmtId="167" fontId="11" fillId="23" borderId="0" xfId="0" applyNumberFormat="1" applyFont="1" applyFill="1" applyAlignment="1">
      <alignment horizontal="left"/>
    </xf>
    <xf numFmtId="0" fontId="0" fillId="23" borderId="0" xfId="0" applyFill="1"/>
    <xf numFmtId="179" fontId="41" fillId="23" borderId="0" xfId="0" applyNumberFormat="1" applyFont="1" applyFill="1"/>
    <xf numFmtId="0" fontId="4" fillId="23" borderId="0" xfId="0" applyFont="1" applyFill="1"/>
    <xf numFmtId="167" fontId="41" fillId="23" borderId="0" xfId="0" applyNumberFormat="1" applyFont="1" applyFill="1"/>
    <xf numFmtId="0" fontId="4" fillId="23" borderId="0" xfId="0" applyFont="1" applyFill="1" applyAlignment="1">
      <alignment horizontal="center"/>
    </xf>
    <xf numFmtId="167" fontId="11" fillId="23" borderId="0" xfId="0" applyNumberFormat="1" applyFont="1" applyFill="1" applyAlignment="1">
      <alignment horizontal="center"/>
    </xf>
    <xf numFmtId="0" fontId="0" fillId="23" borderId="0" xfId="0" applyFill="1" applyAlignment="1">
      <alignment horizontal="center"/>
    </xf>
    <xf numFmtId="0" fontId="3" fillId="0" borderId="0" xfId="0" applyFont="1" applyAlignment="1">
      <alignment horizontal="left"/>
    </xf>
    <xf numFmtId="0" fontId="75" fillId="0" borderId="0" xfId="0" applyFont="1" applyAlignment="1">
      <alignment horizontal="right"/>
    </xf>
    <xf numFmtId="14" fontId="85" fillId="0" borderId="0" xfId="0" applyNumberFormat="1" applyFont="1" applyAlignment="1">
      <alignment horizontal="left"/>
    </xf>
    <xf numFmtId="0" fontId="3" fillId="7" borderId="0" xfId="0" applyFont="1" applyFill="1"/>
    <xf numFmtId="3" fontId="41" fillId="7" borderId="0" xfId="0" applyNumberFormat="1" applyFont="1" applyFill="1"/>
    <xf numFmtId="167" fontId="41" fillId="7" borderId="0" xfId="0" applyNumberFormat="1" applyFont="1" applyFill="1"/>
    <xf numFmtId="167" fontId="3" fillId="7" borderId="0" xfId="0" applyNumberFormat="1" applyFont="1" applyFill="1"/>
    <xf numFmtId="0" fontId="14" fillId="7" borderId="14" xfId="0" applyFont="1" applyFill="1" applyBorder="1"/>
    <xf numFmtId="167" fontId="11" fillId="7" borderId="14" xfId="0" applyNumberFormat="1" applyFont="1" applyFill="1" applyBorder="1" applyAlignment="1">
      <alignment horizontal="right"/>
    </xf>
    <xf numFmtId="167" fontId="11" fillId="7" borderId="0" xfId="0" applyNumberFormat="1" applyFont="1" applyFill="1" applyAlignment="1">
      <alignment horizontal="right"/>
    </xf>
    <xf numFmtId="167" fontId="11" fillId="7" borderId="0" xfId="0" applyNumberFormat="1" applyFont="1" applyFill="1" applyAlignment="1">
      <alignment horizontal="left"/>
    </xf>
    <xf numFmtId="3" fontId="11" fillId="7" borderId="14" xfId="0" applyNumberFormat="1" applyFont="1" applyFill="1" applyBorder="1" applyAlignment="1">
      <alignment horizontal="right"/>
    </xf>
    <xf numFmtId="3" fontId="11" fillId="7" borderId="15" xfId="0" applyNumberFormat="1" applyFont="1" applyFill="1" applyBorder="1" applyAlignment="1">
      <alignment horizontal="right"/>
    </xf>
    <xf numFmtId="167" fontId="11" fillId="7" borderId="15" xfId="0" applyNumberFormat="1" applyFont="1" applyFill="1" applyBorder="1" applyAlignment="1">
      <alignment horizontal="right"/>
    </xf>
    <xf numFmtId="0" fontId="11" fillId="7" borderId="14" xfId="0" applyFont="1" applyFill="1" applyBorder="1"/>
    <xf numFmtId="167" fontId="3" fillId="7" borderId="0" xfId="0" applyNumberFormat="1" applyFont="1" applyFill="1" applyAlignment="1">
      <alignment horizontal="right"/>
    </xf>
    <xf numFmtId="167" fontId="3" fillId="7" borderId="14" xfId="0" applyNumberFormat="1" applyFont="1" applyFill="1" applyBorder="1"/>
    <xf numFmtId="167" fontId="11" fillId="7" borderId="14" xfId="0" applyNumberFormat="1" applyFont="1" applyFill="1" applyBorder="1" applyAlignment="1">
      <alignment horizontal="left"/>
    </xf>
    <xf numFmtId="167" fontId="3" fillId="7" borderId="14" xfId="0" applyNumberFormat="1" applyFont="1" applyFill="1" applyBorder="1" applyAlignment="1">
      <alignment horizontal="right"/>
    </xf>
    <xf numFmtId="167" fontId="3" fillId="7" borderId="0" xfId="0" applyNumberFormat="1" applyFont="1" applyFill="1" applyAlignment="1">
      <alignment horizontal="left"/>
    </xf>
    <xf numFmtId="1" fontId="11" fillId="7" borderId="14" xfId="0" quotePrefix="1" applyNumberFormat="1" applyFont="1" applyFill="1" applyBorder="1" applyAlignment="1">
      <alignment horizontal="right"/>
    </xf>
    <xf numFmtId="1" fontId="11" fillId="7" borderId="0" xfId="0" applyNumberFormat="1" applyFont="1" applyFill="1" applyAlignment="1">
      <alignment horizontal="right"/>
    </xf>
    <xf numFmtId="1" fontId="11" fillId="7" borderId="15" xfId="0" applyNumberFormat="1" applyFont="1" applyFill="1" applyBorder="1" applyAlignment="1">
      <alignment horizontal="right"/>
    </xf>
    <xf numFmtId="167" fontId="11" fillId="7" borderId="14" xfId="0" applyNumberFormat="1" applyFont="1" applyFill="1" applyBorder="1"/>
    <xf numFmtId="167" fontId="11" fillId="7" borderId="0" xfId="0" applyNumberFormat="1" applyFont="1" applyFill="1"/>
    <xf numFmtId="167" fontId="11" fillId="7" borderId="15" xfId="0" applyNumberFormat="1" applyFont="1" applyFill="1" applyBorder="1"/>
    <xf numFmtId="167" fontId="11" fillId="7" borderId="0" xfId="0" applyNumberFormat="1" applyFont="1" applyFill="1" applyAlignment="1">
      <alignment horizontal="center"/>
    </xf>
    <xf numFmtId="0" fontId="11" fillId="7" borderId="0" xfId="0" applyFont="1" applyFill="1"/>
    <xf numFmtId="167" fontId="4" fillId="7" borderId="0" xfId="0" applyNumberFormat="1" applyFont="1" applyFill="1"/>
    <xf numFmtId="1" fontId="4" fillId="7" borderId="0" xfId="0" applyNumberFormat="1" applyFont="1" applyFill="1"/>
    <xf numFmtId="167" fontId="1" fillId="7" borderId="10" xfId="0" applyNumberFormat="1" applyFont="1" applyFill="1" applyBorder="1"/>
    <xf numFmtId="167" fontId="1" fillId="7" borderId="17" xfId="0" applyNumberFormat="1" applyFont="1" applyFill="1" applyBorder="1"/>
    <xf numFmtId="0" fontId="1" fillId="7" borderId="17" xfId="0" applyFont="1" applyFill="1" applyBorder="1"/>
    <xf numFmtId="167" fontId="1" fillId="7" borderId="18" xfId="0" applyNumberFormat="1" applyFont="1" applyFill="1" applyBorder="1"/>
    <xf numFmtId="0" fontId="1" fillId="7" borderId="11" xfId="0" applyFont="1" applyFill="1" applyBorder="1"/>
    <xf numFmtId="167" fontId="1" fillId="7" borderId="12" xfId="0" applyNumberFormat="1" applyFont="1" applyFill="1" applyBorder="1"/>
    <xf numFmtId="0" fontId="1" fillId="7" borderId="12" xfId="0" applyFont="1" applyFill="1" applyBorder="1"/>
    <xf numFmtId="167" fontId="1" fillId="7" borderId="13" xfId="0" applyNumberFormat="1" applyFont="1" applyFill="1" applyBorder="1"/>
    <xf numFmtId="172" fontId="3" fillId="7" borderId="0" xfId="0" applyNumberFormat="1" applyFont="1" applyFill="1"/>
    <xf numFmtId="0" fontId="3" fillId="7" borderId="0" xfId="0" applyFont="1" applyFill="1" applyAlignment="1">
      <alignment horizontal="right"/>
    </xf>
    <xf numFmtId="14" fontId="3" fillId="7" borderId="0" xfId="0" applyNumberFormat="1" applyFont="1" applyFill="1"/>
    <xf numFmtId="0" fontId="82" fillId="7" borderId="10" xfId="0" applyFont="1" applyFill="1" applyBorder="1"/>
    <xf numFmtId="167" fontId="2" fillId="7" borderId="17" xfId="0" applyNumberFormat="1" applyFont="1" applyFill="1" applyBorder="1"/>
    <xf numFmtId="167" fontId="2" fillId="7" borderId="18" xfId="0" applyNumberFormat="1" applyFont="1" applyFill="1" applyBorder="1"/>
    <xf numFmtId="0" fontId="82" fillId="7" borderId="11" xfId="0" applyFont="1" applyFill="1" applyBorder="1"/>
    <xf numFmtId="167" fontId="4" fillId="7" borderId="12" xfId="0" applyNumberFormat="1" applyFont="1" applyFill="1" applyBorder="1"/>
    <xf numFmtId="167" fontId="4" fillId="7" borderId="13" xfId="0" applyNumberFormat="1" applyFont="1" applyFill="1" applyBorder="1"/>
    <xf numFmtId="0" fontId="90" fillId="7" borderId="0" xfId="0" applyFont="1" applyFill="1"/>
    <xf numFmtId="0" fontId="3" fillId="7" borderId="0" xfId="0" applyFont="1" applyFill="1" applyAlignment="1">
      <alignment horizontal="center"/>
    </xf>
    <xf numFmtId="0" fontId="11" fillId="7" borderId="0" xfId="0" applyFont="1" applyFill="1" applyAlignment="1">
      <alignment horizontal="center"/>
    </xf>
    <xf numFmtId="0" fontId="3" fillId="7" borderId="0" xfId="0" applyFont="1" applyFill="1" applyAlignment="1">
      <alignment horizontal="left"/>
    </xf>
    <xf numFmtId="0" fontId="3" fillId="7" borderId="15" xfId="0" applyFont="1" applyFill="1" applyBorder="1" applyAlignment="1">
      <alignment horizontal="right"/>
    </xf>
    <xf numFmtId="0" fontId="11" fillId="7" borderId="0" xfId="0" applyFont="1" applyFill="1" applyAlignment="1">
      <alignment horizontal="right"/>
    </xf>
    <xf numFmtId="0" fontId="11" fillId="7" borderId="15" xfId="0" applyFont="1" applyFill="1" applyBorder="1" applyAlignment="1">
      <alignment horizontal="right"/>
    </xf>
    <xf numFmtId="165" fontId="11" fillId="7" borderId="0" xfId="0" applyNumberFormat="1" applyFont="1" applyFill="1"/>
    <xf numFmtId="165" fontId="11" fillId="7" borderId="15" xfId="0" applyNumberFormat="1" applyFont="1" applyFill="1" applyBorder="1"/>
    <xf numFmtId="174" fontId="11" fillId="7" borderId="0" xfId="0" applyNumberFormat="1" applyFont="1" applyFill="1"/>
    <xf numFmtId="167" fontId="1" fillId="7" borderId="0" xfId="0" applyNumberFormat="1" applyFont="1" applyFill="1"/>
    <xf numFmtId="0" fontId="11" fillId="7" borderId="15" xfId="0" applyFont="1" applyFill="1" applyBorder="1"/>
    <xf numFmtId="167" fontId="13" fillId="7" borderId="0" xfId="0" applyNumberFormat="1" applyFont="1" applyFill="1"/>
    <xf numFmtId="167" fontId="13" fillId="7" borderId="14" xfId="0" applyNumberFormat="1" applyFont="1" applyFill="1" applyBorder="1"/>
    <xf numFmtId="0" fontId="1" fillId="0" borderId="0" xfId="0" quotePrefix="1" applyFont="1"/>
    <xf numFmtId="0" fontId="34" fillId="0" borderId="0" xfId="0" applyFont="1" applyAlignment="1">
      <alignment horizontal="left" wrapText="1" indent="1"/>
    </xf>
    <xf numFmtId="0" fontId="34" fillId="0" borderId="0" xfId="0" applyFont="1" applyAlignment="1">
      <alignment horizontal="left" indent="1"/>
    </xf>
    <xf numFmtId="0" fontId="37" fillId="0" borderId="0" xfId="0" applyFont="1" applyAlignment="1">
      <alignment horizontal="left" vertical="center" indent="1"/>
    </xf>
    <xf numFmtId="0" fontId="34" fillId="0" borderId="0" xfId="0" applyFont="1" applyAlignment="1">
      <alignment horizontal="right"/>
    </xf>
    <xf numFmtId="167" fontId="3" fillId="0" borderId="14" xfId="0" applyNumberFormat="1" applyFont="1" applyBorder="1" applyAlignment="1">
      <alignment horizontal="right"/>
    </xf>
    <xf numFmtId="167" fontId="41" fillId="20" borderId="0" xfId="0" applyNumberFormat="1" applyFont="1" applyFill="1"/>
    <xf numFmtId="3" fontId="4" fillId="0" borderId="0" xfId="0" applyNumberFormat="1" applyFont="1" applyAlignment="1">
      <alignment horizontal="right"/>
    </xf>
    <xf numFmtId="3" fontId="36" fillId="0" borderId="0" xfId="0" applyNumberFormat="1" applyFont="1" applyAlignment="1">
      <alignment horizontal="right"/>
    </xf>
    <xf numFmtId="3" fontId="8" fillId="0" borderId="0" xfId="0" applyNumberFormat="1" applyFont="1" applyAlignment="1">
      <alignment horizontal="right"/>
    </xf>
    <xf numFmtId="0" fontId="34" fillId="0" borderId="0" xfId="0" applyFont="1" applyAlignment="1">
      <alignment horizontal="left" vertical="center" indent="1"/>
    </xf>
    <xf numFmtId="167" fontId="42" fillId="0" borderId="14" xfId="0" applyNumberFormat="1" applyFont="1" applyBorder="1"/>
    <xf numFmtId="0" fontId="75" fillId="0" borderId="0" xfId="0" applyFont="1" applyAlignment="1">
      <alignment vertical="top"/>
    </xf>
    <xf numFmtId="0" fontId="34" fillId="7" borderId="0" xfId="0" applyFont="1" applyFill="1" applyAlignment="1">
      <alignment horizontal="right" vertical="top"/>
    </xf>
    <xf numFmtId="1" fontId="3" fillId="7" borderId="0" xfId="0" applyNumberFormat="1" applyFont="1" applyFill="1" applyAlignment="1">
      <alignment horizontal="center"/>
    </xf>
    <xf numFmtId="0" fontId="4" fillId="7" borderId="0" xfId="0" applyFont="1" applyFill="1" applyAlignment="1">
      <alignment horizontal="right" vertical="top"/>
    </xf>
    <xf numFmtId="3" fontId="17" fillId="0" borderId="0" xfId="0" applyNumberFormat="1" applyFont="1" applyAlignment="1">
      <alignment horizontal="center"/>
    </xf>
    <xf numFmtId="0" fontId="68" fillId="0" borderId="0" xfId="0" applyFont="1" applyAlignment="1">
      <alignment horizontal="center"/>
    </xf>
    <xf numFmtId="0" fontId="35" fillId="0" borderId="0" xfId="0" applyFont="1" applyAlignment="1">
      <alignment horizontal="center"/>
    </xf>
    <xf numFmtId="0" fontId="1" fillId="0" borderId="0" xfId="0" applyFont="1" applyAlignment="1">
      <alignment horizontal="left"/>
    </xf>
    <xf numFmtId="0" fontId="75" fillId="7" borderId="0" xfId="0" applyFont="1" applyFill="1"/>
    <xf numFmtId="0" fontId="91" fillId="8" borderId="0" xfId="0" applyFont="1" applyFill="1"/>
    <xf numFmtId="0" fontId="21" fillId="8" borderId="0" xfId="0" quotePrefix="1" applyFont="1" applyFill="1"/>
    <xf numFmtId="1" fontId="3" fillId="0" borderId="0" xfId="0" applyNumberFormat="1" applyFont="1"/>
    <xf numFmtId="3" fontId="3" fillId="0" borderId="0" xfId="0" applyNumberFormat="1" applyFont="1"/>
    <xf numFmtId="180" fontId="92" fillId="7" borderId="0" xfId="0" applyNumberFormat="1" applyFont="1" applyFill="1"/>
    <xf numFmtId="167" fontId="93" fillId="0" borderId="0" xfId="0" applyNumberFormat="1" applyFont="1" applyAlignment="1">
      <alignment horizontal="left"/>
    </xf>
    <xf numFmtId="0" fontId="94" fillId="0" borderId="0" xfId="0" applyFont="1"/>
    <xf numFmtId="0" fontId="95" fillId="0" borderId="0" xfId="0" applyFont="1"/>
    <xf numFmtId="167" fontId="94" fillId="0" borderId="0" xfId="0" applyNumberFormat="1" applyFont="1"/>
    <xf numFmtId="0" fontId="54" fillId="0" borderId="0" xfId="0" applyFont="1" applyAlignment="1">
      <alignment horizontal="center"/>
    </xf>
    <xf numFmtId="0" fontId="2" fillId="7" borderId="0" xfId="0" applyFont="1" applyFill="1" applyAlignment="1">
      <alignment vertical="top" wrapText="1"/>
    </xf>
    <xf numFmtId="0" fontId="2" fillId="0" borderId="0" xfId="0" applyFont="1" applyAlignment="1">
      <alignment vertical="top" wrapText="1"/>
    </xf>
  </cellXfs>
  <cellStyles count="11">
    <cellStyle name="Aksentti1 2" xfId="1" xr:uid="{00000000-0005-0000-0000-000000000000}"/>
    <cellStyle name="Aksentti2" xfId="2" builtinId="33"/>
    <cellStyle name="Aksentti3 2" xfId="3" xr:uid="{00000000-0005-0000-0000-000002000000}"/>
    <cellStyle name="Aksentti6" xfId="4" builtinId="49"/>
    <cellStyle name="Aksentti6 2" xfId="5" xr:uid="{00000000-0005-0000-0000-000004000000}"/>
    <cellStyle name="Hyperlinkki" xfId="6" builtinId="8"/>
    <cellStyle name="Normaali" xfId="0" builtinId="0"/>
    <cellStyle name="Normaali 2" xfId="7" xr:uid="{00000000-0005-0000-0000-000007000000}"/>
    <cellStyle name="Normaali 3" xfId="8" xr:uid="{00000000-0005-0000-0000-000008000000}"/>
    <cellStyle name="Normaali 4" xfId="9" xr:uid="{00000000-0005-0000-0000-000009000000}"/>
    <cellStyle name="Normaali 5"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Kuviot!$AR$6</c:f>
              <c:strCache>
                <c:ptCount val="1"/>
                <c:pt idx="0">
                  <c:v>toimintakate</c:v>
                </c:pt>
              </c:strCache>
            </c:strRef>
          </c:tx>
          <c:spPr>
            <a:solidFill>
              <a:schemeClr val="bg1">
                <a:lumMod val="75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Kuviot!$AS$5:$AT$5</c:f>
              <c:strCache>
                <c:ptCount val="2"/>
                <c:pt idx="0">
                  <c:v>Toimintakate+poistot +rahoituserät(netto) 107 milj. €</c:v>
                </c:pt>
                <c:pt idx="1">
                  <c:v>Rahoitus 104 milj. €</c:v>
                </c:pt>
              </c:strCache>
            </c:strRef>
          </c:cat>
          <c:val>
            <c:numRef>
              <c:f>Kuviot!$AS$6:$AT$6</c:f>
              <c:numCache>
                <c:formatCode>General</c:formatCode>
                <c:ptCount val="2"/>
                <c:pt idx="0" formatCode="#,##0">
                  <c:v>106887.16091000002</c:v>
                </c:pt>
              </c:numCache>
            </c:numRef>
          </c:val>
          <c:extLst>
            <c:ext xmlns:c16="http://schemas.microsoft.com/office/drawing/2014/chart" uri="{C3380CC4-5D6E-409C-BE32-E72D297353CC}">
              <c16:uniqueId val="{00000000-74B0-4735-9D10-F6B3C8035E3A}"/>
            </c:ext>
          </c:extLst>
        </c:ser>
        <c:ser>
          <c:idx val="6"/>
          <c:order val="1"/>
          <c:tx>
            <c:strRef>
              <c:f>Kuviot!$AR$12</c:f>
              <c:strCache>
                <c:ptCount val="1"/>
                <c:pt idx="0">
                  <c:v>poistot</c:v>
                </c:pt>
              </c:strCache>
            </c:strRef>
          </c:tx>
          <c:spPr>
            <a:solidFill>
              <a:schemeClr val="bg1">
                <a:lumMod val="50000"/>
              </a:schemeClr>
            </a:solidFill>
            <a:ln>
              <a:noFill/>
            </a:ln>
            <a:effectLst>
              <a:outerShdw blurRad="40000" dist="23000" dir="5400000" rotWithShape="0">
                <a:srgbClr val="000000">
                  <a:alpha val="35000"/>
                </a:srgbClr>
              </a:outerShdw>
            </a:effectLst>
          </c:spPr>
          <c:invertIfNegative val="0"/>
          <c:dLbls>
            <c:dLbl>
              <c:idx val="0"/>
              <c:spPr>
                <a:noFill/>
                <a:ln w="25400">
                  <a:noFill/>
                </a:ln>
              </c:spPr>
              <c:txPr>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extLst>
                <c:ext xmlns:c16="http://schemas.microsoft.com/office/drawing/2014/chart" uri="{C3380CC4-5D6E-409C-BE32-E72D297353CC}">
                  <c16:uniqueId val="{00000001-74B0-4735-9D10-F6B3C8035E3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Kuviot!$AS$12:$AT$12</c:f>
              <c:numCache>
                <c:formatCode>General</c:formatCode>
                <c:ptCount val="2"/>
                <c:pt idx="0" formatCode="#,##0">
                  <c:v>0</c:v>
                </c:pt>
              </c:numCache>
            </c:numRef>
          </c:val>
          <c:extLst>
            <c:ext xmlns:c16="http://schemas.microsoft.com/office/drawing/2014/chart" uri="{C3380CC4-5D6E-409C-BE32-E72D297353CC}">
              <c16:uniqueId val="{00000002-74B0-4735-9D10-F6B3C8035E3A}"/>
            </c:ext>
          </c:extLst>
        </c:ser>
        <c:ser>
          <c:idx val="1"/>
          <c:order val="2"/>
          <c:tx>
            <c:strRef>
              <c:f>Kuviot!$AR$7</c:f>
              <c:strCache>
                <c:ptCount val="1"/>
                <c:pt idx="0">
                  <c:v>kunnallisvero 60%</c:v>
                </c:pt>
              </c:strCache>
            </c:strRef>
          </c:tx>
          <c:spPr>
            <a:solidFill>
              <a:srgbClr val="FFFF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Kuviot!$AS$5:$AT$5</c:f>
              <c:strCache>
                <c:ptCount val="2"/>
                <c:pt idx="0">
                  <c:v>Toimintakate+poistot +rahoituserät(netto) 107 milj. €</c:v>
                </c:pt>
                <c:pt idx="1">
                  <c:v>Rahoitus 104 milj. €</c:v>
                </c:pt>
              </c:strCache>
            </c:strRef>
          </c:cat>
          <c:val>
            <c:numRef>
              <c:f>Kuviot!$AS$7:$AT$7</c:f>
              <c:numCache>
                <c:formatCode>#,##0</c:formatCode>
                <c:ptCount val="2"/>
                <c:pt idx="1">
                  <c:v>61979.103958365878</c:v>
                </c:pt>
              </c:numCache>
            </c:numRef>
          </c:val>
          <c:extLst>
            <c:ext xmlns:c16="http://schemas.microsoft.com/office/drawing/2014/chart" uri="{C3380CC4-5D6E-409C-BE32-E72D297353CC}">
              <c16:uniqueId val="{00000003-74B0-4735-9D10-F6B3C8035E3A}"/>
            </c:ext>
          </c:extLst>
        </c:ser>
        <c:ser>
          <c:idx val="2"/>
          <c:order val="3"/>
          <c:tx>
            <c:strRef>
              <c:f>Kuviot!$AR$8</c:f>
              <c:strCache>
                <c:ptCount val="1"/>
                <c:pt idx="0">
                  <c:v>yhteisövero 2%</c:v>
                </c:pt>
              </c:strCache>
            </c:strRef>
          </c:tx>
          <c:spPr>
            <a:solidFill>
              <a:srgbClr val="CC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Kuviot!$AS$5:$AT$5</c:f>
              <c:strCache>
                <c:ptCount val="2"/>
                <c:pt idx="0">
                  <c:v>Toimintakate+poistot +rahoituserät(netto) 107 milj. €</c:v>
                </c:pt>
                <c:pt idx="1">
                  <c:v>Rahoitus 104 milj. €</c:v>
                </c:pt>
              </c:strCache>
            </c:strRef>
          </c:cat>
          <c:val>
            <c:numRef>
              <c:f>Kuviot!$AS$8:$AT$8</c:f>
              <c:numCache>
                <c:formatCode>#,##0</c:formatCode>
                <c:ptCount val="2"/>
                <c:pt idx="1">
                  <c:v>2425.6802721357762</c:v>
                </c:pt>
              </c:numCache>
            </c:numRef>
          </c:val>
          <c:extLst>
            <c:ext xmlns:c16="http://schemas.microsoft.com/office/drawing/2014/chart" uri="{C3380CC4-5D6E-409C-BE32-E72D297353CC}">
              <c16:uniqueId val="{00000004-74B0-4735-9D10-F6B3C8035E3A}"/>
            </c:ext>
          </c:extLst>
        </c:ser>
        <c:ser>
          <c:idx val="3"/>
          <c:order val="4"/>
          <c:tx>
            <c:strRef>
              <c:f>Kuviot!$AR$9</c:f>
              <c:strCache>
                <c:ptCount val="1"/>
                <c:pt idx="0">
                  <c:v>kiinteistövero 4%</c:v>
                </c:pt>
              </c:strCache>
            </c:strRef>
          </c:tx>
          <c:spPr>
            <a:solidFill>
              <a:srgbClr val="FF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Kuviot!$AS$5:$AT$5</c:f>
              <c:strCache>
                <c:ptCount val="2"/>
                <c:pt idx="0">
                  <c:v>Toimintakate+poistot +rahoituserät(netto) 107 milj. €</c:v>
                </c:pt>
                <c:pt idx="1">
                  <c:v>Rahoitus 104 milj. €</c:v>
                </c:pt>
              </c:strCache>
            </c:strRef>
          </c:cat>
          <c:val>
            <c:numRef>
              <c:f>Kuviot!$AS$9:$AT$9</c:f>
              <c:numCache>
                <c:formatCode>#,##0</c:formatCode>
                <c:ptCount val="2"/>
                <c:pt idx="1">
                  <c:v>3736.6210000000001</c:v>
                </c:pt>
              </c:numCache>
            </c:numRef>
          </c:val>
          <c:extLst>
            <c:ext xmlns:c16="http://schemas.microsoft.com/office/drawing/2014/chart" uri="{C3380CC4-5D6E-409C-BE32-E72D297353CC}">
              <c16:uniqueId val="{00000005-74B0-4735-9D10-F6B3C8035E3A}"/>
            </c:ext>
          </c:extLst>
        </c:ser>
        <c:ser>
          <c:idx val="4"/>
          <c:order val="5"/>
          <c:tx>
            <c:strRef>
              <c:f>Kuviot!$AR$10</c:f>
              <c:strCache>
                <c:ptCount val="1"/>
                <c:pt idx="0">
                  <c:v>vos 35%</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74B0-4735-9D10-F6B3C8035E3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Kuviot!$AS$5:$AT$5</c:f>
              <c:strCache>
                <c:ptCount val="2"/>
                <c:pt idx="0">
                  <c:v>Toimintakate+poistot +rahoituserät(netto) 107 milj. €</c:v>
                </c:pt>
                <c:pt idx="1">
                  <c:v>Rahoitus 104 milj. €</c:v>
                </c:pt>
              </c:strCache>
            </c:strRef>
          </c:cat>
          <c:val>
            <c:numRef>
              <c:f>Kuviot!$AS$10:$AT$10</c:f>
              <c:numCache>
                <c:formatCode>#,##0</c:formatCode>
                <c:ptCount val="2"/>
                <c:pt idx="0" formatCode="General">
                  <c:v>0</c:v>
                </c:pt>
                <c:pt idx="1">
                  <c:v>36008.345774788213</c:v>
                </c:pt>
              </c:numCache>
            </c:numRef>
          </c:val>
          <c:extLst>
            <c:ext xmlns:c16="http://schemas.microsoft.com/office/drawing/2014/chart" uri="{C3380CC4-5D6E-409C-BE32-E72D297353CC}">
              <c16:uniqueId val="{00000007-74B0-4735-9D10-F6B3C8035E3A}"/>
            </c:ext>
          </c:extLst>
        </c:ser>
        <c:ser>
          <c:idx val="5"/>
          <c:order val="6"/>
          <c:tx>
            <c:strRef>
              <c:f>Kuviot!$AR$11</c:f>
              <c:strCache>
                <c:ptCount val="1"/>
              </c:strCache>
            </c:strRef>
          </c:tx>
          <c:spPr>
            <a:solidFill>
              <a:srgbClr val="00B050"/>
            </a:solidFill>
            <a:ln>
              <a:no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74B0-4735-9D10-F6B3C8035E3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Kuviot!$AS$5:$AT$5</c:f>
              <c:strCache>
                <c:ptCount val="2"/>
                <c:pt idx="0">
                  <c:v>Toimintakate+poistot +rahoituserät(netto) 107 milj. €</c:v>
                </c:pt>
                <c:pt idx="1">
                  <c:v>Rahoitus 104 milj. €</c:v>
                </c:pt>
              </c:strCache>
            </c:strRef>
          </c:cat>
          <c:val>
            <c:numRef>
              <c:f>Kuviot!$AS$11:$AT$11</c:f>
              <c:numCache>
                <c:formatCode>#,##0</c:formatCode>
                <c:ptCount val="2"/>
                <c:pt idx="0">
                  <c:v>68.978320000000011</c:v>
                </c:pt>
                <c:pt idx="1">
                  <c:v>0</c:v>
                </c:pt>
              </c:numCache>
            </c:numRef>
          </c:val>
          <c:extLst>
            <c:ext xmlns:c16="http://schemas.microsoft.com/office/drawing/2014/chart" uri="{C3380CC4-5D6E-409C-BE32-E72D297353CC}">
              <c16:uniqueId val="{00000009-74B0-4735-9D10-F6B3C8035E3A}"/>
            </c:ext>
          </c:extLst>
        </c:ser>
        <c:dLbls>
          <c:showLegendKey val="0"/>
          <c:showVal val="0"/>
          <c:showCatName val="0"/>
          <c:showSerName val="0"/>
          <c:showPercent val="0"/>
          <c:showBubbleSize val="0"/>
        </c:dLbls>
        <c:gapWidth val="40"/>
        <c:overlap val="100"/>
        <c:axId val="139493056"/>
        <c:axId val="1"/>
      </c:barChart>
      <c:catAx>
        <c:axId val="1394930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i-FI"/>
          </a:p>
        </c:txPr>
        <c:crossAx val="1"/>
        <c:crossesAt val="0"/>
        <c:auto val="1"/>
        <c:lblAlgn val="ctr"/>
        <c:lblOffset val="100"/>
        <c:noMultiLvlLbl val="0"/>
      </c:catAx>
      <c:valAx>
        <c:axId val="1"/>
        <c:scaling>
          <c:orientation val="minMax"/>
        </c:scaling>
        <c:delete val="1"/>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crossAx val="139493056"/>
        <c:crosses val="autoZero"/>
        <c:crossBetween val="between"/>
      </c:valAx>
      <c:spPr>
        <a:noFill/>
        <a:ln w="25400">
          <a:noFill/>
        </a:ln>
      </c:spPr>
    </c:plotArea>
    <c:plotVisOnly val="1"/>
    <c:dispBlanksAs val="gap"/>
    <c:showDLblsOverMax val="0"/>
  </c:chart>
  <c:spPr>
    <a:solidFill>
      <a:schemeClr val="bg1"/>
    </a:solidFill>
    <a:ln w="12700" cap="flat" cmpd="sng" algn="ctr">
      <a:solidFill>
        <a:schemeClr val="bg1">
          <a:lumMod val="85000"/>
        </a:schemeClr>
      </a:solidFill>
      <a:round/>
    </a:ln>
    <a:effectLst/>
  </c:spPr>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Kuviot!$AU$6</c:f>
              <c:strCache>
                <c:ptCount val="1"/>
                <c:pt idx="0">
                  <c:v>toimintakate</c:v>
                </c:pt>
              </c:strCache>
            </c:strRef>
          </c:tx>
          <c:spPr>
            <a:solidFill>
              <a:schemeClr val="bg1">
                <a:lumMod val="75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Kuviot!$AV$5:$AW$5</c:f>
              <c:strCache>
                <c:ptCount val="2"/>
                <c:pt idx="0">
                  <c:v>Toimintakate+poistot+rahoituser.(netto)  41 milj. €</c:v>
                </c:pt>
                <c:pt idx="1">
                  <c:v>Rahoitus 41 milj. €</c:v>
                </c:pt>
              </c:strCache>
            </c:strRef>
          </c:cat>
          <c:val>
            <c:numRef>
              <c:f>Kuviot!$AV$6:$AW$6</c:f>
              <c:numCache>
                <c:formatCode>General</c:formatCode>
                <c:ptCount val="2"/>
                <c:pt idx="0" formatCode="#,##0">
                  <c:v>41137.019981694328</c:v>
                </c:pt>
              </c:numCache>
            </c:numRef>
          </c:val>
          <c:extLst>
            <c:ext xmlns:c16="http://schemas.microsoft.com/office/drawing/2014/chart" uri="{C3380CC4-5D6E-409C-BE32-E72D297353CC}">
              <c16:uniqueId val="{00000000-5D85-419F-BC28-FB014A885AD8}"/>
            </c:ext>
          </c:extLst>
        </c:ser>
        <c:ser>
          <c:idx val="1"/>
          <c:order val="1"/>
          <c:tx>
            <c:strRef>
              <c:f>Kuviot!$AU$7</c:f>
              <c:strCache>
                <c:ptCount val="1"/>
                <c:pt idx="0">
                  <c:v>kunnallisvero 67%</c:v>
                </c:pt>
              </c:strCache>
            </c:strRef>
          </c:tx>
          <c:spPr>
            <a:solidFill>
              <a:srgbClr val="FFFF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Kuviot!$AV$5:$AW$5</c:f>
              <c:strCache>
                <c:ptCount val="2"/>
                <c:pt idx="0">
                  <c:v>Toimintakate+poistot+rahoituser.(netto)  41 milj. €</c:v>
                </c:pt>
                <c:pt idx="1">
                  <c:v>Rahoitus 41 milj. €</c:v>
                </c:pt>
              </c:strCache>
            </c:strRef>
          </c:cat>
          <c:val>
            <c:numRef>
              <c:f>Kuviot!$AV$7:$AW$7</c:f>
              <c:numCache>
                <c:formatCode>#,##0</c:formatCode>
                <c:ptCount val="2"/>
                <c:pt idx="1">
                  <c:v>27363.452160325167</c:v>
                </c:pt>
              </c:numCache>
            </c:numRef>
          </c:val>
          <c:extLst>
            <c:ext xmlns:c16="http://schemas.microsoft.com/office/drawing/2014/chart" uri="{C3380CC4-5D6E-409C-BE32-E72D297353CC}">
              <c16:uniqueId val="{00000001-5D85-419F-BC28-FB014A885AD8}"/>
            </c:ext>
          </c:extLst>
        </c:ser>
        <c:ser>
          <c:idx val="2"/>
          <c:order val="2"/>
          <c:tx>
            <c:strRef>
              <c:f>Kuviot!$AU$8</c:f>
              <c:strCache>
                <c:ptCount val="1"/>
                <c:pt idx="0">
                  <c:v>yhteisövero 4%</c:v>
                </c:pt>
              </c:strCache>
            </c:strRef>
          </c:tx>
          <c:spPr>
            <a:solidFill>
              <a:srgbClr val="CC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Kuviot!$AV$5:$AW$5</c:f>
              <c:strCache>
                <c:ptCount val="2"/>
                <c:pt idx="0">
                  <c:v>Toimintakate+poistot+rahoituser.(netto)  41 milj. €</c:v>
                </c:pt>
                <c:pt idx="1">
                  <c:v>Rahoitus 41 milj. €</c:v>
                </c:pt>
              </c:strCache>
            </c:strRef>
          </c:cat>
          <c:val>
            <c:numRef>
              <c:f>Kuviot!$AV$8:$AW$8</c:f>
              <c:numCache>
                <c:formatCode>#,##0</c:formatCode>
                <c:ptCount val="2"/>
                <c:pt idx="1">
                  <c:v>1452.074525</c:v>
                </c:pt>
              </c:numCache>
            </c:numRef>
          </c:val>
          <c:extLst>
            <c:ext xmlns:c16="http://schemas.microsoft.com/office/drawing/2014/chart" uri="{C3380CC4-5D6E-409C-BE32-E72D297353CC}">
              <c16:uniqueId val="{00000002-5D85-419F-BC28-FB014A885AD8}"/>
            </c:ext>
          </c:extLst>
        </c:ser>
        <c:ser>
          <c:idx val="3"/>
          <c:order val="3"/>
          <c:tx>
            <c:strRef>
              <c:f>Kuviot!$AU$9</c:f>
              <c:strCache>
                <c:ptCount val="1"/>
                <c:pt idx="0">
                  <c:v>kiinteistövero 9%</c:v>
                </c:pt>
              </c:strCache>
            </c:strRef>
          </c:tx>
          <c:spPr>
            <a:solidFill>
              <a:srgbClr val="FF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Kuviot!$AV$5:$AW$5</c:f>
              <c:strCache>
                <c:ptCount val="2"/>
                <c:pt idx="0">
                  <c:v>Toimintakate+poistot+rahoituser.(netto)  41 milj. €</c:v>
                </c:pt>
                <c:pt idx="1">
                  <c:v>Rahoitus 41 milj. €</c:v>
                </c:pt>
              </c:strCache>
            </c:strRef>
          </c:cat>
          <c:val>
            <c:numRef>
              <c:f>Kuviot!$AV$9:$AW$9</c:f>
              <c:numCache>
                <c:formatCode>#,##0</c:formatCode>
                <c:ptCount val="2"/>
                <c:pt idx="1">
                  <c:v>3745.6365665000003</c:v>
                </c:pt>
              </c:numCache>
            </c:numRef>
          </c:val>
          <c:extLst>
            <c:ext xmlns:c16="http://schemas.microsoft.com/office/drawing/2014/chart" uri="{C3380CC4-5D6E-409C-BE32-E72D297353CC}">
              <c16:uniqueId val="{00000003-5D85-419F-BC28-FB014A885AD8}"/>
            </c:ext>
          </c:extLst>
        </c:ser>
        <c:ser>
          <c:idx val="7"/>
          <c:order val="4"/>
          <c:tx>
            <c:strRef>
              <c:f>Kuviot!$AU$12</c:f>
              <c:strCache>
                <c:ptCount val="1"/>
                <c:pt idx="0">
                  <c:v>poistot</c:v>
                </c:pt>
              </c:strCache>
            </c:strRef>
          </c:tx>
          <c:spPr>
            <a:solidFill>
              <a:schemeClr val="bg1">
                <a:lumMod val="50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Kuviot!$AV$12:$AW$12</c:f>
              <c:numCache>
                <c:formatCode>General</c:formatCode>
                <c:ptCount val="2"/>
                <c:pt idx="0" formatCode="#,##0">
                  <c:v>0</c:v>
                </c:pt>
              </c:numCache>
            </c:numRef>
          </c:val>
          <c:extLst>
            <c:ext xmlns:c16="http://schemas.microsoft.com/office/drawing/2014/chart" uri="{C3380CC4-5D6E-409C-BE32-E72D297353CC}">
              <c16:uniqueId val="{00000004-5D85-419F-BC28-FB014A885AD8}"/>
            </c:ext>
          </c:extLst>
        </c:ser>
        <c:ser>
          <c:idx val="4"/>
          <c:order val="5"/>
          <c:tx>
            <c:strRef>
              <c:f>Kuviot!$AU$10</c:f>
              <c:strCache>
                <c:ptCount val="1"/>
                <c:pt idx="0">
                  <c:v>vos 20%</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D85-419F-BC28-FB014A885AD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Kuviot!$AV$5:$AW$5</c:f>
              <c:strCache>
                <c:ptCount val="2"/>
                <c:pt idx="0">
                  <c:v>Toimintakate+poistot+rahoituser.(netto)  41 milj. €</c:v>
                </c:pt>
                <c:pt idx="1">
                  <c:v>Rahoitus 41 milj. €</c:v>
                </c:pt>
              </c:strCache>
            </c:strRef>
          </c:cat>
          <c:val>
            <c:numRef>
              <c:f>Kuviot!$AV$10:$AW$10</c:f>
              <c:numCache>
                <c:formatCode>#,##0</c:formatCode>
                <c:ptCount val="2"/>
                <c:pt idx="0" formatCode="0">
                  <c:v>0</c:v>
                </c:pt>
                <c:pt idx="1">
                  <c:v>8195.9821428385658</c:v>
                </c:pt>
              </c:numCache>
            </c:numRef>
          </c:val>
          <c:extLst>
            <c:ext xmlns:c16="http://schemas.microsoft.com/office/drawing/2014/chart" uri="{C3380CC4-5D6E-409C-BE32-E72D297353CC}">
              <c16:uniqueId val="{00000006-5D85-419F-BC28-FB014A885AD8}"/>
            </c:ext>
          </c:extLst>
        </c:ser>
        <c:ser>
          <c:idx val="5"/>
          <c:order val="6"/>
          <c:tx>
            <c:strRef>
              <c:f>Kuviot!$AU$11</c:f>
              <c:strCache>
                <c:ptCount val="1"/>
              </c:strCache>
            </c:strRef>
          </c:tx>
          <c:spPr>
            <a:solidFill>
              <a:srgbClr val="00B050"/>
            </a:solidFill>
            <a:ln>
              <a:solidFill>
                <a:sysClr val="windowText" lastClr="000000">
                  <a:lumMod val="25000"/>
                  <a:lumOff val="75000"/>
                </a:sysClr>
              </a:solid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5D85-419F-BC28-FB014A885AD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Kuviot!$AV$5:$AW$5</c:f>
              <c:strCache>
                <c:ptCount val="2"/>
                <c:pt idx="0">
                  <c:v>Toimintakate+poistot+rahoituser.(netto)  41 milj. €</c:v>
                </c:pt>
                <c:pt idx="1">
                  <c:v>Rahoitus 41 milj. €</c:v>
                </c:pt>
              </c:strCache>
            </c:strRef>
          </c:cat>
          <c:val>
            <c:numRef>
              <c:f>Kuviot!$AV$11:$AW$11</c:f>
              <c:numCache>
                <c:formatCode>#,##0</c:formatCode>
                <c:ptCount val="2"/>
                <c:pt idx="0">
                  <c:v>1.87</c:v>
                </c:pt>
                <c:pt idx="1">
                  <c:v>0</c:v>
                </c:pt>
              </c:numCache>
            </c:numRef>
          </c:val>
          <c:extLst>
            <c:ext xmlns:c16="http://schemas.microsoft.com/office/drawing/2014/chart" uri="{C3380CC4-5D6E-409C-BE32-E72D297353CC}">
              <c16:uniqueId val="{00000008-5D85-419F-BC28-FB014A885AD8}"/>
            </c:ext>
          </c:extLst>
        </c:ser>
        <c:ser>
          <c:idx val="6"/>
          <c:order val="7"/>
          <c:tx>
            <c:strRef>
              <c:f>Kuviot!$AU$14</c:f>
              <c:strCache>
                <c:ptCount val="1"/>
                <c:pt idx="0">
                  <c:v>poistuvat</c:v>
                </c:pt>
              </c:strCache>
            </c:strRef>
          </c:tx>
          <c:spPr>
            <a:noFill/>
            <a:ln>
              <a:solidFill>
                <a:schemeClr val="bg1">
                  <a:lumMod val="65000"/>
                </a:schemeClr>
              </a:solidFill>
            </a:ln>
            <a:effectLst>
              <a:outerShdw blurRad="40000" dist="23000" dir="5400000" rotWithShape="0">
                <a:srgbClr val="000000">
                  <a:alpha val="35000"/>
                </a:srgbClr>
              </a:outerShdw>
            </a:effectLst>
          </c:spPr>
          <c:invertIfNegative val="0"/>
          <c:dPt>
            <c:idx val="0"/>
            <c:invertIfNegative val="0"/>
            <c:bubble3D val="0"/>
            <c:spPr>
              <a:noFill/>
              <a:ln w="12700">
                <a:solidFill>
                  <a:schemeClr val="bg1">
                    <a:lumMod val="65000"/>
                  </a:schemeClr>
                </a:solidFill>
                <a:prstDash val="dashDot"/>
              </a:ln>
              <a:effectLst>
                <a:softEdge rad="0"/>
              </a:effectLst>
            </c:spPr>
            <c:extLst>
              <c:ext xmlns:c16="http://schemas.microsoft.com/office/drawing/2014/chart" uri="{C3380CC4-5D6E-409C-BE32-E72D297353CC}">
                <c16:uniqueId val="{00000009-5D85-419F-BC28-FB014A885AD8}"/>
              </c:ext>
            </c:extLst>
          </c:dPt>
          <c:dPt>
            <c:idx val="1"/>
            <c:invertIfNegative val="0"/>
            <c:bubble3D val="0"/>
            <c:spPr>
              <a:noFill/>
              <a:ln w="12700">
                <a:solidFill>
                  <a:schemeClr val="bg1">
                    <a:lumMod val="65000"/>
                  </a:schemeClr>
                </a:solidFill>
                <a:prstDash val="dashDot"/>
              </a:ln>
              <a:effectLst>
                <a:glow>
                  <a:schemeClr val="accent1"/>
                </a:glow>
                <a:outerShdw blurRad="40000" dist="23000" dir="5400000" rotWithShape="0">
                  <a:srgbClr val="000000">
                    <a:alpha val="35000"/>
                  </a:srgbClr>
                </a:outerShdw>
                <a:softEdge rad="0"/>
              </a:effectLst>
            </c:spPr>
            <c:extLst>
              <c:ext xmlns:c16="http://schemas.microsoft.com/office/drawing/2014/chart" uri="{C3380CC4-5D6E-409C-BE32-E72D297353CC}">
                <c16:uniqueId val="{0000000A-5D85-419F-BC28-FB014A885AD8}"/>
              </c:ext>
            </c:extLst>
          </c:dPt>
          <c:val>
            <c:numRef>
              <c:f>Kuviot!$AV$14:$AW$14</c:f>
              <c:numCache>
                <c:formatCode>#,##0</c:formatCode>
                <c:ptCount val="2"/>
                <c:pt idx="0">
                  <c:v>65817.249248305685</c:v>
                </c:pt>
                <c:pt idx="1">
                  <c:v>63392.605610626139</c:v>
                </c:pt>
              </c:numCache>
            </c:numRef>
          </c:val>
          <c:extLst>
            <c:ext xmlns:c16="http://schemas.microsoft.com/office/drawing/2014/chart" uri="{C3380CC4-5D6E-409C-BE32-E72D297353CC}">
              <c16:uniqueId val="{0000000B-5D85-419F-BC28-FB014A885AD8}"/>
            </c:ext>
          </c:extLst>
        </c:ser>
        <c:dLbls>
          <c:showLegendKey val="0"/>
          <c:showVal val="0"/>
          <c:showCatName val="0"/>
          <c:showSerName val="0"/>
          <c:showPercent val="0"/>
          <c:showBubbleSize val="0"/>
        </c:dLbls>
        <c:gapWidth val="40"/>
        <c:overlap val="100"/>
        <c:axId val="139495968"/>
        <c:axId val="1"/>
      </c:barChart>
      <c:catAx>
        <c:axId val="1394959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i-FI"/>
          </a:p>
        </c:txPr>
        <c:crossAx val="1"/>
        <c:crosses val="autoZero"/>
        <c:auto val="1"/>
        <c:lblAlgn val="ctr"/>
        <c:lblOffset val="100"/>
        <c:noMultiLvlLbl val="0"/>
      </c:catAx>
      <c:valAx>
        <c:axId val="1"/>
        <c:scaling>
          <c:orientation val="minMax"/>
        </c:scaling>
        <c:delete val="1"/>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crossAx val="139495968"/>
        <c:crosses val="autoZero"/>
        <c:crossBetween val="between"/>
      </c:valAx>
      <c:spPr>
        <a:noFill/>
        <a:ln w="25400">
          <a:noFill/>
        </a:ln>
      </c:spPr>
    </c:plotArea>
    <c:plotVisOnly val="1"/>
    <c:dispBlanksAs val="gap"/>
    <c:showDLblsOverMax val="0"/>
  </c:chart>
  <c:spPr>
    <a:solidFill>
      <a:schemeClr val="bg1"/>
    </a:solidFill>
    <a:ln w="12700" cap="flat" cmpd="sng" algn="ctr">
      <a:solidFill>
        <a:schemeClr val="bg1">
          <a:lumMod val="85000"/>
        </a:schemeClr>
      </a:solidFill>
      <a:round/>
    </a:ln>
    <a:effectLst/>
  </c:spPr>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Kuviot!$AX$6</c:f>
              <c:strCache>
                <c:ptCount val="1"/>
                <c:pt idx="0">
                  <c:v>toimintakate</c:v>
                </c:pt>
              </c:strCache>
            </c:strRef>
          </c:tx>
          <c:spPr>
            <a:solidFill>
              <a:schemeClr val="bg1">
                <a:lumMod val="75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Kuviot!$AY$5:$AZ$5</c:f>
              <c:strCache>
                <c:ptCount val="2"/>
                <c:pt idx="0">
                  <c:v>Toimintakate+poistot+rahoituser.(netto)  42 milj. €</c:v>
                </c:pt>
                <c:pt idx="1">
                  <c:v>Rahoitus 39 milj. €</c:v>
                </c:pt>
              </c:strCache>
            </c:strRef>
          </c:cat>
          <c:val>
            <c:numRef>
              <c:f>Kuviot!$AY$6:$AZ$6</c:f>
              <c:numCache>
                <c:formatCode>General</c:formatCode>
                <c:ptCount val="2"/>
                <c:pt idx="0" formatCode="#,##0">
                  <c:v>41608.758283193791</c:v>
                </c:pt>
              </c:numCache>
            </c:numRef>
          </c:val>
          <c:extLst>
            <c:ext xmlns:c16="http://schemas.microsoft.com/office/drawing/2014/chart" uri="{C3380CC4-5D6E-409C-BE32-E72D297353CC}">
              <c16:uniqueId val="{00000000-F999-4CF0-8010-F8158B00F1DC}"/>
            </c:ext>
          </c:extLst>
        </c:ser>
        <c:ser>
          <c:idx val="1"/>
          <c:order val="1"/>
          <c:tx>
            <c:strRef>
              <c:f>Kuviot!$AX$7</c:f>
              <c:strCache>
                <c:ptCount val="1"/>
                <c:pt idx="0">
                  <c:v>kunnallisvero 70%</c:v>
                </c:pt>
              </c:strCache>
            </c:strRef>
          </c:tx>
          <c:spPr>
            <a:solidFill>
              <a:srgbClr val="FFFF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Kuviot!$AY$5:$AZ$5</c:f>
              <c:strCache>
                <c:ptCount val="2"/>
                <c:pt idx="0">
                  <c:v>Toimintakate+poistot+rahoituser.(netto)  42 milj. €</c:v>
                </c:pt>
                <c:pt idx="1">
                  <c:v>Rahoitus 39 milj. €</c:v>
                </c:pt>
              </c:strCache>
            </c:strRef>
          </c:cat>
          <c:val>
            <c:numRef>
              <c:f>Kuviot!$AY$7:$AZ$7</c:f>
              <c:numCache>
                <c:formatCode>#,##0</c:formatCode>
                <c:ptCount val="2"/>
                <c:pt idx="1">
                  <c:v>27173.140102300327</c:v>
                </c:pt>
              </c:numCache>
            </c:numRef>
          </c:val>
          <c:extLst>
            <c:ext xmlns:c16="http://schemas.microsoft.com/office/drawing/2014/chart" uri="{C3380CC4-5D6E-409C-BE32-E72D297353CC}">
              <c16:uniqueId val="{00000001-F999-4CF0-8010-F8158B00F1DC}"/>
            </c:ext>
          </c:extLst>
        </c:ser>
        <c:ser>
          <c:idx val="2"/>
          <c:order val="2"/>
          <c:tx>
            <c:strRef>
              <c:f>Kuviot!$AX$8</c:f>
              <c:strCache>
                <c:ptCount val="1"/>
                <c:pt idx="0">
                  <c:v>yhteisövero 4%</c:v>
                </c:pt>
              </c:strCache>
            </c:strRef>
          </c:tx>
          <c:spPr>
            <a:solidFill>
              <a:srgbClr val="CC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Kuviot!$AY$5:$AZ$5</c:f>
              <c:strCache>
                <c:ptCount val="2"/>
                <c:pt idx="0">
                  <c:v>Toimintakate+poistot+rahoituser.(netto)  42 milj. €</c:v>
                </c:pt>
                <c:pt idx="1">
                  <c:v>Rahoitus 39 milj. €</c:v>
                </c:pt>
              </c:strCache>
            </c:strRef>
          </c:cat>
          <c:val>
            <c:numRef>
              <c:f>Kuviot!$AY$8:$AZ$8</c:f>
              <c:numCache>
                <c:formatCode>#,##0</c:formatCode>
                <c:ptCount val="2"/>
                <c:pt idx="1">
                  <c:v>1613.9436470858764</c:v>
                </c:pt>
              </c:numCache>
            </c:numRef>
          </c:val>
          <c:extLst>
            <c:ext xmlns:c16="http://schemas.microsoft.com/office/drawing/2014/chart" uri="{C3380CC4-5D6E-409C-BE32-E72D297353CC}">
              <c16:uniqueId val="{00000002-F999-4CF0-8010-F8158B00F1DC}"/>
            </c:ext>
          </c:extLst>
        </c:ser>
        <c:ser>
          <c:idx val="3"/>
          <c:order val="3"/>
          <c:tx>
            <c:strRef>
              <c:f>Kuviot!$AX$9</c:f>
              <c:strCache>
                <c:ptCount val="1"/>
                <c:pt idx="0">
                  <c:v>kiinteistövero 10%</c:v>
                </c:pt>
              </c:strCache>
            </c:strRef>
          </c:tx>
          <c:spPr>
            <a:solidFill>
              <a:srgbClr val="FF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Kuviot!$AY$5:$AZ$5</c:f>
              <c:strCache>
                <c:ptCount val="2"/>
                <c:pt idx="0">
                  <c:v>Toimintakate+poistot+rahoituser.(netto)  42 milj. €</c:v>
                </c:pt>
                <c:pt idx="1">
                  <c:v>Rahoitus 39 milj. €</c:v>
                </c:pt>
              </c:strCache>
            </c:strRef>
          </c:cat>
          <c:val>
            <c:numRef>
              <c:f>Kuviot!$AY$9:$AZ$9</c:f>
              <c:numCache>
                <c:formatCode>#,##0</c:formatCode>
                <c:ptCount val="2"/>
                <c:pt idx="1">
                  <c:v>3736.6210000000001</c:v>
                </c:pt>
              </c:numCache>
            </c:numRef>
          </c:val>
          <c:extLst>
            <c:ext xmlns:c16="http://schemas.microsoft.com/office/drawing/2014/chart" uri="{C3380CC4-5D6E-409C-BE32-E72D297353CC}">
              <c16:uniqueId val="{00000003-F999-4CF0-8010-F8158B00F1DC}"/>
            </c:ext>
          </c:extLst>
        </c:ser>
        <c:ser>
          <c:idx val="4"/>
          <c:order val="4"/>
          <c:tx>
            <c:strRef>
              <c:f>Kuviot!$AX$10</c:f>
              <c:strCache>
                <c:ptCount val="1"/>
                <c:pt idx="0">
                  <c:v>vos 16%</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F999-4CF0-8010-F8158B00F1D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Kuviot!$AY$5:$AZ$5</c:f>
              <c:strCache>
                <c:ptCount val="2"/>
                <c:pt idx="0">
                  <c:v>Toimintakate+poistot+rahoituser.(netto)  42 milj. €</c:v>
                </c:pt>
                <c:pt idx="1">
                  <c:v>Rahoitus 39 milj. €</c:v>
                </c:pt>
              </c:strCache>
            </c:strRef>
          </c:cat>
          <c:val>
            <c:numRef>
              <c:f>Kuviot!$AY$10:$AZ$10</c:f>
              <c:numCache>
                <c:formatCode>#,##0</c:formatCode>
                <c:ptCount val="2"/>
                <c:pt idx="0" formatCode="0">
                  <c:v>0</c:v>
                </c:pt>
                <c:pt idx="1">
                  <c:v>6196.7097367902024</c:v>
                </c:pt>
              </c:numCache>
            </c:numRef>
          </c:val>
          <c:extLst>
            <c:ext xmlns:c16="http://schemas.microsoft.com/office/drawing/2014/chart" uri="{C3380CC4-5D6E-409C-BE32-E72D297353CC}">
              <c16:uniqueId val="{00000005-F999-4CF0-8010-F8158B00F1DC}"/>
            </c:ext>
          </c:extLst>
        </c:ser>
        <c:ser>
          <c:idx val="7"/>
          <c:order val="5"/>
          <c:tx>
            <c:strRef>
              <c:f>Kuviot!$AX$12</c:f>
              <c:strCache>
                <c:ptCount val="1"/>
                <c:pt idx="0">
                  <c:v>poistot</c:v>
                </c:pt>
              </c:strCache>
            </c:strRef>
          </c:tx>
          <c:spPr>
            <a:solidFill>
              <a:schemeClr val="bg1">
                <a:lumMod val="50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Kuviot!$AY$5:$AZ$5</c:f>
              <c:strCache>
                <c:ptCount val="2"/>
                <c:pt idx="0">
                  <c:v>Toimintakate+poistot+rahoituser.(netto)  42 milj. €</c:v>
                </c:pt>
                <c:pt idx="1">
                  <c:v>Rahoitus 39 milj. €</c:v>
                </c:pt>
              </c:strCache>
            </c:strRef>
          </c:cat>
          <c:val>
            <c:numRef>
              <c:f>Kuviot!$AY$12:$AZ$12</c:f>
              <c:numCache>
                <c:formatCode>General</c:formatCode>
                <c:ptCount val="2"/>
                <c:pt idx="0" formatCode="#,##0">
                  <c:v>0</c:v>
                </c:pt>
              </c:numCache>
            </c:numRef>
          </c:val>
          <c:extLst>
            <c:ext xmlns:c16="http://schemas.microsoft.com/office/drawing/2014/chart" uri="{C3380CC4-5D6E-409C-BE32-E72D297353CC}">
              <c16:uniqueId val="{00000006-F999-4CF0-8010-F8158B00F1DC}"/>
            </c:ext>
          </c:extLst>
        </c:ser>
        <c:ser>
          <c:idx val="5"/>
          <c:order val="6"/>
          <c:tx>
            <c:strRef>
              <c:f>Kuviot!$AX$11</c:f>
              <c:strCache>
                <c:ptCount val="1"/>
              </c:strCache>
            </c:strRef>
          </c:tx>
          <c:spPr>
            <a:solidFill>
              <a:srgbClr val="00B050"/>
            </a:solidFill>
            <a:ln>
              <a:solidFill>
                <a:sysClr val="windowText" lastClr="000000">
                  <a:lumMod val="25000"/>
                  <a:lumOff val="75000"/>
                </a:sysClr>
              </a:solid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F999-4CF0-8010-F8158B00F1D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Kuviot!$AY$5:$AZ$5</c:f>
              <c:strCache>
                <c:ptCount val="2"/>
                <c:pt idx="0">
                  <c:v>Toimintakate+poistot+rahoituser.(netto)  42 milj. €</c:v>
                </c:pt>
                <c:pt idx="1">
                  <c:v>Rahoitus 39 milj. €</c:v>
                </c:pt>
              </c:strCache>
            </c:strRef>
          </c:cat>
          <c:val>
            <c:numRef>
              <c:f>Kuviot!$AY$11:$AZ$11</c:f>
              <c:numCache>
                <c:formatCode>#,##0</c:formatCode>
                <c:ptCount val="2"/>
                <c:pt idx="0">
                  <c:v>68.978320000000011</c:v>
                </c:pt>
                <c:pt idx="1">
                  <c:v>0</c:v>
                </c:pt>
              </c:numCache>
            </c:numRef>
          </c:val>
          <c:extLst>
            <c:ext xmlns:c16="http://schemas.microsoft.com/office/drawing/2014/chart" uri="{C3380CC4-5D6E-409C-BE32-E72D297353CC}">
              <c16:uniqueId val="{00000008-F999-4CF0-8010-F8158B00F1DC}"/>
            </c:ext>
          </c:extLst>
        </c:ser>
        <c:ser>
          <c:idx val="6"/>
          <c:order val="7"/>
          <c:tx>
            <c:strRef>
              <c:f>Kuviot!$AX$14</c:f>
              <c:strCache>
                <c:ptCount val="1"/>
                <c:pt idx="0">
                  <c:v>poistuvat</c:v>
                </c:pt>
              </c:strCache>
            </c:strRef>
          </c:tx>
          <c:spPr>
            <a:noFill/>
            <a:ln>
              <a:solidFill>
                <a:schemeClr val="bg1">
                  <a:lumMod val="65000"/>
                </a:schemeClr>
              </a:solidFill>
            </a:ln>
            <a:effectLst>
              <a:outerShdw blurRad="40000" dist="23000" dir="5400000" rotWithShape="0">
                <a:srgbClr val="000000">
                  <a:alpha val="35000"/>
                </a:srgbClr>
              </a:outerShdw>
            </a:effectLst>
          </c:spPr>
          <c:invertIfNegative val="0"/>
          <c:dPt>
            <c:idx val="0"/>
            <c:invertIfNegative val="0"/>
            <c:bubble3D val="0"/>
            <c:spPr>
              <a:noFill/>
              <a:ln w="12700">
                <a:solidFill>
                  <a:schemeClr val="bg1">
                    <a:lumMod val="65000"/>
                  </a:schemeClr>
                </a:solidFill>
                <a:prstDash val="dashDot"/>
              </a:ln>
              <a:effectLst>
                <a:softEdge rad="0"/>
              </a:effectLst>
            </c:spPr>
            <c:extLst>
              <c:ext xmlns:c16="http://schemas.microsoft.com/office/drawing/2014/chart" uri="{C3380CC4-5D6E-409C-BE32-E72D297353CC}">
                <c16:uniqueId val="{00000009-F999-4CF0-8010-F8158B00F1DC}"/>
              </c:ext>
            </c:extLst>
          </c:dPt>
          <c:dPt>
            <c:idx val="1"/>
            <c:invertIfNegative val="0"/>
            <c:bubble3D val="0"/>
            <c:spPr>
              <a:noFill/>
              <a:ln w="12700">
                <a:solidFill>
                  <a:schemeClr val="bg1">
                    <a:lumMod val="65000"/>
                  </a:schemeClr>
                </a:solidFill>
                <a:prstDash val="dashDot"/>
              </a:ln>
              <a:effectLst>
                <a:glow>
                  <a:schemeClr val="accent1"/>
                </a:glow>
                <a:outerShdw blurRad="40000" dist="23000" dir="5400000" rotWithShape="0">
                  <a:srgbClr val="000000">
                    <a:alpha val="35000"/>
                  </a:srgbClr>
                </a:outerShdw>
                <a:softEdge rad="0"/>
              </a:effectLst>
            </c:spPr>
            <c:extLst>
              <c:ext xmlns:c16="http://schemas.microsoft.com/office/drawing/2014/chart" uri="{C3380CC4-5D6E-409C-BE32-E72D297353CC}">
                <c16:uniqueId val="{0000000A-F999-4CF0-8010-F8158B00F1DC}"/>
              </c:ext>
            </c:extLst>
          </c:dPt>
          <c:cat>
            <c:strRef>
              <c:f>Kuviot!$AY$5:$AZ$5</c:f>
              <c:strCache>
                <c:ptCount val="2"/>
                <c:pt idx="0">
                  <c:v>Toimintakate+poistot+rahoituser.(netto)  42 milj. €</c:v>
                </c:pt>
                <c:pt idx="1">
                  <c:v>Rahoitus 39 milj. €</c:v>
                </c:pt>
              </c:strCache>
            </c:strRef>
          </c:cat>
          <c:val>
            <c:numRef>
              <c:f>Kuviot!$AY$14:$AZ$14</c:f>
              <c:numCache>
                <c:formatCode>#,##0</c:formatCode>
                <c:ptCount val="2"/>
                <c:pt idx="0">
                  <c:v>65278.402626806223</c:v>
                </c:pt>
                <c:pt idx="1">
                  <c:v>65429.336519113465</c:v>
                </c:pt>
              </c:numCache>
            </c:numRef>
          </c:val>
          <c:extLst>
            <c:ext xmlns:c16="http://schemas.microsoft.com/office/drawing/2014/chart" uri="{C3380CC4-5D6E-409C-BE32-E72D297353CC}">
              <c16:uniqueId val="{0000000B-F999-4CF0-8010-F8158B00F1DC}"/>
            </c:ext>
          </c:extLst>
        </c:ser>
        <c:dLbls>
          <c:showLegendKey val="0"/>
          <c:showVal val="0"/>
          <c:showCatName val="0"/>
          <c:showSerName val="0"/>
          <c:showPercent val="0"/>
          <c:showBubbleSize val="0"/>
        </c:dLbls>
        <c:gapWidth val="40"/>
        <c:overlap val="100"/>
        <c:axId val="139496800"/>
        <c:axId val="1"/>
      </c:barChart>
      <c:catAx>
        <c:axId val="1394968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i-FI"/>
          </a:p>
        </c:txPr>
        <c:crossAx val="1"/>
        <c:crosses val="autoZero"/>
        <c:auto val="1"/>
        <c:lblAlgn val="ctr"/>
        <c:lblOffset val="100"/>
        <c:noMultiLvlLbl val="0"/>
      </c:catAx>
      <c:valAx>
        <c:axId val="1"/>
        <c:scaling>
          <c:orientation val="minMax"/>
        </c:scaling>
        <c:delete val="1"/>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crossAx val="139496800"/>
        <c:crosses val="autoZero"/>
        <c:crossBetween val="between"/>
      </c:valAx>
      <c:spPr>
        <a:noFill/>
        <a:ln w="25400">
          <a:noFill/>
        </a:ln>
      </c:spPr>
    </c:plotArea>
    <c:plotVisOnly val="1"/>
    <c:dispBlanksAs val="gap"/>
    <c:showDLblsOverMax val="0"/>
  </c:chart>
  <c:spPr>
    <a:solidFill>
      <a:schemeClr val="bg1"/>
    </a:solidFill>
    <a:ln w="12700" cap="flat" cmpd="sng" algn="ctr">
      <a:solidFill>
        <a:schemeClr val="bg1">
          <a:lumMod val="85000"/>
        </a:schemeClr>
      </a:solidFill>
      <a:round/>
    </a:ln>
    <a:effectLst/>
  </c:spPr>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Kuviot!$BA$6</c:f>
              <c:strCache>
                <c:ptCount val="1"/>
                <c:pt idx="0">
                  <c:v>toimintakate</c:v>
                </c:pt>
              </c:strCache>
            </c:strRef>
          </c:tx>
          <c:spPr>
            <a:solidFill>
              <a:schemeClr val="bg1">
                <a:lumMod val="75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Kuviot!$BB$5:$BC$5</c:f>
              <c:strCache>
                <c:ptCount val="2"/>
                <c:pt idx="0">
                  <c:v>Toimintakate+poistot+rahoituser.(netto)  42 milj. €</c:v>
                </c:pt>
                <c:pt idx="1">
                  <c:v>Rahoitus 39 milj. €</c:v>
                </c:pt>
              </c:strCache>
            </c:strRef>
          </c:cat>
          <c:val>
            <c:numRef>
              <c:f>Kuviot!$BB$6:$BC$6</c:f>
              <c:numCache>
                <c:formatCode>General</c:formatCode>
                <c:ptCount val="2"/>
                <c:pt idx="0" formatCode="#,##0">
                  <c:v>41608.758283193791</c:v>
                </c:pt>
              </c:numCache>
            </c:numRef>
          </c:val>
          <c:extLst>
            <c:ext xmlns:c16="http://schemas.microsoft.com/office/drawing/2014/chart" uri="{C3380CC4-5D6E-409C-BE32-E72D297353CC}">
              <c16:uniqueId val="{00000000-7758-433E-8692-8F80FB091392}"/>
            </c:ext>
          </c:extLst>
        </c:ser>
        <c:ser>
          <c:idx val="1"/>
          <c:order val="1"/>
          <c:tx>
            <c:strRef>
              <c:f>Kuviot!$BA$7</c:f>
              <c:strCache>
                <c:ptCount val="1"/>
                <c:pt idx="0">
                  <c:v>kunnallisvero 70%</c:v>
                </c:pt>
              </c:strCache>
            </c:strRef>
          </c:tx>
          <c:spPr>
            <a:solidFill>
              <a:srgbClr val="FFFF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Kuviot!$BB$5:$BC$5</c:f>
              <c:strCache>
                <c:ptCount val="2"/>
                <c:pt idx="0">
                  <c:v>Toimintakate+poistot+rahoituser.(netto)  42 milj. €</c:v>
                </c:pt>
                <c:pt idx="1">
                  <c:v>Rahoitus 39 milj. €</c:v>
                </c:pt>
              </c:strCache>
            </c:strRef>
          </c:cat>
          <c:val>
            <c:numRef>
              <c:f>Kuviot!$BB$7:$BC$7</c:f>
              <c:numCache>
                <c:formatCode>#,##0</c:formatCode>
                <c:ptCount val="2"/>
                <c:pt idx="1">
                  <c:v>27173.140102300327</c:v>
                </c:pt>
              </c:numCache>
            </c:numRef>
          </c:val>
          <c:extLst>
            <c:ext xmlns:c16="http://schemas.microsoft.com/office/drawing/2014/chart" uri="{C3380CC4-5D6E-409C-BE32-E72D297353CC}">
              <c16:uniqueId val="{00000001-7758-433E-8692-8F80FB091392}"/>
            </c:ext>
          </c:extLst>
        </c:ser>
        <c:ser>
          <c:idx val="2"/>
          <c:order val="2"/>
          <c:tx>
            <c:strRef>
              <c:f>Kuviot!$BA$8</c:f>
              <c:strCache>
                <c:ptCount val="1"/>
                <c:pt idx="0">
                  <c:v>yhteisövero 4%</c:v>
                </c:pt>
              </c:strCache>
            </c:strRef>
          </c:tx>
          <c:spPr>
            <a:solidFill>
              <a:srgbClr val="CC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Kuviot!$BB$5:$BC$5</c:f>
              <c:strCache>
                <c:ptCount val="2"/>
                <c:pt idx="0">
                  <c:v>Toimintakate+poistot+rahoituser.(netto)  42 milj. €</c:v>
                </c:pt>
                <c:pt idx="1">
                  <c:v>Rahoitus 39 milj. €</c:v>
                </c:pt>
              </c:strCache>
            </c:strRef>
          </c:cat>
          <c:val>
            <c:numRef>
              <c:f>Kuviot!$BB$8:$BC$8</c:f>
              <c:numCache>
                <c:formatCode>#,##0</c:formatCode>
                <c:ptCount val="2"/>
                <c:pt idx="1">
                  <c:v>1613.9436470858764</c:v>
                </c:pt>
              </c:numCache>
            </c:numRef>
          </c:val>
          <c:extLst>
            <c:ext xmlns:c16="http://schemas.microsoft.com/office/drawing/2014/chart" uri="{C3380CC4-5D6E-409C-BE32-E72D297353CC}">
              <c16:uniqueId val="{00000002-7758-433E-8692-8F80FB091392}"/>
            </c:ext>
          </c:extLst>
        </c:ser>
        <c:ser>
          <c:idx val="3"/>
          <c:order val="3"/>
          <c:tx>
            <c:strRef>
              <c:f>Kuviot!$BA$9</c:f>
              <c:strCache>
                <c:ptCount val="1"/>
                <c:pt idx="0">
                  <c:v>kiinteistövero 10%</c:v>
                </c:pt>
              </c:strCache>
            </c:strRef>
          </c:tx>
          <c:spPr>
            <a:solidFill>
              <a:srgbClr val="FF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Kuviot!$BB$5:$BC$5</c:f>
              <c:strCache>
                <c:ptCount val="2"/>
                <c:pt idx="0">
                  <c:v>Toimintakate+poistot+rahoituser.(netto)  42 milj. €</c:v>
                </c:pt>
                <c:pt idx="1">
                  <c:v>Rahoitus 39 milj. €</c:v>
                </c:pt>
              </c:strCache>
            </c:strRef>
          </c:cat>
          <c:val>
            <c:numRef>
              <c:f>Kuviot!$BB$9:$BC$9</c:f>
              <c:numCache>
                <c:formatCode>#,##0</c:formatCode>
                <c:ptCount val="2"/>
                <c:pt idx="1">
                  <c:v>3736.6210000000001</c:v>
                </c:pt>
              </c:numCache>
            </c:numRef>
          </c:val>
          <c:extLst>
            <c:ext xmlns:c16="http://schemas.microsoft.com/office/drawing/2014/chart" uri="{C3380CC4-5D6E-409C-BE32-E72D297353CC}">
              <c16:uniqueId val="{00000003-7758-433E-8692-8F80FB091392}"/>
            </c:ext>
          </c:extLst>
        </c:ser>
        <c:ser>
          <c:idx val="4"/>
          <c:order val="4"/>
          <c:tx>
            <c:strRef>
              <c:f>Kuviot!$BA$10</c:f>
              <c:strCache>
                <c:ptCount val="1"/>
                <c:pt idx="0">
                  <c:v>vos 17%</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7758-433E-8692-8F80FB09139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Kuviot!$BB$5:$BC$5</c:f>
              <c:strCache>
                <c:ptCount val="2"/>
                <c:pt idx="0">
                  <c:v>Toimintakate+poistot+rahoituser.(netto)  42 milj. €</c:v>
                </c:pt>
                <c:pt idx="1">
                  <c:v>Rahoitus 39 milj. €</c:v>
                </c:pt>
              </c:strCache>
            </c:strRef>
          </c:cat>
          <c:val>
            <c:numRef>
              <c:f>Kuviot!$BB$10:$BC$10</c:f>
              <c:numCache>
                <c:formatCode>#,##0</c:formatCode>
                <c:ptCount val="2"/>
                <c:pt idx="0" formatCode="0">
                  <c:v>0</c:v>
                </c:pt>
                <c:pt idx="1">
                  <c:v>6443.8047367902027</c:v>
                </c:pt>
              </c:numCache>
            </c:numRef>
          </c:val>
          <c:extLst>
            <c:ext xmlns:c16="http://schemas.microsoft.com/office/drawing/2014/chart" uri="{C3380CC4-5D6E-409C-BE32-E72D297353CC}">
              <c16:uniqueId val="{00000005-7758-433E-8692-8F80FB091392}"/>
            </c:ext>
          </c:extLst>
        </c:ser>
        <c:ser>
          <c:idx val="5"/>
          <c:order val="5"/>
          <c:tx>
            <c:strRef>
              <c:f>Kuviot!$BA$11</c:f>
              <c:strCache>
                <c:ptCount val="1"/>
              </c:strCache>
            </c:strRef>
          </c:tx>
          <c:spPr>
            <a:solidFill>
              <a:srgbClr val="00B050"/>
            </a:solidFill>
            <a:ln>
              <a:solidFill>
                <a:sysClr val="windowText" lastClr="000000">
                  <a:lumMod val="25000"/>
                  <a:lumOff val="75000"/>
                </a:sysClr>
              </a:solid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7758-433E-8692-8F80FB09139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Kuviot!$BB$5:$BC$5</c:f>
              <c:strCache>
                <c:ptCount val="2"/>
                <c:pt idx="0">
                  <c:v>Toimintakate+poistot+rahoituser.(netto)  42 milj. €</c:v>
                </c:pt>
                <c:pt idx="1">
                  <c:v>Rahoitus 39 milj. €</c:v>
                </c:pt>
              </c:strCache>
            </c:strRef>
          </c:cat>
          <c:val>
            <c:numRef>
              <c:f>Kuviot!$BB$11:$BC$11</c:f>
              <c:numCache>
                <c:formatCode>#,##0</c:formatCode>
                <c:ptCount val="2"/>
                <c:pt idx="0">
                  <c:v>68.978320000000011</c:v>
                </c:pt>
                <c:pt idx="1">
                  <c:v>0</c:v>
                </c:pt>
              </c:numCache>
            </c:numRef>
          </c:val>
          <c:extLst>
            <c:ext xmlns:c16="http://schemas.microsoft.com/office/drawing/2014/chart" uri="{C3380CC4-5D6E-409C-BE32-E72D297353CC}">
              <c16:uniqueId val="{00000007-7758-433E-8692-8F80FB091392}"/>
            </c:ext>
          </c:extLst>
        </c:ser>
        <c:ser>
          <c:idx val="7"/>
          <c:order val="6"/>
          <c:tx>
            <c:strRef>
              <c:f>Kuviot!$BA$12</c:f>
              <c:strCache>
                <c:ptCount val="1"/>
                <c:pt idx="0">
                  <c:v>poistot</c:v>
                </c:pt>
              </c:strCache>
            </c:strRef>
          </c:tx>
          <c:spPr>
            <a:solidFill>
              <a:schemeClr val="bg1">
                <a:lumMod val="50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Kuviot!$BB$5:$BC$5</c:f>
              <c:strCache>
                <c:ptCount val="2"/>
                <c:pt idx="0">
                  <c:v>Toimintakate+poistot+rahoituser.(netto)  42 milj. €</c:v>
                </c:pt>
                <c:pt idx="1">
                  <c:v>Rahoitus 39 milj. €</c:v>
                </c:pt>
              </c:strCache>
            </c:strRef>
          </c:cat>
          <c:val>
            <c:numRef>
              <c:f>Kuviot!$BB$12:$BC$12</c:f>
              <c:numCache>
                <c:formatCode>General</c:formatCode>
                <c:ptCount val="2"/>
                <c:pt idx="0" formatCode="#,##0">
                  <c:v>0</c:v>
                </c:pt>
              </c:numCache>
            </c:numRef>
          </c:val>
          <c:extLst>
            <c:ext xmlns:c16="http://schemas.microsoft.com/office/drawing/2014/chart" uri="{C3380CC4-5D6E-409C-BE32-E72D297353CC}">
              <c16:uniqueId val="{00000008-7758-433E-8692-8F80FB091392}"/>
            </c:ext>
          </c:extLst>
        </c:ser>
        <c:ser>
          <c:idx val="6"/>
          <c:order val="7"/>
          <c:tx>
            <c:strRef>
              <c:f>Kuviot!$BA$14</c:f>
              <c:strCache>
                <c:ptCount val="1"/>
                <c:pt idx="0">
                  <c:v>poistuvat</c:v>
                </c:pt>
              </c:strCache>
            </c:strRef>
          </c:tx>
          <c:spPr>
            <a:noFill/>
            <a:ln>
              <a:solidFill>
                <a:schemeClr val="bg1">
                  <a:lumMod val="65000"/>
                </a:schemeClr>
              </a:solidFill>
            </a:ln>
            <a:effectLst>
              <a:outerShdw blurRad="40000" dist="23000" dir="5400000" rotWithShape="0">
                <a:srgbClr val="000000">
                  <a:alpha val="35000"/>
                </a:srgbClr>
              </a:outerShdw>
            </a:effectLst>
          </c:spPr>
          <c:invertIfNegative val="0"/>
          <c:dPt>
            <c:idx val="0"/>
            <c:invertIfNegative val="0"/>
            <c:bubble3D val="0"/>
            <c:spPr>
              <a:noFill/>
              <a:ln w="12700">
                <a:solidFill>
                  <a:schemeClr val="bg1">
                    <a:lumMod val="65000"/>
                  </a:schemeClr>
                </a:solidFill>
                <a:prstDash val="dashDot"/>
              </a:ln>
              <a:effectLst>
                <a:softEdge rad="0"/>
              </a:effectLst>
            </c:spPr>
            <c:extLst>
              <c:ext xmlns:c16="http://schemas.microsoft.com/office/drawing/2014/chart" uri="{C3380CC4-5D6E-409C-BE32-E72D297353CC}">
                <c16:uniqueId val="{00000009-7758-433E-8692-8F80FB091392}"/>
              </c:ext>
            </c:extLst>
          </c:dPt>
          <c:dPt>
            <c:idx val="1"/>
            <c:invertIfNegative val="0"/>
            <c:bubble3D val="0"/>
            <c:spPr>
              <a:noFill/>
              <a:ln w="12700">
                <a:solidFill>
                  <a:schemeClr val="bg1">
                    <a:lumMod val="65000"/>
                  </a:schemeClr>
                </a:solidFill>
                <a:prstDash val="dashDot"/>
              </a:ln>
              <a:effectLst>
                <a:glow>
                  <a:schemeClr val="accent1"/>
                </a:glow>
                <a:outerShdw blurRad="40000" dist="23000" dir="5400000" rotWithShape="0">
                  <a:srgbClr val="000000">
                    <a:alpha val="35000"/>
                  </a:srgbClr>
                </a:outerShdw>
                <a:softEdge rad="0"/>
              </a:effectLst>
            </c:spPr>
            <c:extLst>
              <c:ext xmlns:c16="http://schemas.microsoft.com/office/drawing/2014/chart" uri="{C3380CC4-5D6E-409C-BE32-E72D297353CC}">
                <c16:uniqueId val="{0000000A-7758-433E-8692-8F80FB091392}"/>
              </c:ext>
            </c:extLst>
          </c:dPt>
          <c:cat>
            <c:strRef>
              <c:f>Kuviot!$BB$5:$BC$5</c:f>
              <c:strCache>
                <c:ptCount val="2"/>
                <c:pt idx="0">
                  <c:v>Toimintakate+poistot+rahoituser.(netto)  42 milj. €</c:v>
                </c:pt>
                <c:pt idx="1">
                  <c:v>Rahoitus 39 milj. €</c:v>
                </c:pt>
              </c:strCache>
            </c:strRef>
          </c:cat>
          <c:val>
            <c:numRef>
              <c:f>Kuviot!$BB$14:$BC$14</c:f>
              <c:numCache>
                <c:formatCode>#,##0</c:formatCode>
                <c:ptCount val="2"/>
                <c:pt idx="0">
                  <c:v>65278.402626806223</c:v>
                </c:pt>
                <c:pt idx="1">
                  <c:v>65182.241519113464</c:v>
                </c:pt>
              </c:numCache>
            </c:numRef>
          </c:val>
          <c:extLst>
            <c:ext xmlns:c16="http://schemas.microsoft.com/office/drawing/2014/chart" uri="{C3380CC4-5D6E-409C-BE32-E72D297353CC}">
              <c16:uniqueId val="{0000000B-7758-433E-8692-8F80FB091392}"/>
            </c:ext>
          </c:extLst>
        </c:ser>
        <c:dLbls>
          <c:showLegendKey val="0"/>
          <c:showVal val="0"/>
          <c:showCatName val="0"/>
          <c:showSerName val="0"/>
          <c:showPercent val="0"/>
          <c:showBubbleSize val="0"/>
        </c:dLbls>
        <c:gapWidth val="40"/>
        <c:overlap val="100"/>
        <c:axId val="139497632"/>
        <c:axId val="1"/>
      </c:barChart>
      <c:catAx>
        <c:axId val="13949763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i-FI"/>
          </a:p>
        </c:txPr>
        <c:crossAx val="1"/>
        <c:crosses val="autoZero"/>
        <c:auto val="1"/>
        <c:lblAlgn val="ctr"/>
        <c:lblOffset val="100"/>
        <c:noMultiLvlLbl val="0"/>
      </c:catAx>
      <c:valAx>
        <c:axId val="1"/>
        <c:scaling>
          <c:orientation val="minMax"/>
        </c:scaling>
        <c:delete val="1"/>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crossAx val="139497632"/>
        <c:crosses val="autoZero"/>
        <c:crossBetween val="between"/>
      </c:valAx>
      <c:spPr>
        <a:noFill/>
        <a:ln w="25400">
          <a:noFill/>
        </a:ln>
      </c:spPr>
    </c:plotArea>
    <c:plotVisOnly val="1"/>
    <c:dispBlanksAs val="gap"/>
    <c:showDLblsOverMax val="0"/>
  </c:chart>
  <c:spPr>
    <a:solidFill>
      <a:schemeClr val="bg1"/>
    </a:solidFill>
    <a:ln w="12700" cap="flat" cmpd="sng" algn="ctr">
      <a:solidFill>
        <a:schemeClr val="bg1">
          <a:lumMod val="85000"/>
        </a:schemeClr>
      </a:solidFill>
      <a:round/>
    </a:ln>
    <a:effectLst/>
  </c:spPr>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Kuviot!$BD$6</c:f>
              <c:strCache>
                <c:ptCount val="1"/>
                <c:pt idx="0">
                  <c:v>toimintakate</c:v>
                </c:pt>
              </c:strCache>
            </c:strRef>
          </c:tx>
          <c:spPr>
            <a:solidFill>
              <a:schemeClr val="bg1">
                <a:lumMod val="75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Kuviot!$BE$5:$BF$5</c:f>
              <c:strCache>
                <c:ptCount val="2"/>
                <c:pt idx="0">
                  <c:v>Toimintakate+poistot+rahoituser.(netto)  42 milj. €</c:v>
                </c:pt>
                <c:pt idx="1">
                  <c:v>Rahoitus 39 milj. €</c:v>
                </c:pt>
              </c:strCache>
            </c:strRef>
          </c:cat>
          <c:val>
            <c:numRef>
              <c:f>Kuviot!$BE$6:$BF$6</c:f>
              <c:numCache>
                <c:formatCode>General</c:formatCode>
                <c:ptCount val="2"/>
                <c:pt idx="0" formatCode="#,##0">
                  <c:v>41608.758283193791</c:v>
                </c:pt>
              </c:numCache>
            </c:numRef>
          </c:val>
          <c:extLst>
            <c:ext xmlns:c16="http://schemas.microsoft.com/office/drawing/2014/chart" uri="{C3380CC4-5D6E-409C-BE32-E72D297353CC}">
              <c16:uniqueId val="{00000000-A769-41B8-B2F4-CA89103C935A}"/>
            </c:ext>
          </c:extLst>
        </c:ser>
        <c:ser>
          <c:idx val="1"/>
          <c:order val="1"/>
          <c:tx>
            <c:strRef>
              <c:f>Kuviot!$BD$7</c:f>
              <c:strCache>
                <c:ptCount val="1"/>
                <c:pt idx="0">
                  <c:v>kunnallisvero 69%</c:v>
                </c:pt>
              </c:strCache>
            </c:strRef>
          </c:tx>
          <c:spPr>
            <a:solidFill>
              <a:srgbClr val="FFFF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Kuviot!$BE$5:$BF$5</c:f>
              <c:strCache>
                <c:ptCount val="2"/>
                <c:pt idx="0">
                  <c:v>Toimintakate+poistot+rahoituser.(netto)  42 milj. €</c:v>
                </c:pt>
                <c:pt idx="1">
                  <c:v>Rahoitus 39 milj. €</c:v>
                </c:pt>
              </c:strCache>
            </c:strRef>
          </c:cat>
          <c:val>
            <c:numRef>
              <c:f>Kuviot!$BE$7:$BF$7</c:f>
              <c:numCache>
                <c:formatCode>#,##0</c:formatCode>
                <c:ptCount val="2"/>
                <c:pt idx="1">
                  <c:v>27173.140102300327</c:v>
                </c:pt>
              </c:numCache>
            </c:numRef>
          </c:val>
          <c:extLst>
            <c:ext xmlns:c16="http://schemas.microsoft.com/office/drawing/2014/chart" uri="{C3380CC4-5D6E-409C-BE32-E72D297353CC}">
              <c16:uniqueId val="{00000001-A769-41B8-B2F4-CA89103C935A}"/>
            </c:ext>
          </c:extLst>
        </c:ser>
        <c:ser>
          <c:idx val="2"/>
          <c:order val="2"/>
          <c:tx>
            <c:strRef>
              <c:f>Kuviot!$BD$8</c:f>
              <c:strCache>
                <c:ptCount val="1"/>
                <c:pt idx="0">
                  <c:v>yhteisövero 4%</c:v>
                </c:pt>
              </c:strCache>
            </c:strRef>
          </c:tx>
          <c:spPr>
            <a:solidFill>
              <a:srgbClr val="CC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Kuviot!$BE$5:$BF$5</c:f>
              <c:strCache>
                <c:ptCount val="2"/>
                <c:pt idx="0">
                  <c:v>Toimintakate+poistot+rahoituser.(netto)  42 milj. €</c:v>
                </c:pt>
                <c:pt idx="1">
                  <c:v>Rahoitus 39 milj. €</c:v>
                </c:pt>
              </c:strCache>
            </c:strRef>
          </c:cat>
          <c:val>
            <c:numRef>
              <c:f>Kuviot!$BE$8:$BF$8</c:f>
              <c:numCache>
                <c:formatCode>#,##0</c:formatCode>
                <c:ptCount val="2"/>
                <c:pt idx="1">
                  <c:v>1613.9436470858764</c:v>
                </c:pt>
              </c:numCache>
            </c:numRef>
          </c:val>
          <c:extLst>
            <c:ext xmlns:c16="http://schemas.microsoft.com/office/drawing/2014/chart" uri="{C3380CC4-5D6E-409C-BE32-E72D297353CC}">
              <c16:uniqueId val="{00000002-A769-41B8-B2F4-CA89103C935A}"/>
            </c:ext>
          </c:extLst>
        </c:ser>
        <c:ser>
          <c:idx val="3"/>
          <c:order val="3"/>
          <c:tx>
            <c:strRef>
              <c:f>Kuviot!$BD$9</c:f>
              <c:strCache>
                <c:ptCount val="1"/>
                <c:pt idx="0">
                  <c:v>kiinteistövero 9%</c:v>
                </c:pt>
              </c:strCache>
            </c:strRef>
          </c:tx>
          <c:spPr>
            <a:solidFill>
              <a:srgbClr val="FF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Kuviot!$BE$5:$BF$5</c:f>
              <c:strCache>
                <c:ptCount val="2"/>
                <c:pt idx="0">
                  <c:v>Toimintakate+poistot+rahoituser.(netto)  42 milj. €</c:v>
                </c:pt>
                <c:pt idx="1">
                  <c:v>Rahoitus 39 milj. €</c:v>
                </c:pt>
              </c:strCache>
            </c:strRef>
          </c:cat>
          <c:val>
            <c:numRef>
              <c:f>Kuviot!$BE$9:$BF$9</c:f>
              <c:numCache>
                <c:formatCode>#,##0</c:formatCode>
                <c:ptCount val="2"/>
                <c:pt idx="1">
                  <c:v>3736.6210000000001</c:v>
                </c:pt>
              </c:numCache>
            </c:numRef>
          </c:val>
          <c:extLst>
            <c:ext xmlns:c16="http://schemas.microsoft.com/office/drawing/2014/chart" uri="{C3380CC4-5D6E-409C-BE32-E72D297353CC}">
              <c16:uniqueId val="{00000003-A769-41B8-B2F4-CA89103C935A}"/>
            </c:ext>
          </c:extLst>
        </c:ser>
        <c:ser>
          <c:idx val="4"/>
          <c:order val="4"/>
          <c:tx>
            <c:strRef>
              <c:f>Kuviot!$BD$10</c:f>
              <c:strCache>
                <c:ptCount val="1"/>
                <c:pt idx="0">
                  <c:v>vos 18%</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A769-41B8-B2F4-CA89103C935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Kuviot!$BE$5:$BF$5</c:f>
              <c:strCache>
                <c:ptCount val="2"/>
                <c:pt idx="0">
                  <c:v>Toimintakate+poistot+rahoituser.(netto)  42 milj. €</c:v>
                </c:pt>
                <c:pt idx="1">
                  <c:v>Rahoitus 39 milj. €</c:v>
                </c:pt>
              </c:strCache>
            </c:strRef>
          </c:cat>
          <c:val>
            <c:numRef>
              <c:f>Kuviot!$BE$10:$BF$10</c:f>
              <c:numCache>
                <c:formatCode>#,##0</c:formatCode>
                <c:ptCount val="2"/>
                <c:pt idx="0" formatCode="0">
                  <c:v>0</c:v>
                </c:pt>
                <c:pt idx="1">
                  <c:v>6930.6096142657489</c:v>
                </c:pt>
              </c:numCache>
            </c:numRef>
          </c:val>
          <c:extLst>
            <c:ext xmlns:c16="http://schemas.microsoft.com/office/drawing/2014/chart" uri="{C3380CC4-5D6E-409C-BE32-E72D297353CC}">
              <c16:uniqueId val="{00000005-A769-41B8-B2F4-CA89103C935A}"/>
            </c:ext>
          </c:extLst>
        </c:ser>
        <c:ser>
          <c:idx val="5"/>
          <c:order val="5"/>
          <c:tx>
            <c:strRef>
              <c:f>Kuviot!$BD$11</c:f>
              <c:strCache>
                <c:ptCount val="1"/>
              </c:strCache>
            </c:strRef>
          </c:tx>
          <c:spPr>
            <a:solidFill>
              <a:srgbClr val="00B050"/>
            </a:solidFill>
            <a:ln>
              <a:solidFill>
                <a:sysClr val="windowText" lastClr="000000">
                  <a:lumMod val="25000"/>
                  <a:lumOff val="75000"/>
                </a:sysClr>
              </a:solid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A769-41B8-B2F4-CA89103C935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Kuviot!$BE$5:$BF$5</c:f>
              <c:strCache>
                <c:ptCount val="2"/>
                <c:pt idx="0">
                  <c:v>Toimintakate+poistot+rahoituser.(netto)  42 milj. €</c:v>
                </c:pt>
                <c:pt idx="1">
                  <c:v>Rahoitus 39 milj. €</c:v>
                </c:pt>
              </c:strCache>
            </c:strRef>
          </c:cat>
          <c:val>
            <c:numRef>
              <c:f>Kuviot!$BE$11:$BF$11</c:f>
              <c:numCache>
                <c:formatCode>#,##0</c:formatCode>
                <c:ptCount val="2"/>
                <c:pt idx="0">
                  <c:v>68.978320000000011</c:v>
                </c:pt>
                <c:pt idx="1">
                  <c:v>0</c:v>
                </c:pt>
              </c:numCache>
            </c:numRef>
          </c:val>
          <c:extLst>
            <c:ext xmlns:c16="http://schemas.microsoft.com/office/drawing/2014/chart" uri="{C3380CC4-5D6E-409C-BE32-E72D297353CC}">
              <c16:uniqueId val="{00000007-A769-41B8-B2F4-CA89103C935A}"/>
            </c:ext>
          </c:extLst>
        </c:ser>
        <c:ser>
          <c:idx val="7"/>
          <c:order val="6"/>
          <c:tx>
            <c:strRef>
              <c:f>Kuviot!$BD$12</c:f>
              <c:strCache>
                <c:ptCount val="1"/>
                <c:pt idx="0">
                  <c:v>poistot</c:v>
                </c:pt>
              </c:strCache>
            </c:strRef>
          </c:tx>
          <c:spPr>
            <a:solidFill>
              <a:schemeClr val="bg1">
                <a:lumMod val="50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Kuviot!$BE$5:$BF$5</c:f>
              <c:strCache>
                <c:ptCount val="2"/>
                <c:pt idx="0">
                  <c:v>Toimintakate+poistot+rahoituser.(netto)  42 milj. €</c:v>
                </c:pt>
                <c:pt idx="1">
                  <c:v>Rahoitus 39 milj. €</c:v>
                </c:pt>
              </c:strCache>
            </c:strRef>
          </c:cat>
          <c:val>
            <c:numRef>
              <c:f>Kuviot!$BE$12:$BF$12</c:f>
              <c:numCache>
                <c:formatCode>General</c:formatCode>
                <c:ptCount val="2"/>
                <c:pt idx="0" formatCode="#,##0">
                  <c:v>0</c:v>
                </c:pt>
              </c:numCache>
            </c:numRef>
          </c:val>
          <c:extLst>
            <c:ext xmlns:c16="http://schemas.microsoft.com/office/drawing/2014/chart" uri="{C3380CC4-5D6E-409C-BE32-E72D297353CC}">
              <c16:uniqueId val="{00000008-A769-41B8-B2F4-CA89103C935A}"/>
            </c:ext>
          </c:extLst>
        </c:ser>
        <c:ser>
          <c:idx val="6"/>
          <c:order val="7"/>
          <c:tx>
            <c:strRef>
              <c:f>Kuviot!$BD$14</c:f>
              <c:strCache>
                <c:ptCount val="1"/>
                <c:pt idx="0">
                  <c:v>poistuvat</c:v>
                </c:pt>
              </c:strCache>
            </c:strRef>
          </c:tx>
          <c:spPr>
            <a:noFill/>
            <a:ln>
              <a:solidFill>
                <a:schemeClr val="bg1">
                  <a:lumMod val="65000"/>
                </a:schemeClr>
              </a:solidFill>
            </a:ln>
            <a:effectLst>
              <a:outerShdw blurRad="40000" dist="23000" dir="5400000" rotWithShape="0">
                <a:srgbClr val="000000">
                  <a:alpha val="35000"/>
                </a:srgbClr>
              </a:outerShdw>
            </a:effectLst>
          </c:spPr>
          <c:invertIfNegative val="0"/>
          <c:dPt>
            <c:idx val="0"/>
            <c:invertIfNegative val="0"/>
            <c:bubble3D val="0"/>
            <c:spPr>
              <a:noFill/>
              <a:ln w="12700">
                <a:solidFill>
                  <a:schemeClr val="bg1">
                    <a:lumMod val="65000"/>
                  </a:schemeClr>
                </a:solidFill>
                <a:prstDash val="dashDot"/>
              </a:ln>
              <a:effectLst>
                <a:softEdge rad="0"/>
              </a:effectLst>
            </c:spPr>
            <c:extLst>
              <c:ext xmlns:c16="http://schemas.microsoft.com/office/drawing/2014/chart" uri="{C3380CC4-5D6E-409C-BE32-E72D297353CC}">
                <c16:uniqueId val="{00000009-A769-41B8-B2F4-CA89103C935A}"/>
              </c:ext>
            </c:extLst>
          </c:dPt>
          <c:dPt>
            <c:idx val="1"/>
            <c:invertIfNegative val="0"/>
            <c:bubble3D val="0"/>
            <c:spPr>
              <a:noFill/>
              <a:ln w="12700">
                <a:solidFill>
                  <a:schemeClr val="bg1">
                    <a:lumMod val="65000"/>
                  </a:schemeClr>
                </a:solidFill>
                <a:prstDash val="dashDot"/>
              </a:ln>
              <a:effectLst>
                <a:glow>
                  <a:schemeClr val="accent1"/>
                </a:glow>
                <a:outerShdw blurRad="40000" dist="23000" dir="5400000" rotWithShape="0">
                  <a:srgbClr val="000000">
                    <a:alpha val="35000"/>
                  </a:srgbClr>
                </a:outerShdw>
                <a:softEdge rad="0"/>
              </a:effectLst>
            </c:spPr>
            <c:extLst>
              <c:ext xmlns:c16="http://schemas.microsoft.com/office/drawing/2014/chart" uri="{C3380CC4-5D6E-409C-BE32-E72D297353CC}">
                <c16:uniqueId val="{0000000A-A769-41B8-B2F4-CA89103C935A}"/>
              </c:ext>
            </c:extLst>
          </c:dPt>
          <c:cat>
            <c:strRef>
              <c:f>Kuviot!$BE$5:$BF$5</c:f>
              <c:strCache>
                <c:ptCount val="2"/>
                <c:pt idx="0">
                  <c:v>Toimintakate+poistot+rahoituser.(netto)  42 milj. €</c:v>
                </c:pt>
                <c:pt idx="1">
                  <c:v>Rahoitus 39 milj. €</c:v>
                </c:pt>
              </c:strCache>
            </c:strRef>
          </c:cat>
          <c:val>
            <c:numRef>
              <c:f>Kuviot!$BE$14:$BF$14</c:f>
              <c:numCache>
                <c:formatCode>#,##0</c:formatCode>
                <c:ptCount val="2"/>
                <c:pt idx="0">
                  <c:v>65278.402626806223</c:v>
                </c:pt>
                <c:pt idx="1">
                  <c:v>64695.43664163792</c:v>
                </c:pt>
              </c:numCache>
            </c:numRef>
          </c:val>
          <c:extLst>
            <c:ext xmlns:c16="http://schemas.microsoft.com/office/drawing/2014/chart" uri="{C3380CC4-5D6E-409C-BE32-E72D297353CC}">
              <c16:uniqueId val="{0000000B-A769-41B8-B2F4-CA89103C935A}"/>
            </c:ext>
          </c:extLst>
        </c:ser>
        <c:dLbls>
          <c:showLegendKey val="0"/>
          <c:showVal val="0"/>
          <c:showCatName val="0"/>
          <c:showSerName val="0"/>
          <c:showPercent val="0"/>
          <c:showBubbleSize val="0"/>
        </c:dLbls>
        <c:gapWidth val="40"/>
        <c:overlap val="100"/>
        <c:axId val="139499712"/>
        <c:axId val="1"/>
      </c:barChart>
      <c:catAx>
        <c:axId val="1394997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i-FI"/>
          </a:p>
        </c:txPr>
        <c:crossAx val="1"/>
        <c:crosses val="autoZero"/>
        <c:auto val="1"/>
        <c:lblAlgn val="ctr"/>
        <c:lblOffset val="100"/>
        <c:noMultiLvlLbl val="0"/>
      </c:catAx>
      <c:valAx>
        <c:axId val="1"/>
        <c:scaling>
          <c:orientation val="minMax"/>
        </c:scaling>
        <c:delete val="1"/>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crossAx val="139499712"/>
        <c:crosses val="autoZero"/>
        <c:crossBetween val="between"/>
      </c:valAx>
      <c:spPr>
        <a:noFill/>
        <a:ln w="25400">
          <a:noFill/>
        </a:ln>
      </c:spPr>
    </c:plotArea>
    <c:plotVisOnly val="1"/>
    <c:dispBlanksAs val="gap"/>
    <c:showDLblsOverMax val="0"/>
  </c:chart>
  <c:spPr>
    <a:solidFill>
      <a:schemeClr val="bg1"/>
    </a:solidFill>
    <a:ln w="12700" cap="flat" cmpd="sng" algn="ctr">
      <a:solidFill>
        <a:schemeClr val="bg1">
          <a:lumMod val="85000"/>
        </a:schemeClr>
      </a:solidFill>
      <a:round/>
    </a:ln>
    <a:effectLst/>
  </c:spPr>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Kuviot!$BG$6</c:f>
              <c:strCache>
                <c:ptCount val="1"/>
                <c:pt idx="0">
                  <c:v>toimintakate</c:v>
                </c:pt>
              </c:strCache>
            </c:strRef>
          </c:tx>
          <c:spPr>
            <a:solidFill>
              <a:schemeClr val="bg1">
                <a:lumMod val="75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Kuviot!$BH$5:$BI$5</c:f>
              <c:strCache>
                <c:ptCount val="2"/>
                <c:pt idx="0">
                  <c:v>Toimintakate+poistot+rahoituser.(netto)  42 milj. €</c:v>
                </c:pt>
                <c:pt idx="1">
                  <c:v>Rahoitus 40 milj. €</c:v>
                </c:pt>
              </c:strCache>
            </c:strRef>
          </c:cat>
          <c:val>
            <c:numRef>
              <c:f>Kuviot!$BH$6:$BI$6</c:f>
              <c:numCache>
                <c:formatCode>General</c:formatCode>
                <c:ptCount val="2"/>
                <c:pt idx="0" formatCode="#,##0">
                  <c:v>41608.758283193791</c:v>
                </c:pt>
              </c:numCache>
            </c:numRef>
          </c:val>
          <c:extLst>
            <c:ext xmlns:c16="http://schemas.microsoft.com/office/drawing/2014/chart" uri="{C3380CC4-5D6E-409C-BE32-E72D297353CC}">
              <c16:uniqueId val="{00000000-315C-4209-B3D8-300265EA42FD}"/>
            </c:ext>
          </c:extLst>
        </c:ser>
        <c:ser>
          <c:idx val="1"/>
          <c:order val="1"/>
          <c:tx>
            <c:strRef>
              <c:f>Kuviot!$BG$7</c:f>
              <c:strCache>
                <c:ptCount val="1"/>
                <c:pt idx="0">
                  <c:v>kunnallisvero 68%</c:v>
                </c:pt>
              </c:strCache>
            </c:strRef>
          </c:tx>
          <c:spPr>
            <a:solidFill>
              <a:srgbClr val="FFFF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Kuviot!$BH$5:$BI$5</c:f>
              <c:strCache>
                <c:ptCount val="2"/>
                <c:pt idx="0">
                  <c:v>Toimintakate+poistot+rahoituser.(netto)  42 milj. €</c:v>
                </c:pt>
                <c:pt idx="1">
                  <c:v>Rahoitus 40 milj. €</c:v>
                </c:pt>
              </c:strCache>
            </c:strRef>
          </c:cat>
          <c:val>
            <c:numRef>
              <c:f>Kuviot!$BH$7:$BI$7</c:f>
              <c:numCache>
                <c:formatCode>#,##0</c:formatCode>
                <c:ptCount val="2"/>
                <c:pt idx="1">
                  <c:v>27173.140102300327</c:v>
                </c:pt>
              </c:numCache>
            </c:numRef>
          </c:val>
          <c:extLst>
            <c:ext xmlns:c16="http://schemas.microsoft.com/office/drawing/2014/chart" uri="{C3380CC4-5D6E-409C-BE32-E72D297353CC}">
              <c16:uniqueId val="{00000001-315C-4209-B3D8-300265EA42FD}"/>
            </c:ext>
          </c:extLst>
        </c:ser>
        <c:ser>
          <c:idx val="2"/>
          <c:order val="2"/>
          <c:tx>
            <c:strRef>
              <c:f>Kuviot!$BG$8</c:f>
              <c:strCache>
                <c:ptCount val="1"/>
                <c:pt idx="0">
                  <c:v>yhteisövero 4%</c:v>
                </c:pt>
              </c:strCache>
            </c:strRef>
          </c:tx>
          <c:spPr>
            <a:solidFill>
              <a:srgbClr val="CC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Kuviot!$BH$5:$BI$5</c:f>
              <c:strCache>
                <c:ptCount val="2"/>
                <c:pt idx="0">
                  <c:v>Toimintakate+poistot+rahoituser.(netto)  42 milj. €</c:v>
                </c:pt>
                <c:pt idx="1">
                  <c:v>Rahoitus 40 milj. €</c:v>
                </c:pt>
              </c:strCache>
            </c:strRef>
          </c:cat>
          <c:val>
            <c:numRef>
              <c:f>Kuviot!$BH$8:$BI$8</c:f>
              <c:numCache>
                <c:formatCode>#,##0</c:formatCode>
                <c:ptCount val="2"/>
                <c:pt idx="1">
                  <c:v>1613.9436470858764</c:v>
                </c:pt>
              </c:numCache>
            </c:numRef>
          </c:val>
          <c:extLst>
            <c:ext xmlns:c16="http://schemas.microsoft.com/office/drawing/2014/chart" uri="{C3380CC4-5D6E-409C-BE32-E72D297353CC}">
              <c16:uniqueId val="{00000002-315C-4209-B3D8-300265EA42FD}"/>
            </c:ext>
          </c:extLst>
        </c:ser>
        <c:ser>
          <c:idx val="3"/>
          <c:order val="3"/>
          <c:tx>
            <c:strRef>
              <c:f>Kuviot!$BG$9</c:f>
              <c:strCache>
                <c:ptCount val="1"/>
                <c:pt idx="0">
                  <c:v>kiinteistövero 9%</c:v>
                </c:pt>
              </c:strCache>
            </c:strRef>
          </c:tx>
          <c:spPr>
            <a:solidFill>
              <a:srgbClr val="FFCC00"/>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Kuviot!$BH$5:$BI$5</c:f>
              <c:strCache>
                <c:ptCount val="2"/>
                <c:pt idx="0">
                  <c:v>Toimintakate+poistot+rahoituser.(netto)  42 milj. €</c:v>
                </c:pt>
                <c:pt idx="1">
                  <c:v>Rahoitus 40 milj. €</c:v>
                </c:pt>
              </c:strCache>
            </c:strRef>
          </c:cat>
          <c:val>
            <c:numRef>
              <c:f>Kuviot!$BH$9:$BI$9</c:f>
              <c:numCache>
                <c:formatCode>#,##0</c:formatCode>
                <c:ptCount val="2"/>
                <c:pt idx="1">
                  <c:v>3736.6210000000001</c:v>
                </c:pt>
              </c:numCache>
            </c:numRef>
          </c:val>
          <c:extLst>
            <c:ext xmlns:c16="http://schemas.microsoft.com/office/drawing/2014/chart" uri="{C3380CC4-5D6E-409C-BE32-E72D297353CC}">
              <c16:uniqueId val="{00000003-315C-4209-B3D8-300265EA42FD}"/>
            </c:ext>
          </c:extLst>
        </c:ser>
        <c:ser>
          <c:idx val="4"/>
          <c:order val="4"/>
          <c:tx>
            <c:strRef>
              <c:f>Kuviot!$BG$10</c:f>
              <c:strCache>
                <c:ptCount val="1"/>
                <c:pt idx="0">
                  <c:v>vos 18%</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315C-4209-B3D8-300265EA42F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Kuviot!$BH$5:$BI$5</c:f>
              <c:strCache>
                <c:ptCount val="2"/>
                <c:pt idx="0">
                  <c:v>Toimintakate+poistot+rahoituser.(netto)  42 milj. €</c:v>
                </c:pt>
                <c:pt idx="1">
                  <c:v>Rahoitus 40 milj. €</c:v>
                </c:pt>
              </c:strCache>
            </c:strRef>
          </c:cat>
          <c:val>
            <c:numRef>
              <c:f>Kuviot!$BH$10:$BI$10</c:f>
              <c:numCache>
                <c:formatCode>#,##0</c:formatCode>
                <c:ptCount val="2"/>
                <c:pt idx="0" formatCode="0">
                  <c:v>0</c:v>
                </c:pt>
                <c:pt idx="1">
                  <c:v>7177.7046142657491</c:v>
                </c:pt>
              </c:numCache>
            </c:numRef>
          </c:val>
          <c:extLst>
            <c:ext xmlns:c16="http://schemas.microsoft.com/office/drawing/2014/chart" uri="{C3380CC4-5D6E-409C-BE32-E72D297353CC}">
              <c16:uniqueId val="{00000005-315C-4209-B3D8-300265EA42FD}"/>
            </c:ext>
          </c:extLst>
        </c:ser>
        <c:ser>
          <c:idx val="5"/>
          <c:order val="5"/>
          <c:tx>
            <c:strRef>
              <c:f>Kuviot!$BG$11</c:f>
              <c:strCache>
                <c:ptCount val="1"/>
              </c:strCache>
            </c:strRef>
          </c:tx>
          <c:spPr>
            <a:solidFill>
              <a:srgbClr val="00B050"/>
            </a:solidFill>
            <a:ln>
              <a:solidFill>
                <a:sysClr val="windowText" lastClr="000000">
                  <a:lumMod val="25000"/>
                  <a:lumOff val="75000"/>
                </a:sysClr>
              </a:solidFill>
            </a:ln>
            <a:effectLst>
              <a:outerShdw blurRad="40000" dist="23000" dir="5400000" rotWithShape="0">
                <a:srgbClr val="000000">
                  <a:alpha val="35000"/>
                </a:srgbClr>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315C-4209-B3D8-300265EA42F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Kuviot!$BH$5:$BI$5</c:f>
              <c:strCache>
                <c:ptCount val="2"/>
                <c:pt idx="0">
                  <c:v>Toimintakate+poistot+rahoituser.(netto)  42 milj. €</c:v>
                </c:pt>
                <c:pt idx="1">
                  <c:v>Rahoitus 40 milj. €</c:v>
                </c:pt>
              </c:strCache>
            </c:strRef>
          </c:cat>
          <c:val>
            <c:numRef>
              <c:f>Kuviot!$BH$11:$BI$11</c:f>
              <c:numCache>
                <c:formatCode>#,##0</c:formatCode>
                <c:ptCount val="2"/>
                <c:pt idx="0">
                  <c:v>68.978320000000011</c:v>
                </c:pt>
                <c:pt idx="1">
                  <c:v>0</c:v>
                </c:pt>
              </c:numCache>
            </c:numRef>
          </c:val>
          <c:extLst>
            <c:ext xmlns:c16="http://schemas.microsoft.com/office/drawing/2014/chart" uri="{C3380CC4-5D6E-409C-BE32-E72D297353CC}">
              <c16:uniqueId val="{00000007-315C-4209-B3D8-300265EA42FD}"/>
            </c:ext>
          </c:extLst>
        </c:ser>
        <c:ser>
          <c:idx val="7"/>
          <c:order val="6"/>
          <c:tx>
            <c:strRef>
              <c:f>Kuviot!$BG$12</c:f>
              <c:strCache>
                <c:ptCount val="1"/>
                <c:pt idx="0">
                  <c:v>poistot</c:v>
                </c:pt>
              </c:strCache>
            </c:strRef>
          </c:tx>
          <c:spPr>
            <a:solidFill>
              <a:schemeClr val="bg1">
                <a:lumMod val="50000"/>
              </a:schemeClr>
            </a:solidFill>
            <a:ln>
              <a:noFill/>
            </a:ln>
            <a:effectLst>
              <a:outerShdw blurRad="40000" dist="23000" dir="5400000" rotWithShape="0">
                <a:srgbClr val="000000">
                  <a:alpha val="35000"/>
                </a:srgb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fi-FI"/>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Kuviot!$BH$5:$BI$5</c:f>
              <c:strCache>
                <c:ptCount val="2"/>
                <c:pt idx="0">
                  <c:v>Toimintakate+poistot+rahoituser.(netto)  42 milj. €</c:v>
                </c:pt>
                <c:pt idx="1">
                  <c:v>Rahoitus 40 milj. €</c:v>
                </c:pt>
              </c:strCache>
            </c:strRef>
          </c:cat>
          <c:val>
            <c:numRef>
              <c:f>Kuviot!$BH$12:$BI$12</c:f>
              <c:numCache>
                <c:formatCode>General</c:formatCode>
                <c:ptCount val="2"/>
                <c:pt idx="0" formatCode="#,##0">
                  <c:v>0</c:v>
                </c:pt>
              </c:numCache>
            </c:numRef>
          </c:val>
          <c:extLst>
            <c:ext xmlns:c16="http://schemas.microsoft.com/office/drawing/2014/chart" uri="{C3380CC4-5D6E-409C-BE32-E72D297353CC}">
              <c16:uniqueId val="{00000008-315C-4209-B3D8-300265EA42FD}"/>
            </c:ext>
          </c:extLst>
        </c:ser>
        <c:ser>
          <c:idx val="6"/>
          <c:order val="7"/>
          <c:tx>
            <c:strRef>
              <c:f>Kuviot!$BG$14</c:f>
              <c:strCache>
                <c:ptCount val="1"/>
                <c:pt idx="0">
                  <c:v>poistuvat</c:v>
                </c:pt>
              </c:strCache>
            </c:strRef>
          </c:tx>
          <c:spPr>
            <a:noFill/>
            <a:ln>
              <a:solidFill>
                <a:schemeClr val="bg1">
                  <a:lumMod val="65000"/>
                </a:schemeClr>
              </a:solidFill>
            </a:ln>
            <a:effectLst>
              <a:outerShdw blurRad="40000" dist="23000" dir="5400000" rotWithShape="0">
                <a:srgbClr val="000000">
                  <a:alpha val="35000"/>
                </a:srgbClr>
              </a:outerShdw>
            </a:effectLst>
          </c:spPr>
          <c:invertIfNegative val="0"/>
          <c:dPt>
            <c:idx val="0"/>
            <c:invertIfNegative val="0"/>
            <c:bubble3D val="0"/>
            <c:spPr>
              <a:noFill/>
              <a:ln w="12700">
                <a:solidFill>
                  <a:schemeClr val="bg1">
                    <a:lumMod val="65000"/>
                  </a:schemeClr>
                </a:solidFill>
                <a:prstDash val="dashDot"/>
              </a:ln>
              <a:effectLst>
                <a:softEdge rad="0"/>
              </a:effectLst>
            </c:spPr>
            <c:extLst>
              <c:ext xmlns:c16="http://schemas.microsoft.com/office/drawing/2014/chart" uri="{C3380CC4-5D6E-409C-BE32-E72D297353CC}">
                <c16:uniqueId val="{00000009-315C-4209-B3D8-300265EA42FD}"/>
              </c:ext>
            </c:extLst>
          </c:dPt>
          <c:dPt>
            <c:idx val="1"/>
            <c:invertIfNegative val="0"/>
            <c:bubble3D val="0"/>
            <c:spPr>
              <a:noFill/>
              <a:ln w="12700">
                <a:solidFill>
                  <a:schemeClr val="bg1">
                    <a:lumMod val="65000"/>
                  </a:schemeClr>
                </a:solidFill>
                <a:prstDash val="dashDot"/>
              </a:ln>
              <a:effectLst>
                <a:glow>
                  <a:schemeClr val="accent1"/>
                </a:glow>
                <a:outerShdw blurRad="40000" dist="23000" dir="5400000" rotWithShape="0">
                  <a:srgbClr val="000000">
                    <a:alpha val="35000"/>
                  </a:srgbClr>
                </a:outerShdw>
                <a:softEdge rad="0"/>
              </a:effectLst>
            </c:spPr>
            <c:extLst>
              <c:ext xmlns:c16="http://schemas.microsoft.com/office/drawing/2014/chart" uri="{C3380CC4-5D6E-409C-BE32-E72D297353CC}">
                <c16:uniqueId val="{0000000A-315C-4209-B3D8-300265EA42FD}"/>
              </c:ext>
            </c:extLst>
          </c:dPt>
          <c:cat>
            <c:strRef>
              <c:f>Kuviot!$BH$5:$BI$5</c:f>
              <c:strCache>
                <c:ptCount val="2"/>
                <c:pt idx="0">
                  <c:v>Toimintakate+poistot+rahoituser.(netto)  42 milj. €</c:v>
                </c:pt>
                <c:pt idx="1">
                  <c:v>Rahoitus 40 milj. €</c:v>
                </c:pt>
              </c:strCache>
            </c:strRef>
          </c:cat>
          <c:val>
            <c:numRef>
              <c:f>Kuviot!$BH$14:$BI$14</c:f>
              <c:numCache>
                <c:formatCode>#,##0</c:formatCode>
                <c:ptCount val="2"/>
                <c:pt idx="0">
                  <c:v>65278.402626806223</c:v>
                </c:pt>
                <c:pt idx="1">
                  <c:v>64448.341641637919</c:v>
                </c:pt>
              </c:numCache>
            </c:numRef>
          </c:val>
          <c:extLst>
            <c:ext xmlns:c16="http://schemas.microsoft.com/office/drawing/2014/chart" uri="{C3380CC4-5D6E-409C-BE32-E72D297353CC}">
              <c16:uniqueId val="{0000000B-315C-4209-B3D8-300265EA42FD}"/>
            </c:ext>
          </c:extLst>
        </c:ser>
        <c:dLbls>
          <c:showLegendKey val="0"/>
          <c:showVal val="0"/>
          <c:showCatName val="0"/>
          <c:showSerName val="0"/>
          <c:showPercent val="0"/>
          <c:showBubbleSize val="0"/>
        </c:dLbls>
        <c:gapWidth val="40"/>
        <c:overlap val="100"/>
        <c:axId val="139500544"/>
        <c:axId val="1"/>
      </c:barChart>
      <c:catAx>
        <c:axId val="1395005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i-FI"/>
          </a:p>
        </c:txPr>
        <c:crossAx val="1"/>
        <c:crosses val="autoZero"/>
        <c:auto val="1"/>
        <c:lblAlgn val="ctr"/>
        <c:lblOffset val="100"/>
        <c:noMultiLvlLbl val="0"/>
      </c:catAx>
      <c:valAx>
        <c:axId val="1"/>
        <c:scaling>
          <c:orientation val="minMax"/>
        </c:scaling>
        <c:delete val="1"/>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crossAx val="139500544"/>
        <c:crosses val="autoZero"/>
        <c:crossBetween val="between"/>
      </c:valAx>
      <c:spPr>
        <a:noFill/>
        <a:ln w="25400">
          <a:noFill/>
        </a:ln>
      </c:spPr>
    </c:plotArea>
    <c:plotVisOnly val="1"/>
    <c:dispBlanksAs val="gap"/>
    <c:showDLblsOverMax val="0"/>
  </c:chart>
  <c:spPr>
    <a:solidFill>
      <a:schemeClr val="bg1"/>
    </a:solidFill>
    <a:ln w="12700" cap="flat" cmpd="sng" algn="ctr">
      <a:solidFill>
        <a:schemeClr val="bg1">
          <a:lumMod val="85000"/>
        </a:schemeClr>
      </a:solidFill>
      <a:round/>
    </a:ln>
    <a:effectLst/>
  </c:spPr>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fi-FI" sz="1800">
                <a:effectLst/>
              </a:rPr>
              <a:t>Laskennallinen</a:t>
            </a:r>
            <a:r>
              <a:rPr lang="fi-FI" sz="1800" baseline="0">
                <a:effectLst/>
              </a:rPr>
              <a:t> tasaus </a:t>
            </a:r>
            <a:r>
              <a:rPr lang="fi-FI" sz="1800">
                <a:effectLst/>
              </a:rPr>
              <a:t>ja siirtymätasaus</a:t>
            </a:r>
            <a:r>
              <a:rPr lang="fi-FI" sz="1800" baseline="0">
                <a:effectLst/>
              </a:rPr>
              <a:t> €/asukas</a:t>
            </a:r>
            <a:endParaRPr lang="fi-FI"/>
          </a:p>
        </c:rich>
      </c:tx>
      <c:overlay val="0"/>
    </c:title>
    <c:autoTitleDeleted val="0"/>
    <c:plotArea>
      <c:layout/>
      <c:barChart>
        <c:barDir val="col"/>
        <c:grouping val="stacked"/>
        <c:varyColors val="0"/>
        <c:ser>
          <c:idx val="0"/>
          <c:order val="0"/>
          <c:tx>
            <c:strRef>
              <c:f>'Siirtymätasaus (lopullinen)'!$B$2</c:f>
              <c:strCache>
                <c:ptCount val="1"/>
                <c:pt idx="0">
                  <c:v>Tasapaino ilman siirtymätasausta</c:v>
                </c:pt>
              </c:strCache>
            </c:strRef>
          </c:tx>
          <c:spPr>
            <a:solidFill>
              <a:schemeClr val="accent1"/>
            </a:solidFill>
            <a:ln w="25400">
              <a:noFill/>
            </a:ln>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1EB-41F7-96D0-B35EE8A8E05A}"/>
              </c:ext>
            </c:extLst>
          </c:dPt>
          <c:dPt>
            <c:idx val="1"/>
            <c:invertIfNegative val="0"/>
            <c:bubble3D val="0"/>
            <c:spPr>
              <a:solidFill>
                <a:schemeClr val="bg1">
                  <a:lumMod val="50000"/>
                </a:schemeClr>
              </a:solidFill>
              <a:ln>
                <a:noFill/>
              </a:ln>
              <a:effectLst/>
            </c:spPr>
            <c:extLst>
              <c:ext xmlns:c16="http://schemas.microsoft.com/office/drawing/2014/chart" uri="{C3380CC4-5D6E-409C-BE32-E72D297353CC}">
                <c16:uniqueId val="{00000003-01EB-41F7-96D0-B35EE8A8E05A}"/>
              </c:ext>
            </c:extLst>
          </c:dPt>
          <c:cat>
            <c:strRef>
              <c:f>'Siirtymätasaus (lopullinen)'!$A$3:$A$8</c:f>
              <c:strCache>
                <c:ptCount val="6"/>
                <c:pt idx="0">
                  <c:v>Tasapaino 2022</c:v>
                </c:pt>
                <c:pt idx="1">
                  <c:v>Tasapaino 2023 (alustava laskelma)</c:v>
                </c:pt>
                <c:pt idx="2">
                  <c:v>Tasapaino 2024</c:v>
                </c:pt>
                <c:pt idx="3">
                  <c:v>Tasapaino 2025</c:v>
                </c:pt>
                <c:pt idx="4">
                  <c:v>Tasapaino 2026</c:v>
                </c:pt>
                <c:pt idx="5">
                  <c:v>Tasapaino 2027</c:v>
                </c:pt>
              </c:strCache>
            </c:strRef>
          </c:cat>
          <c:val>
            <c:numRef>
              <c:f>'Siirtymätasaus (lopullinen)'!$B$3:$B$8</c:f>
              <c:numCache>
                <c:formatCode>0</c:formatCode>
                <c:ptCount val="6"/>
                <c:pt idx="0">
                  <c:v>-170.36291050265012</c:v>
                </c:pt>
                <c:pt idx="1">
                  <c:v>-23.173956597498563</c:v>
                </c:pt>
                <c:pt idx="2">
                  <c:v>-40.638537827263519</c:v>
                </c:pt>
                <c:pt idx="3">
                  <c:v>-40.638537827263491</c:v>
                </c:pt>
                <c:pt idx="4">
                  <c:v>-26.086854619860716</c:v>
                </c:pt>
                <c:pt idx="5">
                  <c:v>-26.086854619860688</c:v>
                </c:pt>
              </c:numCache>
            </c:numRef>
          </c:val>
          <c:extLst>
            <c:ext xmlns:c16="http://schemas.microsoft.com/office/drawing/2014/chart" uri="{C3380CC4-5D6E-409C-BE32-E72D297353CC}">
              <c16:uniqueId val="{00000004-01EB-41F7-96D0-B35EE8A8E05A}"/>
            </c:ext>
          </c:extLst>
        </c:ser>
        <c:ser>
          <c:idx val="1"/>
          <c:order val="1"/>
          <c:tx>
            <c:strRef>
              <c:f>'Siirtymätasaus (lopullinen)'!$C$2</c:f>
              <c:strCache>
                <c:ptCount val="1"/>
              </c:strCache>
            </c:strRef>
          </c:tx>
          <c:spPr>
            <a:solidFill>
              <a:srgbClr val="00B050">
                <a:alpha val="30000"/>
              </a:srgbClr>
            </a:solidFill>
          </c:spPr>
          <c:invertIfNegative val="0"/>
          <c:dPt>
            <c:idx val="1"/>
            <c:invertIfNegative val="0"/>
            <c:bubble3D val="0"/>
            <c:spPr>
              <a:solidFill>
                <a:schemeClr val="bg1">
                  <a:lumMod val="75000"/>
                  <a:alpha val="30000"/>
                </a:schemeClr>
              </a:solidFill>
            </c:spPr>
            <c:extLst>
              <c:ext xmlns:c16="http://schemas.microsoft.com/office/drawing/2014/chart" uri="{C3380CC4-5D6E-409C-BE32-E72D297353CC}">
                <c16:uniqueId val="{00000005-324C-401B-95AB-6A0926B12751}"/>
              </c:ext>
            </c:extLst>
          </c:dPt>
          <c:val>
            <c:numRef>
              <c:f>'Siirtymätasaus (lopullinen)'!$C$3:$C$8</c:f>
              <c:numCache>
                <c:formatCode>0</c:formatCode>
                <c:ptCount val="6"/>
                <c:pt idx="1">
                  <c:v>0</c:v>
                </c:pt>
                <c:pt idx="2">
                  <c:v>0</c:v>
                </c:pt>
                <c:pt idx="3">
                  <c:v>0</c:v>
                </c:pt>
                <c:pt idx="4">
                  <c:v>0</c:v>
                </c:pt>
                <c:pt idx="5">
                  <c:v>0</c:v>
                </c:pt>
              </c:numCache>
            </c:numRef>
          </c:val>
          <c:extLst>
            <c:ext xmlns:c16="http://schemas.microsoft.com/office/drawing/2014/chart" uri="{C3380CC4-5D6E-409C-BE32-E72D297353CC}">
              <c16:uniqueId val="{00000004-C401-4722-9FF8-C4399CAB12C5}"/>
            </c:ext>
          </c:extLst>
        </c:ser>
        <c:ser>
          <c:idx val="2"/>
          <c:order val="2"/>
          <c:tx>
            <c:strRef>
              <c:f>'Siirtymätasaus (lopullinen)'!$D$2</c:f>
              <c:strCache>
                <c:ptCount val="1"/>
              </c:strCache>
            </c:strRef>
          </c:tx>
          <c:spPr>
            <a:solidFill>
              <a:srgbClr val="FF0000">
                <a:alpha val="24000"/>
              </a:srgbClr>
            </a:solidFill>
          </c:spPr>
          <c:invertIfNegative val="0"/>
          <c:dPt>
            <c:idx val="1"/>
            <c:invertIfNegative val="0"/>
            <c:bubble3D val="0"/>
            <c:spPr>
              <a:solidFill>
                <a:schemeClr val="bg1">
                  <a:lumMod val="65000"/>
                  <a:alpha val="24000"/>
                </a:schemeClr>
              </a:solidFill>
            </c:spPr>
            <c:extLst>
              <c:ext xmlns:c16="http://schemas.microsoft.com/office/drawing/2014/chart" uri="{C3380CC4-5D6E-409C-BE32-E72D297353CC}">
                <c16:uniqueId val="{00000006-324C-401B-95AB-6A0926B12751}"/>
              </c:ext>
            </c:extLst>
          </c:dPt>
          <c:val>
            <c:numRef>
              <c:f>'Siirtymätasaus (lopullinen)'!$D$3:$D$8</c:f>
              <c:numCache>
                <c:formatCode>0</c:formatCode>
                <c:ptCount val="6"/>
                <c:pt idx="1">
                  <c:v>0</c:v>
                </c:pt>
                <c:pt idx="2">
                  <c:v>-129.27605588278936</c:v>
                </c:pt>
                <c:pt idx="3">
                  <c:v>-114.27605588278936</c:v>
                </c:pt>
                <c:pt idx="4">
                  <c:v>-99.276055882789365</c:v>
                </c:pt>
                <c:pt idx="5">
                  <c:v>-84.276055882789365</c:v>
                </c:pt>
              </c:numCache>
            </c:numRef>
          </c:val>
          <c:extLst>
            <c:ext xmlns:c16="http://schemas.microsoft.com/office/drawing/2014/chart" uri="{C3380CC4-5D6E-409C-BE32-E72D297353CC}">
              <c16:uniqueId val="{00000005-C401-4722-9FF8-C4399CAB12C5}"/>
            </c:ext>
          </c:extLst>
        </c:ser>
        <c:dLbls>
          <c:showLegendKey val="0"/>
          <c:showVal val="0"/>
          <c:showCatName val="0"/>
          <c:showSerName val="0"/>
          <c:showPercent val="0"/>
          <c:showBubbleSize val="0"/>
        </c:dLbls>
        <c:gapWidth val="135"/>
        <c:overlap val="100"/>
        <c:axId val="139504288"/>
        <c:axId val="1"/>
      </c:barChart>
      <c:lineChart>
        <c:grouping val="stacked"/>
        <c:varyColors val="0"/>
        <c:ser>
          <c:idx val="3"/>
          <c:order val="3"/>
          <c:tx>
            <c:strRef>
              <c:f>'Siirtymätasaus (lopullinen)'!$E$2</c:f>
              <c:strCache>
                <c:ptCount val="1"/>
                <c:pt idx="0">
                  <c:v>Tasapaino</c:v>
                </c:pt>
              </c:strCache>
            </c:strRef>
          </c:tx>
          <c:spPr>
            <a:ln>
              <a:solidFill>
                <a:schemeClr val="tx1"/>
              </a:solidFill>
              <a:prstDash val="sysDash"/>
            </a:ln>
          </c:spPr>
          <c:marker>
            <c:symbol val="none"/>
          </c:marker>
          <c:val>
            <c:numRef>
              <c:f>'Siirtymätasaus (lopullinen)'!$E$3:$E$8</c:f>
              <c:numCache>
                <c:formatCode>0</c:formatCode>
                <c:ptCount val="6"/>
                <c:pt idx="0">
                  <c:v>-170.36291050265012</c:v>
                </c:pt>
                <c:pt idx="1">
                  <c:v>-23.173956597498563</c:v>
                </c:pt>
                <c:pt idx="2">
                  <c:v>-169.91459371005288</c:v>
                </c:pt>
                <c:pt idx="3">
                  <c:v>-154.91459371005286</c:v>
                </c:pt>
                <c:pt idx="4">
                  <c:v>-125.36291050265008</c:v>
                </c:pt>
                <c:pt idx="5">
                  <c:v>-110.36291050265005</c:v>
                </c:pt>
              </c:numCache>
            </c:numRef>
          </c:val>
          <c:smooth val="0"/>
          <c:extLst>
            <c:ext xmlns:c16="http://schemas.microsoft.com/office/drawing/2014/chart" uri="{C3380CC4-5D6E-409C-BE32-E72D297353CC}">
              <c16:uniqueId val="{00000004-324C-401B-95AB-6A0926B12751}"/>
            </c:ext>
          </c:extLst>
        </c:ser>
        <c:dLbls>
          <c:showLegendKey val="0"/>
          <c:showVal val="0"/>
          <c:showCatName val="0"/>
          <c:showSerName val="0"/>
          <c:showPercent val="0"/>
          <c:showBubbleSize val="0"/>
        </c:dLbls>
        <c:marker val="1"/>
        <c:smooth val="0"/>
        <c:axId val="139504288"/>
        <c:axId val="1"/>
      </c:lineChart>
      <c:catAx>
        <c:axId val="13950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i-FI"/>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i-FI"/>
          </a:p>
        </c:txPr>
        <c:crossAx val="13950428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youtube.com/watch?v=ilbaRKNcx6c"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68580</xdr:colOff>
      <xdr:row>3</xdr:row>
      <xdr:rowOff>30480</xdr:rowOff>
    </xdr:from>
    <xdr:to>
      <xdr:col>6</xdr:col>
      <xdr:colOff>60960</xdr:colOff>
      <xdr:row>23</xdr:row>
      <xdr:rowOff>99060</xdr:rowOff>
    </xdr:to>
    <xdr:graphicFrame macro="">
      <xdr:nvGraphicFramePr>
        <xdr:cNvPr id="3067218" name="Kaavio 10">
          <a:extLst>
            <a:ext uri="{FF2B5EF4-FFF2-40B4-BE49-F238E27FC236}">
              <a16:creationId xmlns:a16="http://schemas.microsoft.com/office/drawing/2014/main" id="{4237F4FC-97F1-237A-A33D-B9105EED5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22860</xdr:colOff>
      <xdr:row>3</xdr:row>
      <xdr:rowOff>22860</xdr:rowOff>
    </xdr:from>
    <xdr:to>
      <xdr:col>13</xdr:col>
      <xdr:colOff>350520</xdr:colOff>
      <xdr:row>23</xdr:row>
      <xdr:rowOff>99060</xdr:rowOff>
    </xdr:to>
    <xdr:graphicFrame macro="">
      <xdr:nvGraphicFramePr>
        <xdr:cNvPr id="3067219" name="Kaavio 11">
          <a:extLst>
            <a:ext uri="{FF2B5EF4-FFF2-40B4-BE49-F238E27FC236}">
              <a16:creationId xmlns:a16="http://schemas.microsoft.com/office/drawing/2014/main" id="{114EAB94-BC91-52CD-3642-E167B4579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102593</xdr:colOff>
      <xdr:row>10</xdr:row>
      <xdr:rowOff>73161</xdr:rowOff>
    </xdr:from>
    <xdr:to>
      <xdr:col>6</xdr:col>
      <xdr:colOff>526392</xdr:colOff>
      <xdr:row>14</xdr:row>
      <xdr:rowOff>26574</xdr:rowOff>
    </xdr:to>
    <xdr:sp macro="" textlink="">
      <xdr:nvSpPr>
        <xdr:cNvPr id="13" name="Nuoli oikealle 12">
          <a:extLst>
            <a:ext uri="{FF2B5EF4-FFF2-40B4-BE49-F238E27FC236}">
              <a16:creationId xmlns:a16="http://schemas.microsoft.com/office/drawing/2014/main" id="{056AB678-C2CD-B3B7-34C3-4DD81DF2870E}"/>
            </a:ext>
          </a:extLst>
        </xdr:cNvPr>
        <xdr:cNvSpPr/>
      </xdr:nvSpPr>
      <xdr:spPr>
        <a:xfrm>
          <a:off x="4185998" y="1712575"/>
          <a:ext cx="461433" cy="65116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i-FI"/>
        </a:p>
      </xdr:txBody>
    </xdr:sp>
    <xdr:clientData/>
  </xdr:twoCellAnchor>
  <xdr:twoCellAnchor>
    <xdr:from>
      <xdr:col>15</xdr:col>
      <xdr:colOff>22860</xdr:colOff>
      <xdr:row>3</xdr:row>
      <xdr:rowOff>22860</xdr:rowOff>
    </xdr:from>
    <xdr:to>
      <xdr:col>20</xdr:col>
      <xdr:colOff>266700</xdr:colOff>
      <xdr:row>23</xdr:row>
      <xdr:rowOff>99060</xdr:rowOff>
    </xdr:to>
    <xdr:graphicFrame macro="">
      <xdr:nvGraphicFramePr>
        <xdr:cNvPr id="3067221" name="Kaavio 11">
          <a:extLst>
            <a:ext uri="{FF2B5EF4-FFF2-40B4-BE49-F238E27FC236}">
              <a16:creationId xmlns:a16="http://schemas.microsoft.com/office/drawing/2014/main" id="{7D41FC71-5DA0-A052-6EF4-7D7A1CBCC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1926</xdr:colOff>
      <xdr:row>10</xdr:row>
      <xdr:rowOff>90842</xdr:rowOff>
    </xdr:from>
    <xdr:to>
      <xdr:col>14</xdr:col>
      <xdr:colOff>461770</xdr:colOff>
      <xdr:row>14</xdr:row>
      <xdr:rowOff>73875</xdr:rowOff>
    </xdr:to>
    <xdr:sp macro="" textlink="">
      <xdr:nvSpPr>
        <xdr:cNvPr id="7" name="Nuoli oikealle 6">
          <a:extLst>
            <a:ext uri="{FF2B5EF4-FFF2-40B4-BE49-F238E27FC236}">
              <a16:creationId xmlns:a16="http://schemas.microsoft.com/office/drawing/2014/main" id="{842642A4-5DE3-9070-6C63-2C50A1E5301C}"/>
            </a:ext>
          </a:extLst>
        </xdr:cNvPr>
        <xdr:cNvSpPr/>
      </xdr:nvSpPr>
      <xdr:spPr>
        <a:xfrm>
          <a:off x="9360671" y="1767993"/>
          <a:ext cx="473708" cy="6614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i-FI"/>
        </a:p>
      </xdr:txBody>
    </xdr:sp>
    <xdr:clientData/>
  </xdr:twoCellAnchor>
  <xdr:twoCellAnchor>
    <xdr:from>
      <xdr:col>21</xdr:col>
      <xdr:colOff>76200</xdr:colOff>
      <xdr:row>3</xdr:row>
      <xdr:rowOff>30480</xdr:rowOff>
    </xdr:from>
    <xdr:to>
      <xdr:col>28</xdr:col>
      <xdr:colOff>60960</xdr:colOff>
      <xdr:row>23</xdr:row>
      <xdr:rowOff>106680</xdr:rowOff>
    </xdr:to>
    <xdr:graphicFrame macro="">
      <xdr:nvGraphicFramePr>
        <xdr:cNvPr id="3067223" name="Kaavio 11">
          <a:extLst>
            <a:ext uri="{FF2B5EF4-FFF2-40B4-BE49-F238E27FC236}">
              <a16:creationId xmlns:a16="http://schemas.microsoft.com/office/drawing/2014/main" id="{4888658C-2EE2-883E-9D6B-EC57B16CE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313366</xdr:colOff>
      <xdr:row>10</xdr:row>
      <xdr:rowOff>63162</xdr:rowOff>
    </xdr:from>
    <xdr:to>
      <xdr:col>20</xdr:col>
      <xdr:colOff>729427</xdr:colOff>
      <xdr:row>14</xdr:row>
      <xdr:rowOff>13215</xdr:rowOff>
    </xdr:to>
    <xdr:sp macro="" textlink="">
      <xdr:nvSpPr>
        <xdr:cNvPr id="9" name="Nuoli oikealle 8">
          <a:extLst>
            <a:ext uri="{FF2B5EF4-FFF2-40B4-BE49-F238E27FC236}">
              <a16:creationId xmlns:a16="http://schemas.microsoft.com/office/drawing/2014/main" id="{82C61914-DBCC-86DD-B1AE-F9879471D78D}"/>
            </a:ext>
          </a:extLst>
        </xdr:cNvPr>
        <xdr:cNvSpPr/>
      </xdr:nvSpPr>
      <xdr:spPr>
        <a:xfrm>
          <a:off x="14403725" y="1698720"/>
          <a:ext cx="473708" cy="6614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i-FI"/>
        </a:p>
      </xdr:txBody>
    </xdr:sp>
    <xdr:clientData/>
  </xdr:twoCellAnchor>
  <xdr:twoCellAnchor>
    <xdr:from>
      <xdr:col>29</xdr:col>
      <xdr:colOff>60960</xdr:colOff>
      <xdr:row>3</xdr:row>
      <xdr:rowOff>30480</xdr:rowOff>
    </xdr:from>
    <xdr:to>
      <xdr:col>36</xdr:col>
      <xdr:colOff>68580</xdr:colOff>
      <xdr:row>23</xdr:row>
      <xdr:rowOff>99060</xdr:rowOff>
    </xdr:to>
    <xdr:graphicFrame macro="">
      <xdr:nvGraphicFramePr>
        <xdr:cNvPr id="3067225" name="Kaavio 11">
          <a:extLst>
            <a:ext uri="{FF2B5EF4-FFF2-40B4-BE49-F238E27FC236}">
              <a16:creationId xmlns:a16="http://schemas.microsoft.com/office/drawing/2014/main" id="{B07BAF86-2CB7-30A5-BA10-072F14563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114321</xdr:colOff>
      <xdr:row>10</xdr:row>
      <xdr:rowOff>94286</xdr:rowOff>
    </xdr:from>
    <xdr:to>
      <xdr:col>28</xdr:col>
      <xdr:colOff>505063</xdr:colOff>
      <xdr:row>14</xdr:row>
      <xdr:rowOff>90392</xdr:rowOff>
    </xdr:to>
    <xdr:sp macro="" textlink="">
      <xdr:nvSpPr>
        <xdr:cNvPr id="11" name="Nuoli oikealle 10">
          <a:extLst>
            <a:ext uri="{FF2B5EF4-FFF2-40B4-BE49-F238E27FC236}">
              <a16:creationId xmlns:a16="http://schemas.microsoft.com/office/drawing/2014/main" id="{9E0A11DE-8398-3C8A-4186-98BB25C59BE6}"/>
            </a:ext>
          </a:extLst>
        </xdr:cNvPr>
        <xdr:cNvSpPr/>
      </xdr:nvSpPr>
      <xdr:spPr>
        <a:xfrm>
          <a:off x="19356725" y="1825720"/>
          <a:ext cx="473708" cy="67371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i-FI"/>
        </a:p>
      </xdr:txBody>
    </xdr:sp>
    <xdr:clientData/>
  </xdr:twoCellAnchor>
  <xdr:twoCellAnchor>
    <xdr:from>
      <xdr:col>37</xdr:col>
      <xdr:colOff>99060</xdr:colOff>
      <xdr:row>3</xdr:row>
      <xdr:rowOff>30480</xdr:rowOff>
    </xdr:from>
    <xdr:to>
      <xdr:col>42</xdr:col>
      <xdr:colOff>129540</xdr:colOff>
      <xdr:row>23</xdr:row>
      <xdr:rowOff>106680</xdr:rowOff>
    </xdr:to>
    <xdr:graphicFrame macro="">
      <xdr:nvGraphicFramePr>
        <xdr:cNvPr id="3067227" name="Kaavio 11">
          <a:extLst>
            <a:ext uri="{FF2B5EF4-FFF2-40B4-BE49-F238E27FC236}">
              <a16:creationId xmlns:a16="http://schemas.microsoft.com/office/drawing/2014/main" id="{7B3FFF86-23AE-0ED1-456A-F5E9F559D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175598</xdr:colOff>
      <xdr:row>10</xdr:row>
      <xdr:rowOff>96614</xdr:rowOff>
    </xdr:from>
    <xdr:to>
      <xdr:col>37</xdr:col>
      <xdr:colOff>3906</xdr:colOff>
      <xdr:row>14</xdr:row>
      <xdr:rowOff>75513</xdr:rowOff>
    </xdr:to>
    <xdr:sp macro="" textlink="">
      <xdr:nvSpPr>
        <xdr:cNvPr id="14" name="Nuoli oikealle 13">
          <a:extLst>
            <a:ext uri="{FF2B5EF4-FFF2-40B4-BE49-F238E27FC236}">
              <a16:creationId xmlns:a16="http://schemas.microsoft.com/office/drawing/2014/main" id="{A5BC1F92-418B-F981-F69B-A0297ED769BF}"/>
            </a:ext>
          </a:extLst>
        </xdr:cNvPr>
        <xdr:cNvSpPr/>
      </xdr:nvSpPr>
      <xdr:spPr>
        <a:xfrm>
          <a:off x="24324965" y="1780000"/>
          <a:ext cx="473708" cy="6669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i-FI"/>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133287</xdr:colOff>
      <xdr:row>1</xdr:row>
      <xdr:rowOff>103188</xdr:rowOff>
    </xdr:from>
    <xdr:to>
      <xdr:col>4</xdr:col>
      <xdr:colOff>1050828</xdr:colOff>
      <xdr:row>3</xdr:row>
      <xdr:rowOff>111125</xdr:rowOff>
    </xdr:to>
    <xdr:pic>
      <xdr:nvPicPr>
        <xdr:cNvPr id="2" name="Kuva 1">
          <a:extLst>
            <a:ext uri="{FF2B5EF4-FFF2-40B4-BE49-F238E27FC236}">
              <a16:creationId xmlns:a16="http://schemas.microsoft.com/office/drawing/2014/main" id="{5D15FC2D-D3F3-042E-4EC6-83F2CA77B404}"/>
            </a:ext>
          </a:extLst>
        </xdr:cNvPr>
        <xdr:cNvPicPr>
          <a:picLocks noChangeAspect="1"/>
        </xdr:cNvPicPr>
      </xdr:nvPicPr>
      <xdr:blipFill>
        <a:blip xmlns:r="http://schemas.openxmlformats.org/officeDocument/2006/relationships" r:embed="rId1"/>
        <a:stretch>
          <a:fillRect/>
        </a:stretch>
      </xdr:blipFill>
      <xdr:spPr>
        <a:xfrm>
          <a:off x="7570725" y="103188"/>
          <a:ext cx="925161" cy="412750"/>
        </a:xfrm>
        <a:prstGeom prst="rect">
          <a:avLst/>
        </a:prstGeom>
      </xdr:spPr>
    </xdr:pic>
    <xdr:clientData/>
  </xdr:twoCellAnchor>
  <xdr:twoCellAnchor editAs="oneCell">
    <xdr:from>
      <xdr:col>2</xdr:col>
      <xdr:colOff>740833</xdr:colOff>
      <xdr:row>1</xdr:row>
      <xdr:rowOff>95250</xdr:rowOff>
    </xdr:from>
    <xdr:to>
      <xdr:col>3</xdr:col>
      <xdr:colOff>1143000</xdr:colOff>
      <xdr:row>3</xdr:row>
      <xdr:rowOff>96143</xdr:rowOff>
    </xdr:to>
    <xdr:pic>
      <xdr:nvPicPr>
        <xdr:cNvPr id="3" name="Kuva 2">
          <a:hlinkClick xmlns:r="http://schemas.openxmlformats.org/officeDocument/2006/relationships" r:id="rId2"/>
          <a:extLst>
            <a:ext uri="{FF2B5EF4-FFF2-40B4-BE49-F238E27FC236}">
              <a16:creationId xmlns:a16="http://schemas.microsoft.com/office/drawing/2014/main" id="{2881728B-9243-E37F-B857-150261A72264}"/>
            </a:ext>
          </a:extLst>
        </xdr:cNvPr>
        <xdr:cNvPicPr>
          <a:picLocks noChangeAspect="1"/>
        </xdr:cNvPicPr>
      </xdr:nvPicPr>
      <xdr:blipFill>
        <a:blip xmlns:r="http://schemas.openxmlformats.org/officeDocument/2006/relationships" r:embed="rId3"/>
        <a:stretch>
          <a:fillRect/>
        </a:stretch>
      </xdr:blipFill>
      <xdr:spPr>
        <a:xfrm>
          <a:off x="6187722" y="95250"/>
          <a:ext cx="1792111" cy="4065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350520</xdr:colOff>
      <xdr:row>5</xdr:row>
      <xdr:rowOff>106680</xdr:rowOff>
    </xdr:from>
    <xdr:to>
      <xdr:col>9</xdr:col>
      <xdr:colOff>534439</xdr:colOff>
      <xdr:row>19</xdr:row>
      <xdr:rowOff>114300</xdr:rowOff>
    </xdr:to>
    <xdr:pic>
      <xdr:nvPicPr>
        <xdr:cNvPr id="1480541" name="Kuva 1">
          <a:extLst>
            <a:ext uri="{FF2B5EF4-FFF2-40B4-BE49-F238E27FC236}">
              <a16:creationId xmlns:a16="http://schemas.microsoft.com/office/drawing/2014/main" id="{27926962-35BD-D42B-C84C-5FF242C9D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967740"/>
          <a:ext cx="2895600" cy="2415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383540</xdr:colOff>
      <xdr:row>21</xdr:row>
      <xdr:rowOff>78740</xdr:rowOff>
    </xdr:from>
    <xdr:to>
      <xdr:col>5</xdr:col>
      <xdr:colOff>309399</xdr:colOff>
      <xdr:row>27</xdr:row>
      <xdr:rowOff>51449</xdr:rowOff>
    </xdr:to>
    <xdr:sp macro="" textlink="">
      <xdr:nvSpPr>
        <xdr:cNvPr id="3" name="Nuoli oikealle 2">
          <a:extLst>
            <a:ext uri="{FF2B5EF4-FFF2-40B4-BE49-F238E27FC236}">
              <a16:creationId xmlns:a16="http://schemas.microsoft.com/office/drawing/2014/main" id="{17E7AB7E-9843-49C2-5F58-EED4D17ACBB8}"/>
            </a:ext>
          </a:extLst>
        </xdr:cNvPr>
        <xdr:cNvSpPr/>
      </xdr:nvSpPr>
      <xdr:spPr>
        <a:xfrm>
          <a:off x="3571240" y="3576322"/>
          <a:ext cx="989753" cy="103889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i-FI"/>
        </a:p>
      </xdr:txBody>
    </xdr:sp>
    <xdr:clientData/>
  </xdr:twoCellAnchor>
  <xdr:twoCellAnchor>
    <xdr:from>
      <xdr:col>9</xdr:col>
      <xdr:colOff>178964</xdr:colOff>
      <xdr:row>21</xdr:row>
      <xdr:rowOff>100648</xdr:rowOff>
    </xdr:from>
    <xdr:to>
      <xdr:col>10</xdr:col>
      <xdr:colOff>454448</xdr:colOff>
      <xdr:row>27</xdr:row>
      <xdr:rowOff>51302</xdr:rowOff>
    </xdr:to>
    <xdr:sp macro="" textlink="">
      <xdr:nvSpPr>
        <xdr:cNvPr id="4" name="Nuoli oikealle 3">
          <a:extLst>
            <a:ext uri="{FF2B5EF4-FFF2-40B4-BE49-F238E27FC236}">
              <a16:creationId xmlns:a16="http://schemas.microsoft.com/office/drawing/2014/main" id="{E47594FC-9677-A939-FB09-9AD60013DB0E}"/>
            </a:ext>
          </a:extLst>
        </xdr:cNvPr>
        <xdr:cNvSpPr/>
      </xdr:nvSpPr>
      <xdr:spPr>
        <a:xfrm rot="10800000">
          <a:off x="7154333" y="3365501"/>
          <a:ext cx="1041400" cy="101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i-FI"/>
        </a:p>
      </xdr:txBody>
    </xdr:sp>
    <xdr:clientData/>
  </xdr:twoCellAnchor>
  <xdr:twoCellAnchor>
    <xdr:from>
      <xdr:col>3</xdr:col>
      <xdr:colOff>616527</xdr:colOff>
      <xdr:row>1</xdr:row>
      <xdr:rowOff>124691</xdr:rowOff>
    </xdr:from>
    <xdr:to>
      <xdr:col>13</xdr:col>
      <xdr:colOff>62345</xdr:colOff>
      <xdr:row>5</xdr:row>
      <xdr:rowOff>6927</xdr:rowOff>
    </xdr:to>
    <xdr:sp macro="" textlink="">
      <xdr:nvSpPr>
        <xdr:cNvPr id="2" name="Tekstiruutu 1">
          <a:extLst>
            <a:ext uri="{FF2B5EF4-FFF2-40B4-BE49-F238E27FC236}">
              <a16:creationId xmlns:a16="http://schemas.microsoft.com/office/drawing/2014/main" id="{3F5E8194-B172-19ED-DF46-40C472C3D7F1}"/>
            </a:ext>
          </a:extLst>
        </xdr:cNvPr>
        <xdr:cNvSpPr txBox="1"/>
      </xdr:nvSpPr>
      <xdr:spPr>
        <a:xfrm>
          <a:off x="2445327" y="318655"/>
          <a:ext cx="6726382" cy="547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3200"/>
            <a:t>LOPULLINEN </a:t>
          </a:r>
          <a:r>
            <a:rPr lang="fi-FI" sz="3200" baseline="0"/>
            <a:t>MUUTOSRAJOITIN</a:t>
          </a:r>
          <a:endParaRPr lang="fi-FI" sz="3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247650</xdr:colOff>
      <xdr:row>5</xdr:row>
      <xdr:rowOff>187325</xdr:rowOff>
    </xdr:from>
    <xdr:to>
      <xdr:col>22</xdr:col>
      <xdr:colOff>381000</xdr:colOff>
      <xdr:row>43</xdr:row>
      <xdr:rowOff>127000</xdr:rowOff>
    </xdr:to>
    <xdr:sp macro="" textlink="">
      <xdr:nvSpPr>
        <xdr:cNvPr id="4" name="Tekstiruutu 3">
          <a:extLst>
            <a:ext uri="{FF2B5EF4-FFF2-40B4-BE49-F238E27FC236}">
              <a16:creationId xmlns:a16="http://schemas.microsoft.com/office/drawing/2014/main" id="{ACD40ED7-D2E7-4FE1-9EE9-7A3E6B27024D}"/>
            </a:ext>
          </a:extLst>
        </xdr:cNvPr>
        <xdr:cNvSpPr txBox="1"/>
      </xdr:nvSpPr>
      <xdr:spPr>
        <a:xfrm>
          <a:off x="10016067" y="1108075"/>
          <a:ext cx="9340850" cy="644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fi-FI" sz="1600" baseline="0">
              <a:solidFill>
                <a:sysClr val="windowText" lastClr="000000"/>
              </a:solidFill>
            </a:rPr>
            <a:t>Katkoviiva = laskennallinen tasapainotila (ml. siirtymätasaus)</a:t>
          </a:r>
        </a:p>
        <a:p>
          <a:pPr>
            <a:lnSpc>
              <a:spcPts val="1500"/>
            </a:lnSpc>
          </a:pPr>
          <a:r>
            <a:rPr lang="fi-FI" sz="1600" baseline="0">
              <a:solidFill>
                <a:schemeClr val="tx2">
                  <a:lumMod val="60000"/>
                  <a:lumOff val="40000"/>
                </a:schemeClr>
              </a:solidFill>
            </a:rPr>
            <a:t>Sininen palkki = laskennallinen tasapainotila (ilman siirtymätasausta)</a:t>
          </a:r>
        </a:p>
        <a:p>
          <a:pPr>
            <a:lnSpc>
              <a:spcPts val="1500"/>
            </a:lnSpc>
          </a:pPr>
          <a:r>
            <a:rPr lang="fi-FI" sz="1600" baseline="0">
              <a:solidFill>
                <a:srgbClr val="00B050"/>
              </a:solidFill>
            </a:rPr>
            <a:t>Vihreä palkki = positiivinen siirtymätasaus joka parantaa tasapainoa</a:t>
          </a:r>
        </a:p>
        <a:p>
          <a:pPr>
            <a:lnSpc>
              <a:spcPts val="1500"/>
            </a:lnSpc>
          </a:pPr>
          <a:r>
            <a:rPr lang="fi-FI" sz="1600" baseline="0">
              <a:solidFill>
                <a:srgbClr val="FF0000"/>
              </a:solidFill>
            </a:rPr>
            <a:t>Punainen palkki = negatiivinen siirtymätasaus joka heikentää tasapainoa</a:t>
          </a:r>
        </a:p>
        <a:p>
          <a:pPr>
            <a:lnSpc>
              <a:spcPts val="1500"/>
            </a:lnSpc>
          </a:pPr>
          <a:r>
            <a:rPr lang="fi-FI" sz="1600" baseline="0">
              <a:solidFill>
                <a:schemeClr val="tx1">
                  <a:lumMod val="50000"/>
                  <a:lumOff val="50000"/>
                </a:schemeClr>
              </a:solidFill>
            </a:rPr>
            <a:t>Harmaat palkit = kuluvan vuoden (2023) vos-maksatukseen lukittu siirtolaskelma joka ei enää muutu</a:t>
          </a:r>
        </a:p>
        <a:p>
          <a:pPr>
            <a:lnSpc>
              <a:spcPts val="1500"/>
            </a:lnSpc>
          </a:pPr>
          <a:endParaRPr lang="fi-FI" sz="1600" baseline="0">
            <a:solidFill>
              <a:sysClr val="windowText" lastClr="000000"/>
            </a:solidFill>
          </a:endParaRPr>
        </a:p>
        <a:p>
          <a:pPr>
            <a:lnSpc>
              <a:spcPts val="1500"/>
            </a:lnSpc>
          </a:pPr>
          <a:r>
            <a:rPr lang="fi-FI" sz="1600" baseline="0">
              <a:solidFill>
                <a:sysClr val="windowText" lastClr="000000"/>
              </a:solidFill>
            </a:rPr>
            <a:t>Laskennallisen tasapainon muutokset rajataan uudistuksessa 60 euroon asukasta kohden. Siirtymätasaus varmistaa sen, että muutokset pysyvät sallitun vaihteluvälin puitteissa.</a:t>
          </a:r>
        </a:p>
        <a:p>
          <a:pPr>
            <a:lnSpc>
              <a:spcPts val="1500"/>
            </a:lnSpc>
          </a:pPr>
          <a:endParaRPr lang="fi-FI" sz="1600" baseline="0">
            <a:solidFill>
              <a:sysClr val="windowText" lastClr="000000"/>
            </a:solidFill>
          </a:endParaRPr>
        </a:p>
        <a:p>
          <a:pPr>
            <a:lnSpc>
              <a:spcPts val="1500"/>
            </a:lnSpc>
          </a:pPr>
          <a:r>
            <a:rPr lang="fi-FI" sz="1600" baseline="0">
              <a:solidFill>
                <a:sysClr val="windowText" lastClr="000000"/>
              </a:solidFill>
            </a:rPr>
            <a:t>Vuoden 2023 valtionosuusmaksatus (harmaa palkki) perustuu ennakolliseen siirtolaskelmaan joka laadittiin loppuvuodesta 2022. Vuoden 2023 palkit on esitetty harmaana koska kyseiselle vuodelle ei enää tehdä muutoksia kuluvan vuoden aikana. Vuoden 2023 valtionosuus oikaistaan takautuvasti vuosina 2024 ja 2025 kun lopulliset siirtolaskelmat tarkistetaan. Voit simuloida Jakoavaimella lopputarkistuksen vaikutuksia.</a:t>
          </a:r>
        </a:p>
        <a:p>
          <a:pPr>
            <a:lnSpc>
              <a:spcPts val="1500"/>
            </a:lnSpc>
          </a:pPr>
          <a:endParaRPr lang="fi-FI" sz="1600" baseline="0">
            <a:solidFill>
              <a:sysClr val="windowText" lastClr="000000"/>
            </a:solidFill>
          </a:endParaRPr>
        </a:p>
        <a:p>
          <a:pPr>
            <a:lnSpc>
              <a:spcPts val="1500"/>
            </a:lnSpc>
          </a:pPr>
          <a:r>
            <a:rPr lang="fi-FI" sz="1600" baseline="0">
              <a:solidFill>
                <a:sysClr val="windowText" lastClr="000000"/>
              </a:solidFill>
            </a:rPr>
            <a:t>Kuvion tasapainossa on huomioitu myös tasasuuruinen (€/as) kaikille kunnille tuleva valtionosuusvähennys sekä vuosille 2024 ja 2025 kohdistuva takautuva valtionosuuden takaisinperintä vuodelta 2023. Sen vuoksi tasapaino notkahtaa joillakin kunnilla vuosina 2024 ja 2025.</a:t>
          </a:r>
        </a:p>
        <a:p>
          <a:pPr>
            <a:lnSpc>
              <a:spcPts val="1500"/>
            </a:lnSpc>
          </a:pPr>
          <a:endParaRPr lang="fi-FI" sz="1600" baseline="0">
            <a:solidFill>
              <a:sysClr val="windowText" lastClr="000000"/>
            </a:solidFill>
          </a:endParaRPr>
        </a:p>
        <a:p>
          <a:pPr>
            <a:lnSpc>
              <a:spcPts val="1500"/>
            </a:lnSpc>
          </a:pPr>
          <a:r>
            <a:rPr lang="fi-FI" sz="1600" baseline="0">
              <a:solidFill>
                <a:sysClr val="windowText" lastClr="000000"/>
              </a:solidFill>
            </a:rPr>
            <a:t>Katkoviiva kuvaa siirtymätasauksen (sekä muiden erien) vaikutuksen tasapainoon. Vihreä palkkina näkyvä siirtymätasaus parantaa kunnan tasapainotilaa eli varmistaa sen, ettei sote-uudistus heikennä liikaa kunnan tasapainotilaa. Punaisena palkkina näkyvä siirtymätasaus varmistaa vastaavasti taas, ettei sote-uudistus paranna kunnan tasapainotilaa sallittuja rajoja enemmän.</a:t>
          </a:r>
        </a:p>
        <a:p>
          <a:pPr>
            <a:lnSpc>
              <a:spcPts val="1500"/>
            </a:lnSpc>
          </a:pPr>
          <a:endParaRPr lang="fi-FI" sz="1600" baseline="0">
            <a:solidFill>
              <a:srgbClr val="FF0000"/>
            </a:solidFill>
          </a:endParaRPr>
        </a:p>
        <a:p>
          <a:pPr>
            <a:lnSpc>
              <a:spcPts val="1500"/>
            </a:lnSpc>
          </a:pPr>
          <a:r>
            <a:rPr lang="fi-FI" sz="1600" baseline="0">
              <a:solidFill>
                <a:sysClr val="windowText" lastClr="000000"/>
              </a:solidFill>
            </a:rPr>
            <a:t>Siirtolaskelmissa ja Jakoavaimessa kuvattu tasapainotila (katkoviiva) on usemmastakin syystä laskennallinen. Ensinnäkin tiedot perustuvat vuoden 2022 tasoon eli verotulot ovat vuoden 2022 maksuunpantuja verotuloja eikä ne sisällä esimerkiksi vuoden 2023 veroennustetta. Sama pätee myös kuluihin. Ne ovat vuoden 2022 kuluja joista on vähennetty siirtyvien tehtävien kulut (kulujen keskiarvo vuosilta 2021 ja 2022 on korotettu 2022 vuoden tasoon). Kaikki tiedot kuvaavat siten uudistuksen voimaantulon poikkileikkaustilannetta. Tästä johtuen </a:t>
          </a:r>
          <a:r>
            <a:rPr lang="fi-FI" sz="1600" b="1" baseline="0">
              <a:solidFill>
                <a:sysClr val="windowText" lastClr="000000"/>
              </a:solidFill>
            </a:rPr>
            <a:t>siirtolaskelma ja Jakoavain kuvaavat vain sote-uudistuksen vaikutusta</a:t>
          </a:r>
          <a:r>
            <a:rPr lang="fi-FI" sz="1600" baseline="0">
              <a:solidFill>
                <a:sysClr val="windowText" lastClr="000000"/>
              </a:solidFill>
            </a:rPr>
            <a:t>. Esimerkiksi väestömuutos, talouskasvu ja työllisyysmuutokset jäävät tämän tarkastelun ulkopuolella. Taloussuunnittelun kannalta siirtolaskelmien ja Jakoavaimen keskeisin anti on siinä, että voit simuloida esimerkiksi lopputarkistuksen suuruutta kunnan valtionosuuksiin ennen virallisten laskelmien julkaisua.</a:t>
          </a:r>
        </a:p>
        <a:p>
          <a:pPr>
            <a:lnSpc>
              <a:spcPts val="1500"/>
            </a:lnSpc>
          </a:pPr>
          <a:endParaRPr lang="fi-FI" sz="1600" baseline="0">
            <a:solidFill>
              <a:srgbClr val="FF0000"/>
            </a:solidFill>
          </a:endParaRPr>
        </a:p>
      </xdr:txBody>
    </xdr:sp>
    <xdr:clientData/>
  </xdr:twoCellAnchor>
  <xdr:twoCellAnchor>
    <xdr:from>
      <xdr:col>0</xdr:col>
      <xdr:colOff>302714</xdr:colOff>
      <xdr:row>10</xdr:row>
      <xdr:rowOff>29089</xdr:rowOff>
    </xdr:from>
    <xdr:to>
      <xdr:col>7</xdr:col>
      <xdr:colOff>137583</xdr:colOff>
      <xdr:row>41</xdr:row>
      <xdr:rowOff>10583</xdr:rowOff>
    </xdr:to>
    <xdr:graphicFrame macro="">
      <xdr:nvGraphicFramePr>
        <xdr:cNvPr id="6" name="Kaavio 1">
          <a:extLst>
            <a:ext uri="{FF2B5EF4-FFF2-40B4-BE49-F238E27FC236}">
              <a16:creationId xmlns:a16="http://schemas.microsoft.com/office/drawing/2014/main" id="{48885CD7-01E3-4599-A968-2795A229BF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4434840</xdr:colOff>
      <xdr:row>1</xdr:row>
      <xdr:rowOff>30480</xdr:rowOff>
    </xdr:from>
    <xdr:to>
      <xdr:col>5</xdr:col>
      <xdr:colOff>5623560</xdr:colOff>
      <xdr:row>4</xdr:row>
      <xdr:rowOff>0</xdr:rowOff>
    </xdr:to>
    <xdr:pic>
      <xdr:nvPicPr>
        <xdr:cNvPr id="3904" name="Kuva 1">
          <a:extLst>
            <a:ext uri="{FF2B5EF4-FFF2-40B4-BE49-F238E27FC236}">
              <a16:creationId xmlns:a16="http://schemas.microsoft.com/office/drawing/2014/main" id="{2E61F972-55B8-BF82-89D8-FCA85B6A9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71860" y="198120"/>
          <a:ext cx="118872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5554980</xdr:colOff>
      <xdr:row>2</xdr:row>
      <xdr:rowOff>30480</xdr:rowOff>
    </xdr:from>
    <xdr:to>
      <xdr:col>4</xdr:col>
      <xdr:colOff>6720840</xdr:colOff>
      <xdr:row>4</xdr:row>
      <xdr:rowOff>144780</xdr:rowOff>
    </xdr:to>
    <xdr:pic>
      <xdr:nvPicPr>
        <xdr:cNvPr id="4927" name="Kuva 1">
          <a:extLst>
            <a:ext uri="{FF2B5EF4-FFF2-40B4-BE49-F238E27FC236}">
              <a16:creationId xmlns:a16="http://schemas.microsoft.com/office/drawing/2014/main" id="{38DADCA9-6ABB-A19A-C271-ED73F3FB6F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34800" y="411480"/>
          <a:ext cx="116586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114300</xdr:colOff>
      <xdr:row>8</xdr:row>
      <xdr:rowOff>99060</xdr:rowOff>
    </xdr:from>
    <xdr:to>
      <xdr:col>20</xdr:col>
      <xdr:colOff>60960</xdr:colOff>
      <xdr:row>15</xdr:row>
      <xdr:rowOff>106680</xdr:rowOff>
    </xdr:to>
    <xdr:pic>
      <xdr:nvPicPr>
        <xdr:cNvPr id="1034586" name="Kuva 2">
          <a:extLst>
            <a:ext uri="{FF2B5EF4-FFF2-40B4-BE49-F238E27FC236}">
              <a16:creationId xmlns:a16="http://schemas.microsoft.com/office/drawing/2014/main" id="{C70F4751-235E-C4F0-C399-056C061249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620" y="1440180"/>
          <a:ext cx="421386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ehtonen Mikko" id="{FA4D684B-3704-4C6B-B340-1304A3D47770}" userId="S::Mikko.Mehtonen@kuntaliitto.fi::69bd3d20-143f-48ed-a68c-c6569ca4261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 dT="2023-01-17T11:37:57.01" personId="{FA4D684B-3704-4C6B-B340-1304A3D47770}" id="{35BA52BF-2B31-4ABB-9471-5DCF2D583485}">
    <text>Lähde: Tilastokeskus (tp- ja väestötiedot), VM(siirtolaskelma marraskuu 2022) ja Kuntaliitto(muut laskelmat)</text>
  </threadedComment>
  <threadedComment ref="C10" dT="2022-12-08T12:21:20.25" personId="{FA4D684B-3704-4C6B-B340-1304A3D47770}" id="{C0175BCE-348E-462C-8221-10F8920F4E0C}">
    <text>Voit täyttää tähän vuoden 2022 tilinpäätöstä vastaavan luvun. Jakoavain laskee siirtolaskelmissa käytettävän keskiarvon. Syötä tähän toimintakate + poistot.</text>
  </threadedComment>
  <threadedComment ref="C10" dT="2023-03-16T07:34:44.76" personId="{FA4D684B-3704-4C6B-B340-1304A3D47770}" id="{DEA07AE5-A3A7-4F5B-914E-1C98B9706BC8}" parentId="{C0175BCE-348E-462C-8221-10F8920F4E0C}">
    <text>Esitäytetty tilinpäätösarvio 2022 mukaiset kulut.</text>
  </threadedComment>
  <threadedComment ref="C10" dT="2023-03-16T10:37:10.75" personId="{FA4D684B-3704-4C6B-B340-1304A3D47770}" id="{4850B621-CE93-46EA-9F0E-D961177F9BCC}" parentId="{C0175BCE-348E-462C-8221-10F8920F4E0C}">
    <text>Muutos: poistoja ei enää eritellä alempana vaan ne sisältyvät tähän.</text>
  </threadedComment>
  <threadedComment ref="C11" dT="2023-02-06T10:42:07.74" personId="{FA4D684B-3704-4C6B-B340-1304A3D47770}" id="{5018C8E3-3B3C-4E25-803B-D63BC2B78538}">
    <text>Voit täyttää tähän vuoden 2022 tilinpäätöstä vastaavan luvun. Jakoavain laskee siirtolaskelmissa käytettävän keskiarvon. Syötä tähän toimintakate + poistot.</text>
  </threadedComment>
  <threadedComment ref="C11" dT="2023-03-16T07:34:49.28" personId="{FA4D684B-3704-4C6B-B340-1304A3D47770}" id="{A6806185-3564-450B-9DDB-85913C48C684}" parentId="{5018C8E3-3B3C-4E25-803B-D63BC2B78538}">
    <text>Esitäytetty tilinpäätösarvio 2022 mukaiset kulut.</text>
  </threadedComment>
  <threadedComment ref="C11" dT="2023-03-16T10:37:22.01" personId="{FA4D684B-3704-4C6B-B340-1304A3D47770}" id="{BA9CD627-C4D6-45E0-9BAB-A954ED2AF131}" parentId="{5018C8E3-3B3C-4E25-803B-D63BC2B78538}">
    <text>Muutos: poistoja ei enää eritellä alempana vaan ne sisältyvät tähän.</text>
  </threadedComment>
  <threadedComment ref="B14" dT="2023-01-17T11:16:50.12" personId="{FA4D684B-3704-4C6B-B340-1304A3D47770}" id="{91904040-C26E-4221-8790-DE2D804778EA}">
    <text>Siirtolaskelmissa käytetään maksuunpantuja verotuloja. Verotulojen tietopohja lukittiin peruspalveluiden valtionosuusasetuksessa. Maksuunpannut verotulot kuvaavat poikkileikkaustilannetta kuten myös siirrettävät kulut sekä valtionosuudet.</text>
  </threadedComment>
  <threadedComment ref="B14" dT="2023-01-17T11:17:13.21" personId="{FA4D684B-3704-4C6B-B340-1304A3D47770}" id="{E4E9A78D-C707-4050-B42B-3B586511059D}" parentId="{91904040-C26E-4221-8790-DE2D804778EA}">
    <text>Myös verotiedot päivitetään siirtolaskelmassa vastaamaan lopullista. Siirtolaskelman lopputarkistuksessa käytetään vuoden 2022 lopullisia maksuunpantuja veroja siten, että siirtyvä kunnallisvero vastaa 12,64 prosenttiyksikön leikkausta kun taas siirtyvä yhteisövero vastaa 1/3 osaa kunnan yhteisöveroista.</text>
  </threadedComment>
  <threadedComment ref="B15" dT="2022-12-21T06:39:47.57" personId="{FA4D684B-3704-4C6B-B340-1304A3D47770}" id="{B16388A7-B995-4981-820A-DF16E5976BDA}">
    <text>Voit simuloida vaikutusta Kuntaliiton veroennusteella. Korvaa Kuntaliiton veroennuste soluista F14 ja F15.</text>
  </threadedComment>
  <threadedComment ref="B15" dT="2023-01-17T11:09:43.57" personId="{FA4D684B-3704-4C6B-B340-1304A3D47770}" id="{128DBD67-F7F1-4977-8861-4BF8FEEBAFFF}" parentId="{B16388A7-B995-4981-820A-DF16E5976BDA}">
    <text>Jos haluat käyttää verokehikon muokattua kunnallisveroennustetta, poimi kehikosta: välilehti A1, solu I62</text>
  </threadedComment>
  <threadedComment ref="B15" dT="2023-01-17T11:18:24.02" personId="{FA4D684B-3704-4C6B-B340-1304A3D47770}" id="{CE82CCC8-408E-4905-BD9D-1E6A97E66E40}" parentId="{B16388A7-B995-4981-820A-DF16E5976BDA}">
    <text>Jakoavain laskee automaattisesti valitun kunnan siirtyvät verotulot.</text>
  </threadedComment>
  <threadedComment ref="B15" dT="2023-03-16T11:54:32.02" personId="{FA4D684B-3704-4C6B-B340-1304A3D47770}" id="{4B5684E0-EAA1-4ACC-BAC3-46E106948280}" parentId="{B16388A7-B995-4981-820A-DF16E5976BDA}">
    <text>Jakoavaimessa on esitäytettynä VM:n veroennuste. Verotuloarviot tarkentuvat kesäkuussa. Nyt käytössä olevat arviot saattavat vielä muuttua jonkin verran.</text>
  </threadedComment>
  <threadedComment ref="F15" dT="2023-04-11T05:58:30.11" personId="{FA4D684B-3704-4C6B-B340-1304A3D47770}" id="{B43B3CC1-95C9-4958-81C2-8C91B258F966}">
    <text>Huhtikuussa 2023 julkaistu kuntakohtainen veroennuste.</text>
  </threadedComment>
  <threadedComment ref="F15" dT="2023-04-21T06:22:07.93" personId="{FA4D684B-3704-4C6B-B340-1304A3D47770}" id="{1F213D9C-16A4-4E7E-9E7C-D2F23442E262}" parentId="{B43B3CC1-95C9-4958-81C2-8C91B258F966}">
    <text>Voit korvata tämän luvun soluun B15. Silloin Jakoavain laskee valtionosuuksien muutostarpeen.</text>
  </threadedComment>
  <threadedComment ref="B16" dT="2022-12-29T12:45:35.14" personId="{FA4D684B-3704-4C6B-B340-1304A3D47770}" id="{5CDCB149-ECAF-45D8-86EB-B0C388B43562}">
    <text>Voit simuloida vaikutusta Kuntaliiton veroennusteella. Korvaa Kuntaliiton veroennuste soluista F14 ja F15.</text>
  </threadedComment>
  <threadedComment ref="B16" dT="2023-01-17T11:09:57.72" personId="{FA4D684B-3704-4C6B-B340-1304A3D47770}" id="{70E5A4A9-EBB9-42E3-879A-B1206587BD8E}" parentId="{5CDCB149-ECAF-45D8-86EB-B0C388B43562}">
    <text>Jos haluat käyttää kehikon muokattua yhteisöveroennustetta, syötä kehikosta: välilehti "B1ja2", solu I12</text>
  </threadedComment>
  <threadedComment ref="B16" dT="2023-01-17T11:20:46.60" personId="{FA4D684B-3704-4C6B-B340-1304A3D47770}" id="{F6296EAB-9232-45F7-84D3-688A873D977B}" parentId="{5CDCB149-ECAF-45D8-86EB-B0C388B43562}">
    <text>Jakoavain laskee automaattisesti valitun kunnan siirtyvät verotulot.</text>
  </threadedComment>
  <threadedComment ref="B16" dT="2023-03-16T11:54:36.71" personId="{FA4D684B-3704-4C6B-B340-1304A3D47770}" id="{6FA263EB-C4B3-4EBF-AAD3-6A0AE8895D80}" parentId="{5CDCB149-ECAF-45D8-86EB-B0C388B43562}">
    <text xml:space="preserve">Jakoavaimessa on esitäytettynä VM:n veroennuste. Verotuloarviot tarkentuvat kesäkuussa. Nyt käytössä olevat arviot saattavat vielä muuttua jonkin verran.
</text>
  </threadedComment>
  <threadedComment ref="F16" dT="2023-04-21T06:22:26.36" personId="{FA4D684B-3704-4C6B-B340-1304A3D47770}" id="{3128B79F-E70A-4F02-8428-D69FA7BDC979}">
    <text>Voit korvata tämän luvun soluun B16. Silloin Jakoavain laskee valtionosuuksien korjaustarpeen.</text>
  </threadedComment>
  <threadedComment ref="D20" dT="2023-01-17T11:11:34.43" personId="{FA4D684B-3704-4C6B-B340-1304A3D47770}" id="{E8874A58-AEE5-4FCD-8E41-BDA49ADA4A3F}">
    <text>Vuoden 2023 valtionosuusmaksatusta varten laskettu siirtolaskelma, joka ei muutu vuoden 2023 aikana, mutta joka peritään takaisin tai hyvitetään vuosina 2024 ja 2025. Ks. Rivi 58. Lopputarkistus lasketaan koko maan tasoisesti, ei kuntakohtaisesti.</text>
  </threadedComment>
  <threadedComment ref="A21" dT="2023-03-16T10:57:03.45" personId="{FA4D684B-3704-4C6B-B340-1304A3D47770}" id="{14F851E8-FB80-460E-86AB-E4139D454765}">
    <text>Toimintakate+poistot ilman verotuskustannusten alenemaa.</text>
  </threadedComment>
  <threadedComment ref="C21" dT="2022-12-08T12:21:52.93" personId="{FA4D684B-3704-4C6B-B340-1304A3D47770}" id="{2ACBCEE9-74B4-4D37-9AFB-81C7E81619A7}">
    <text>Jakoavain laskee toimintakatteen kahden luvun keskiarvona joka korotetaan vuoden 2022 tasoon kertoimella. Jakoavain laskee keskiarvon alla olevista laatikoista.</text>
  </threadedComment>
  <threadedComment ref="C21" dT="2023-01-17T11:05:36.46" personId="{FA4D684B-3704-4C6B-B340-1304A3D47770}" id="{16118969-AF09-46C7-BFA0-6FA54E73272D}" parentId="{2ACBCEE9-74B4-4D37-9AFB-81C7E81619A7}">
    <text>Siirtyvä toimintakate lasketaan kuntien ilmoittamista tiedoista. Se lasketaan ottamalla siirtyvien tehtävien nettokulujen keskiarvo vuosilta 2021 ja 2022. Keskiarvo kerrotaan korotuskertoimella vuoden 2022 tasoon. Tämä sen vuoksi, että laskelmat on määrätty tehtäväksi vuoden 2022 tasossa. Keskiarvon käyttäminen vähentää kuitenkin yksittäisten kuntien kulujen heilahtelun vaikutuksia. Kunnat ovat ilmoittaneet vuoden 2021 kustannukset KKTPP raportin yhteydessä Valtiokonttorille. Alustavassa laskelmassa vuoden 2022 kulutietona käytetään talousarviotietoa, jonka Tilastokeskus on kerännyt vuoden 2022 alussa. Siirtolaskelmien lopputarkistuksessa TA2022 tieto korvataan TP2022 tiedolla. Voit simuloida lopputarkistuksen vaikutusta syöttämällä soluihin C34 ja C35 tilinpäätöksen 2022 mukaiset nettokulut (toimintakate). Poistot on syötetty riville 68.</text>
  </threadedComment>
  <threadedComment ref="C25" dT="2023-01-17T11:32:20.87" personId="{FA4D684B-3704-4C6B-B340-1304A3D47770}" id="{340AE68A-C3D7-4804-8BC5-A8BCE5A166FA}">
    <text>Huomio myös se, että veroennustekehikossa vuoden 2023 maksuunpantuihin verotuloihin on arvioitu myös esimerkiksi ansiotulojen kehitys 2022-&gt;2023, kun taas siirtolaskelmat tehdään aina 2022 tasossa. Toki siirtolaskelmissa huomioidaan verovähennyksissä tapahtuvat muutokset mutta niissä ei huomioida esimerkiksi väestössä tai työllisyydessä tapahtuvia muutoksia 2022 ja 2023 vuosien välillä.</text>
  </threadedComment>
  <threadedComment ref="C25" dT="2023-01-17T11:32:33.63" personId="{FA4D684B-3704-4C6B-B340-1304A3D47770}" id="{3D17F79F-7434-4FB7-B7AB-EBCA8865C2EC}" parentId="{340AE68A-C3D7-4804-8BC5-A8BCE5A166FA}">
    <text>Näistä syistä johtuen veroennustekehikon ja siirtolaskelmien maksuunpannut verotulot eivät ole täysin  vertailukelpoisia vuoden 2023 osalta. Jos simuloit jakoavaimella eri suuruisten maksunpantujen verotulojen vaikutusta, huomioi, että verotulot tulee olla siirtolaskelmissa aina vuoden 2022 tasossa eli laskettuna vuoden 2022 maksuunpannuista verotuloista (kehikossa välilehti A.1, solu I62).</text>
  </threadedComment>
  <threadedComment ref="C25" dT="2023-03-16T11:55:47.69" personId="{FA4D684B-3704-4C6B-B340-1304A3D47770}" id="{DBEA63F8-0C22-4B84-9D97-3FC89CA5207B}" parentId="{340AE68A-C3D7-4804-8BC5-A8BCE5A166FA}">
    <text>Jakoavain laskee keltaisesta solusta siirtyvät verotulot.</text>
  </threadedComment>
  <threadedComment ref="C26" dT="2023-03-16T11:55:53.09" personId="{FA4D684B-3704-4C6B-B340-1304A3D47770}" id="{31F966BE-33A6-46C8-AB2E-7B71FD54C297}">
    <text>Jakoavain laskee keltaisesta solusta siirtyvät verotulot.</text>
  </threadedComment>
  <threadedComment ref="A33" dT="2023-01-17T11:32:57.91" personId="{FA4D684B-3704-4C6B-B340-1304A3D47770}" id="{4E2AF42A-DB62-4C52-A6D5-298EF130EF80}">
    <text>Sote-uudistus sisältää kaksi kuntakohtaista tasauselementtiä: muutosrajoittimen sekä siirtymätasauksen. Molemmat jäävät osaksi valtionosuutta ja niitä ei päivitetä enää lopputarkistuksen jälkeen.</text>
  </threadedComment>
  <threadedComment ref="A33" dT="2023-01-17T11:33:06.58" personId="{FA4D684B-3704-4C6B-B340-1304A3D47770}" id="{2290B905-5A0C-4B32-B401-5EB034382543}" parentId="{4E2AF42A-DB62-4C52-A6D5-298EF130EF80}">
    <text>Näillä tasauselementeillä uudistuksen talousvaikutus tasataan yksittäiselle kunnalle.</text>
  </threadedComment>
  <threadedComment ref="A33" dT="2023-03-17T07:57:39.55" personId="{FA4D684B-3704-4C6B-B340-1304A3D47770}" id="{7E45FDD0-3E18-4EF7-9AF1-3E29D93DD0E2}" parentId="{4E2AF42A-DB62-4C52-A6D5-298EF130EF80}">
    <text>Muutosrajoitin siirtolaskelmista vos-laskelmien pysyväksi eräksi.</text>
  </threadedComment>
  <threadedComment ref="E33" dT="2023-04-11T05:26:23.51" personId="{FA4D684B-3704-4C6B-B340-1304A3D47770}" id="{E66C572B-BF05-466B-82B1-E892726BDFAD}">
    <text>Seuraa laatikoituja alueita.</text>
  </threadedComment>
  <threadedComment ref="A34" dT="2023-03-17T07:57:52.43" personId="{FA4D684B-3704-4C6B-B340-1304A3D47770}" id="{2C866C0B-8A80-4825-A873-7176E6441C6D}">
    <text>Siirtymätasaus siirtolaskelmista vos-laskelmien pysyväksi eräksi.</text>
  </threadedComment>
  <threadedComment ref="A35" dT="2023-01-17T11:34:08.30" personId="{FA4D684B-3704-4C6B-B340-1304A3D47770}" id="{6124946F-6692-4A7F-B28E-7828D381DB0A}">
    <text>Siirtolaskelmien lopputarkistuksessa kunnilta leikataan yhtäsuuruinen €/asukas vähennys valtionosuuksista. Tällä katetaan hyvinvointialueiden rahoitustarve koko maan tasolla. Tasasuuruinen vähennys huomioidaan osana muutosrajoitinta ja siirtyviä tuottoja. Ylimenevä osa vaikuttaa kuntakohtaisesti ja näkyy kunnan muutosrajoittimessa siirtyvänä tulona (ks. välilehti Muutosrajoitin (lopullinen)). Lopputarkistuksen suuruus tarkentuu myöhemmin. Lopputarkistus otetaan 1,5-kertaisena vuosilta 2024 ja 2025, koska vuoden 2023 ylimääräisesti maksettu valtionosuus peritään takaisin (tai hyvitetään jos maksettu liian vähän). Vuodesta 2026 lähtien tasasuuruinen leikkaus jää pysyväksi (ilman korotusta) osaksi valtionosuutta. Näillä näkymin siirtolaskelmien lopputarkistuksen kaikille yhteinen vos-vähennys tulisi olemaan n. 30 euroa asukasta kohden.</text>
  </threadedComment>
  <threadedComment ref="A35" dT="2023-01-31T12:50:12.54" personId="{FA4D684B-3704-4C6B-B340-1304A3D47770}" id="{AFF1A73E-2087-4A18-97D7-4C7FE68BE393}" parentId="{6124946F-6692-4A7F-B28E-7828D381DB0A}">
    <text>Tasasuuruisen leikkauksen suuruutta voi simuloida syöttämällä (€/asukas) summan soluun B95.</text>
  </threadedComment>
  <threadedComment ref="A36" dT="2023-01-17T11:34:46.10" personId="{FA4D684B-3704-4C6B-B340-1304A3D47770}" id="{6BAF4501-4221-4D67-B0F9-D7BD550F7980}">
    <text xml:space="preserve">Takaisinperintä toteutetaan kaikille kunnille yhteisenä (€/asukas) vähennyksenä. Kuntakohtaista muutosrajoitinta ja siirtymätasausta ei peritä takaisin tai hyvitetä. </text>
  </threadedComment>
  <threadedComment ref="A36" dT="2023-01-17T11:36:42.66" personId="{FA4D684B-3704-4C6B-B340-1304A3D47770}" id="{BF773C88-587B-474F-B1D1-FC057B6A2BC3}" parentId="{6BAF4501-4221-4D67-B0F9-D7BD550F7980}">
    <text>Lopputarkistuksen ja takaisinperinnän lopullinen suuruus selviää syksyllä 2023.</text>
  </threadedComment>
  <threadedComment ref="A47" dT="2023-03-16T10:35:48.89" personId="{FA4D684B-3704-4C6B-B340-1304A3D47770}" id="{D869D6A7-600B-41A4-9863-0A668B9812CE}">
    <text>Poistot huomioidaan yllä siirtyvissä nettokäyttökuluissa (toimintakate+poistot).</text>
  </threadedComment>
  <threadedComment ref="A51" dT="2023-01-18T10:42:28.11" personId="{FA4D684B-3704-4C6B-B340-1304A3D47770}" id="{73094CF6-B1A2-4B34-835F-4547C3D66280}">
    <text>Tilikauden tulos vastaa tässä siirtolaskelmien tasapainoa eli se on laskennallinen. Tulos ei vastaa tilinpäätöksen mukaista tulosta esimerkiksi sen vuoksi, että verotulot pohjautuvat maksuunpantuihin veroihin, ei tilitettyihin kirjanpidon ja tilinpäätöksen mukaisiin verotuloihin. Tilikauden tuloksen  muutos kuitenkin kuvaa todellista tulosvaikutusta.</text>
  </threadedComment>
  <threadedComment ref="A62" dT="2023-03-28T07:51:34.07" personId="{FA4D684B-3704-4C6B-B340-1304A3D47770}" id="{F801E6FE-ECDE-4B3A-A6BB-888CE84AF289}">
    <text>Alkuperäinen: VM 6.4 julkaiseman siirtolaskelman mukaan.</text>
  </threadedComment>
  <threadedComment ref="A63" dT="2023-04-06T11:07:47.29" personId="{FA4D684B-3704-4C6B-B340-1304A3D47770}" id="{ED65EDF2-943C-4AFE-B9CC-AC78A54F7E76}">
    <text>Muokattu: Jakoavaimeen syötettyjen tietojen mukaan laskettuna.</text>
  </threadedComment>
  <threadedComment ref="A64" dT="2023-04-21T06:30:35.70" personId="{FA4D684B-3704-4C6B-B340-1304A3D47770}" id="{C4CD0796-A6CC-4314-8C2E-567298F25F97}">
    <text>Lisää tai vähennä erotus ennakollisiin valtionosuuslaskelmiin.</text>
  </threadedComment>
  <threadedComment ref="E64" dT="2023-04-11T05:10:56.23" personId="{FA4D684B-3704-4C6B-B340-1304A3D47770}" id="{1B34B45C-7C45-4687-90D9-9DA59A968794}">
    <text>Vertaa muutosta ennakollisiin valtionosuuslaskelmiin ja lisää tai vähennä vos-lukua tarvittaessa.</text>
  </threadedComment>
  <threadedComment ref="E64" dT="2023-04-11T05:12:13.10" personId="{FA4D684B-3704-4C6B-B340-1304A3D47770}" id="{B301F49A-D0E9-41B2-ADA0-5AEC3457FA7A}" parentId="{1B34B45C-7C45-4687-90D9-9DA59A968794}">
    <text>Esimerkiksi jos valtionosuudet laskevat kasvavien sote-kulujen vuoksi, voit olettaa, että ennakolliset valtionosuuslaskelmat ovat liian suuret.</text>
  </threadedComment>
  <threadedComment ref="A68" dT="2023-03-28T07:51:28.39" personId="{FA4D684B-3704-4C6B-B340-1304A3D47770}" id="{371B32DD-50D1-4A37-9067-7DBDC1128B3F}">
    <text>Alkuperäinen: VM 6.4 julkaiseman siirtolaskelman mukaan.</text>
  </threadedComment>
  <threadedComment ref="A69" dT="2023-04-06T11:07:55.31" personId="{FA4D684B-3704-4C6B-B340-1304A3D47770}" id="{27BAA349-90AB-476F-9F0A-0FF169727234}">
    <text>Muokattu: Jakoavaimeen syötettyjen tietojen mukaan laskettuna.</text>
  </threadedComment>
  <threadedComment ref="E70" dT="2023-04-11T05:11:22.22" personId="{FA4D684B-3704-4C6B-B340-1304A3D47770}" id="{54FEF895-2507-48A0-BE40-144914ACC43F}">
    <text xml:space="preserve">Vaikutus tulokseen pitää sisällään myös valtionosuuksien muutoksen. </text>
  </threadedComment>
  <threadedComment ref="B73" dT="2023-01-31T12:52:20.10" personId="{FA4D684B-3704-4C6B-B340-1304A3D47770}" id="{33AFAC98-168F-49D4-AAE5-1F009E548B4D}">
    <text>Tasasuuruinen vos-leikkaus lasketaan koko maan tasolla siten, että hyvinvointialueille siirtyviä kuluja verrataan kunnilta siirtyvään rahoitukseen. Mikäli siirtyvä rahoitus ei riitä kattamaan siirtyviä kuluja koko maan tasolla, leikataan kaikilta kunnilta yhtä suuruinen €/asukas vähennys. Tämä huomioidaan osaksi muutosrajoitinta. Tämän lisäksi kuntakohtainen muutosrajoitin sekä siirtymätasaus lasketaan uusiksi. Jakoavain tekee nämä laskelmat.</text>
  </threadedComment>
  <threadedComment ref="B73" dT="2023-01-31T12:54:10.64" personId="{FA4D684B-3704-4C6B-B340-1304A3D47770}" id="{D0295B16-B8E3-4C65-823E-CAEC88B318EF}" parentId="{33AFAC98-168F-49D4-AAE5-1F009E548B4D}">
    <text>Laita miinusmerkki luvun eteen, muutoin Jakoavain tulkitsee arvon hyvitykseksi.</text>
  </threadedComment>
  <threadedComment ref="B73" dT="2023-03-16T07:35:45.79" personId="{FA4D684B-3704-4C6B-B340-1304A3D47770}" id="{A353012A-353B-4474-8399-534893A93F4A}" parentId="{33AFAC98-168F-49D4-AAE5-1F009E548B4D}">
    <text>Esitäyttönä Kuntaliiton (16.3) arvion mukainen leikkaus.</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3-03-16T10:58:43.00" personId="{FA4D684B-3704-4C6B-B340-1304A3D47770}" id="{F4503270-8252-462F-8837-0EB7D5143A77}">
    <text>Ilman verotuskustannusten alenemaa.</text>
  </threadedComment>
</ThreadedComments>
</file>

<file path=xl/threadedComments/threadedComment3.xml><?xml version="1.0" encoding="utf-8"?>
<ThreadedComments xmlns="http://schemas.microsoft.com/office/spreadsheetml/2018/threadedcomments" xmlns:x="http://schemas.openxmlformats.org/spreadsheetml/2006/main">
  <threadedComment ref="DA11" dT="2023-04-21T06:20:17.02" personId="{FA4D684B-3704-4C6B-B340-1304A3D47770}" id="{6A0E2409-76C1-4100-B168-4C2237996ECF}">
    <text>Huhtikuu 2023</text>
  </threadedComment>
  <threadedComment ref="DB11" dT="2023-04-21T06:20:48.10" personId="{FA4D684B-3704-4C6B-B340-1304A3D47770}" id="{126823A2-F0AB-4AAB-8B9D-BD589293A71C}">
    <text>Huhtikuu 2023</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alueuudistus.fi/documents/1477425/5328784/Kuntakohtaisten+painelaskelmien+aineisto-+ja+menetelm%C3%A4kuvaus+15092017/35d54485-5fa0-497c-a9fe-9ae11d963a09" TargetMode="External"/><Relationship Id="rId1" Type="http://schemas.openxmlformats.org/officeDocument/2006/relationships/hyperlink" Target="http://alueuudistus.fi/kuntien-valtionosuusjarjestelma"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5"/>
  <dimension ref="A1:A25"/>
  <sheetViews>
    <sheetView zoomScale="130" zoomScaleNormal="130" workbookViewId="0">
      <selection activeCell="A6" sqref="A6"/>
    </sheetView>
  </sheetViews>
  <sheetFormatPr defaultColWidth="9.140625" defaultRowHeight="12.75" x14ac:dyDescent="0.2"/>
  <cols>
    <col min="1" max="16384" width="9.140625" style="317"/>
  </cols>
  <sheetData>
    <row r="1" spans="1:1" ht="23.25" x14ac:dyDescent="0.35">
      <c r="A1" s="319" t="s">
        <v>648</v>
      </c>
    </row>
    <row r="3" spans="1:1" x14ac:dyDescent="0.2">
      <c r="A3" s="318" t="s">
        <v>768</v>
      </c>
    </row>
    <row r="4" spans="1:1" x14ac:dyDescent="0.2">
      <c r="A4" s="318" t="s">
        <v>758</v>
      </c>
    </row>
    <row r="5" spans="1:1" ht="15" x14ac:dyDescent="0.2">
      <c r="A5" s="404" t="s">
        <v>769</v>
      </c>
    </row>
    <row r="6" spans="1:1" ht="15" x14ac:dyDescent="0.2">
      <c r="A6" s="404"/>
    </row>
    <row r="7" spans="1:1" ht="15" x14ac:dyDescent="0.2">
      <c r="A7" s="320" t="s">
        <v>649</v>
      </c>
    </row>
    <row r="8" spans="1:1" ht="15" x14ac:dyDescent="0.2">
      <c r="A8" s="320" t="s">
        <v>766</v>
      </c>
    </row>
    <row r="9" spans="1:1" ht="15" x14ac:dyDescent="0.2">
      <c r="A9" s="320" t="s">
        <v>657</v>
      </c>
    </row>
    <row r="10" spans="1:1" ht="15" x14ac:dyDescent="0.2">
      <c r="A10" s="320" t="s">
        <v>716</v>
      </c>
    </row>
    <row r="11" spans="1:1" ht="15" x14ac:dyDescent="0.2">
      <c r="A11" s="320" t="s">
        <v>767</v>
      </c>
    </row>
    <row r="12" spans="1:1" ht="15" x14ac:dyDescent="0.2">
      <c r="A12" s="320" t="s">
        <v>763</v>
      </c>
    </row>
    <row r="13" spans="1:1" ht="15" x14ac:dyDescent="0.2">
      <c r="A13" s="320" t="s">
        <v>764</v>
      </c>
    </row>
    <row r="14" spans="1:1" ht="15" x14ac:dyDescent="0.2">
      <c r="A14" s="320"/>
    </row>
    <row r="15" spans="1:1" ht="15" x14ac:dyDescent="0.2">
      <c r="A15" s="516" t="s">
        <v>760</v>
      </c>
    </row>
    <row r="16" spans="1:1" ht="15" x14ac:dyDescent="0.2">
      <c r="A16" s="517" t="s">
        <v>765</v>
      </c>
    </row>
    <row r="17" spans="1:1" ht="15" x14ac:dyDescent="0.2">
      <c r="A17" s="517" t="s">
        <v>759</v>
      </c>
    </row>
    <row r="18" spans="1:1" ht="15" x14ac:dyDescent="0.2">
      <c r="A18" s="517" t="s">
        <v>761</v>
      </c>
    </row>
    <row r="19" spans="1:1" ht="15" x14ac:dyDescent="0.2">
      <c r="A19" s="517"/>
    </row>
    <row r="20" spans="1:1" ht="15" x14ac:dyDescent="0.2">
      <c r="A20" s="320" t="s">
        <v>717</v>
      </c>
    </row>
    <row r="21" spans="1:1" ht="15" x14ac:dyDescent="0.2">
      <c r="A21" s="320" t="s">
        <v>762</v>
      </c>
    </row>
    <row r="22" spans="1:1" ht="15" x14ac:dyDescent="0.2">
      <c r="A22" s="320"/>
    </row>
    <row r="23" spans="1:1" ht="15" x14ac:dyDescent="0.2">
      <c r="A23" s="404" t="s">
        <v>718</v>
      </c>
    </row>
    <row r="24" spans="1:1" ht="15" x14ac:dyDescent="0.2">
      <c r="A24" s="404"/>
    </row>
    <row r="25" spans="1:1" ht="15" x14ac:dyDescent="0.2">
      <c r="A25" s="404" t="s">
        <v>719</v>
      </c>
    </row>
  </sheetData>
  <pageMargins left="0.7" right="0.7" top="0.75" bottom="0.75" header="0.3" footer="0.3"/>
  <pageSetup paperSize="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11"/>
  <dimension ref="A1:C304"/>
  <sheetViews>
    <sheetView workbookViewId="0">
      <selection activeCell="D9" sqref="D9"/>
    </sheetView>
  </sheetViews>
  <sheetFormatPr defaultRowHeight="12.75" x14ac:dyDescent="0.2"/>
  <cols>
    <col min="1" max="1" width="40.7109375" customWidth="1"/>
    <col min="2" max="2" width="21.7109375" customWidth="1"/>
    <col min="3" max="3" width="17.42578125" customWidth="1"/>
  </cols>
  <sheetData>
    <row r="1" spans="1:3" ht="18.75" x14ac:dyDescent="0.3">
      <c r="A1" s="139"/>
      <c r="B1" t="s">
        <v>481</v>
      </c>
    </row>
    <row r="2" spans="1:3" x14ac:dyDescent="0.2">
      <c r="B2" t="s">
        <v>610</v>
      </c>
    </row>
    <row r="3" spans="1:3" ht="15" x14ac:dyDescent="0.25">
      <c r="B3" s="129"/>
    </row>
    <row r="4" spans="1:3" ht="15" x14ac:dyDescent="0.25">
      <c r="B4" s="129"/>
    </row>
    <row r="5" spans="1:3" ht="15" x14ac:dyDescent="0.25">
      <c r="A5" s="129" t="s">
        <v>142</v>
      </c>
      <c r="B5" s="94">
        <v>9700</v>
      </c>
      <c r="C5" s="67"/>
    </row>
    <row r="6" spans="1:3" ht="15" x14ac:dyDescent="0.25">
      <c r="A6" s="129" t="s">
        <v>143</v>
      </c>
      <c r="B6" s="94">
        <v>2573</v>
      </c>
      <c r="C6" s="67"/>
    </row>
    <row r="7" spans="1:3" ht="15" x14ac:dyDescent="0.25">
      <c r="A7" s="129" t="s">
        <v>144</v>
      </c>
      <c r="B7" s="94">
        <v>11544</v>
      </c>
      <c r="C7" s="67"/>
    </row>
    <row r="8" spans="1:3" ht="15" x14ac:dyDescent="0.25">
      <c r="A8" s="129" t="s">
        <v>145</v>
      </c>
      <c r="B8" s="94">
        <v>8149</v>
      </c>
      <c r="C8" s="67"/>
    </row>
    <row r="9" spans="1:3" ht="15" x14ac:dyDescent="0.25">
      <c r="A9" s="129" t="s">
        <v>146</v>
      </c>
      <c r="B9" s="94">
        <v>4958</v>
      </c>
      <c r="C9" s="67"/>
    </row>
    <row r="10" spans="1:3" ht="15" x14ac:dyDescent="0.25">
      <c r="A10" s="129" t="s">
        <v>147</v>
      </c>
      <c r="B10" s="94">
        <v>3984</v>
      </c>
      <c r="C10" s="67"/>
    </row>
    <row r="11" spans="1:3" ht="15" x14ac:dyDescent="0.25">
      <c r="A11" s="129" t="s">
        <v>125</v>
      </c>
      <c r="B11" s="94">
        <v>16611</v>
      </c>
      <c r="C11" s="67"/>
    </row>
    <row r="12" spans="1:3" ht="15" x14ac:dyDescent="0.25">
      <c r="A12" s="129" t="s">
        <v>148</v>
      </c>
      <c r="B12" s="94">
        <v>1405</v>
      </c>
      <c r="C12" s="67"/>
    </row>
    <row r="13" spans="1:3" ht="15" x14ac:dyDescent="0.25">
      <c r="A13" s="129" t="s">
        <v>149</v>
      </c>
      <c r="B13" s="94">
        <v>1852</v>
      </c>
      <c r="C13" s="67"/>
    </row>
    <row r="14" spans="1:3" ht="15" x14ac:dyDescent="0.25">
      <c r="A14" s="129" t="s">
        <v>150</v>
      </c>
      <c r="B14" s="94">
        <v>283632</v>
      </c>
      <c r="C14" s="67"/>
    </row>
    <row r="15" spans="1:3" ht="15" x14ac:dyDescent="0.25">
      <c r="A15" s="129" t="s">
        <v>151</v>
      </c>
      <c r="B15" s="94">
        <v>11748</v>
      </c>
      <c r="C15" s="67"/>
    </row>
    <row r="16" spans="1:3" ht="15" x14ac:dyDescent="0.25">
      <c r="A16" s="129" t="s">
        <v>152</v>
      </c>
      <c r="B16" s="94">
        <v>9454</v>
      </c>
      <c r="C16" s="67"/>
    </row>
    <row r="17" spans="1:3" ht="15" x14ac:dyDescent="0.25">
      <c r="A17" s="129" t="s">
        <v>153</v>
      </c>
      <c r="B17" s="94">
        <v>2473</v>
      </c>
      <c r="C17" s="67"/>
    </row>
    <row r="18" spans="1:3" ht="15" x14ac:dyDescent="0.25">
      <c r="A18" s="129" t="s">
        <v>154</v>
      </c>
      <c r="B18" s="94">
        <v>17028</v>
      </c>
      <c r="C18" s="67"/>
    </row>
    <row r="19" spans="1:3" ht="15" x14ac:dyDescent="0.25">
      <c r="A19" s="129" t="s">
        <v>155</v>
      </c>
      <c r="B19" s="94">
        <v>7147</v>
      </c>
      <c r="C19" s="67"/>
    </row>
    <row r="20" spans="1:3" ht="15" x14ac:dyDescent="0.25">
      <c r="A20" s="129" t="s">
        <v>156</v>
      </c>
      <c r="B20" s="94">
        <v>6854</v>
      </c>
      <c r="C20" s="67"/>
    </row>
    <row r="21" spans="1:3" ht="15" x14ac:dyDescent="0.25">
      <c r="A21" s="129" t="s">
        <v>157</v>
      </c>
      <c r="B21" s="94">
        <v>974</v>
      </c>
      <c r="C21" s="67"/>
    </row>
    <row r="22" spans="1:3" ht="15" x14ac:dyDescent="0.25">
      <c r="A22" s="129" t="s">
        <v>158</v>
      </c>
      <c r="B22" s="94">
        <v>1165</v>
      </c>
      <c r="C22" s="67"/>
    </row>
    <row r="23" spans="1:3" ht="15" x14ac:dyDescent="0.25">
      <c r="A23" s="129" t="s">
        <v>159</v>
      </c>
      <c r="B23" s="94">
        <v>20286</v>
      </c>
      <c r="C23" s="67"/>
    </row>
    <row r="24" spans="1:3" ht="15" x14ac:dyDescent="0.25">
      <c r="A24" s="129" t="s">
        <v>160</v>
      </c>
      <c r="B24" s="94">
        <v>4939</v>
      </c>
      <c r="C24" s="67"/>
    </row>
    <row r="25" spans="1:3" ht="15" x14ac:dyDescent="0.25">
      <c r="A25" s="129" t="s">
        <v>161</v>
      </c>
      <c r="B25" s="94">
        <v>8379</v>
      </c>
      <c r="C25" s="67"/>
    </row>
    <row r="26" spans="1:3" ht="15" x14ac:dyDescent="0.25">
      <c r="A26" s="129" t="s">
        <v>162</v>
      </c>
      <c r="B26" s="94">
        <v>7018</v>
      </c>
      <c r="C26" s="67"/>
    </row>
    <row r="27" spans="1:3" ht="15" x14ac:dyDescent="0.25">
      <c r="A27" s="129" t="s">
        <v>163</v>
      </c>
      <c r="B27" s="94">
        <v>2780</v>
      </c>
      <c r="C27" s="67"/>
    </row>
    <row r="28" spans="1:3" ht="15" x14ac:dyDescent="0.25">
      <c r="A28" s="129" t="s">
        <v>164</v>
      </c>
      <c r="B28" s="94">
        <v>9475</v>
      </c>
      <c r="C28" s="67"/>
    </row>
    <row r="29" spans="1:3" ht="15" x14ac:dyDescent="0.25">
      <c r="A29" s="129" t="s">
        <v>165</v>
      </c>
      <c r="B29" s="94">
        <v>8417</v>
      </c>
      <c r="C29" s="67"/>
    </row>
    <row r="30" spans="1:3" ht="15" x14ac:dyDescent="0.25">
      <c r="A30" s="129" t="s">
        <v>167</v>
      </c>
      <c r="B30" s="94">
        <v>3329</v>
      </c>
      <c r="C30" s="67"/>
    </row>
    <row r="31" spans="1:3" ht="15" x14ac:dyDescent="0.25">
      <c r="A31" s="129" t="s">
        <v>168</v>
      </c>
      <c r="B31" s="94">
        <v>648042</v>
      </c>
      <c r="C31" s="67"/>
    </row>
    <row r="32" spans="1:3" ht="15" x14ac:dyDescent="0.25">
      <c r="A32" s="129" t="s">
        <v>410</v>
      </c>
      <c r="B32" s="94">
        <v>228166</v>
      </c>
      <c r="C32" s="67"/>
    </row>
    <row r="33" spans="1:3" ht="15" x14ac:dyDescent="0.25">
      <c r="A33" s="129" t="s">
        <v>169</v>
      </c>
      <c r="B33" s="94">
        <v>2152</v>
      </c>
      <c r="C33" s="67"/>
    </row>
    <row r="34" spans="1:3" ht="15" x14ac:dyDescent="0.25">
      <c r="A34" s="129" t="s">
        <v>170</v>
      </c>
      <c r="B34" s="94">
        <v>23602</v>
      </c>
      <c r="C34" s="67"/>
    </row>
    <row r="35" spans="1:3" ht="15" x14ac:dyDescent="0.25">
      <c r="A35" s="129" t="s">
        <v>171</v>
      </c>
      <c r="B35" s="94">
        <v>1666</v>
      </c>
      <c r="C35" s="67"/>
    </row>
    <row r="36" spans="1:3" ht="15" x14ac:dyDescent="0.25">
      <c r="A36" s="129" t="s">
        <v>172</v>
      </c>
      <c r="B36" s="94">
        <v>10091</v>
      </c>
      <c r="C36" s="67"/>
    </row>
    <row r="37" spans="1:3" ht="15" x14ac:dyDescent="0.25">
      <c r="A37" s="129" t="s">
        <v>173</v>
      </c>
      <c r="B37" s="94">
        <v>2235</v>
      </c>
      <c r="C37" s="67"/>
    </row>
    <row r="38" spans="1:3" ht="15" x14ac:dyDescent="0.25">
      <c r="A38" s="129" t="s">
        <v>174</v>
      </c>
      <c r="B38" s="94">
        <v>2287</v>
      </c>
      <c r="C38" s="67"/>
    </row>
    <row r="39" spans="1:3" ht="15" x14ac:dyDescent="0.25">
      <c r="A39" s="129" t="s">
        <v>175</v>
      </c>
      <c r="B39" s="94">
        <v>46504</v>
      </c>
      <c r="C39" s="67"/>
    </row>
    <row r="40" spans="1:3" ht="15" x14ac:dyDescent="0.25">
      <c r="A40" s="129" t="s">
        <v>176</v>
      </c>
      <c r="B40" s="94">
        <v>10510</v>
      </c>
      <c r="C40" s="67"/>
    </row>
    <row r="41" spans="1:3" ht="15" x14ac:dyDescent="0.25">
      <c r="A41" s="129" t="s">
        <v>177</v>
      </c>
      <c r="B41" s="94">
        <v>67532</v>
      </c>
      <c r="C41" s="67"/>
    </row>
    <row r="42" spans="1:3" ht="15" x14ac:dyDescent="0.25">
      <c r="A42" s="129" t="s">
        <v>166</v>
      </c>
      <c r="B42" s="94">
        <v>18889</v>
      </c>
      <c r="C42" s="67"/>
    </row>
    <row r="43" spans="1:3" ht="15" x14ac:dyDescent="0.25">
      <c r="A43" s="129" t="s">
        <v>178</v>
      </c>
      <c r="B43" s="94">
        <v>9862</v>
      </c>
      <c r="C43" s="67"/>
    </row>
    <row r="44" spans="1:3" ht="15" x14ac:dyDescent="0.25">
      <c r="A44" s="129" t="s">
        <v>179</v>
      </c>
      <c r="B44" s="94">
        <v>21472</v>
      </c>
      <c r="C44" s="67"/>
    </row>
    <row r="45" spans="1:3" ht="15" x14ac:dyDescent="0.25">
      <c r="A45" s="129" t="s">
        <v>180</v>
      </c>
      <c r="B45" s="94">
        <v>6765</v>
      </c>
      <c r="C45" s="67"/>
    </row>
    <row r="46" spans="1:3" ht="15" x14ac:dyDescent="0.25">
      <c r="A46" s="129" t="s">
        <v>181</v>
      </c>
      <c r="B46" s="94">
        <v>7003</v>
      </c>
      <c r="C46" s="67"/>
    </row>
    <row r="47" spans="1:3" ht="15" x14ac:dyDescent="0.25">
      <c r="A47" s="129" t="s">
        <v>182</v>
      </c>
      <c r="B47" s="94">
        <v>12187</v>
      </c>
      <c r="C47" s="67"/>
    </row>
    <row r="48" spans="1:3" ht="15" x14ac:dyDescent="0.25">
      <c r="A48" s="129" t="s">
        <v>183</v>
      </c>
      <c r="B48" s="94">
        <v>4973</v>
      </c>
      <c r="C48" s="67"/>
    </row>
    <row r="49" spans="1:3" ht="15" x14ac:dyDescent="0.25">
      <c r="A49" s="129" t="s">
        <v>185</v>
      </c>
      <c r="B49" s="94">
        <v>6930</v>
      </c>
      <c r="C49" s="67"/>
    </row>
    <row r="50" spans="1:3" ht="15" x14ac:dyDescent="0.25">
      <c r="A50" s="129" t="s">
        <v>186</v>
      </c>
      <c r="B50" s="94">
        <v>5403</v>
      </c>
      <c r="C50" s="67"/>
    </row>
    <row r="51" spans="1:3" ht="15" x14ac:dyDescent="0.25">
      <c r="A51" s="129" t="s">
        <v>187</v>
      </c>
      <c r="B51" s="94">
        <v>1976</v>
      </c>
      <c r="C51" s="67"/>
    </row>
    <row r="52" spans="1:3" ht="15" x14ac:dyDescent="0.25">
      <c r="A52" s="129" t="s">
        <v>188</v>
      </c>
      <c r="B52" s="94">
        <v>4601</v>
      </c>
      <c r="C52" s="67"/>
    </row>
    <row r="53" spans="1:3" ht="15" x14ac:dyDescent="0.25">
      <c r="A53" s="129" t="s">
        <v>184</v>
      </c>
      <c r="B53" s="94">
        <v>26932</v>
      </c>
      <c r="C53" s="67"/>
    </row>
    <row r="54" spans="1:3" ht="15" x14ac:dyDescent="0.25">
      <c r="A54" s="129" t="s">
        <v>189</v>
      </c>
      <c r="B54" s="94">
        <v>16447</v>
      </c>
      <c r="C54" s="67"/>
    </row>
    <row r="55" spans="1:3" ht="15" x14ac:dyDescent="0.25">
      <c r="A55" s="129" t="s">
        <v>190</v>
      </c>
      <c r="B55" s="94">
        <v>76551</v>
      </c>
      <c r="C55" s="67"/>
    </row>
    <row r="56" spans="1:3" ht="15" x14ac:dyDescent="0.25">
      <c r="A56" s="129" t="s">
        <v>191</v>
      </c>
      <c r="B56" s="94">
        <v>5195</v>
      </c>
      <c r="C56" s="67"/>
    </row>
    <row r="57" spans="1:3" ht="15" x14ac:dyDescent="0.25">
      <c r="A57" s="129" t="s">
        <v>192</v>
      </c>
      <c r="B57" s="94">
        <v>4812</v>
      </c>
      <c r="C57" s="67"/>
    </row>
    <row r="58" spans="1:3" ht="15" x14ac:dyDescent="0.25">
      <c r="A58" s="129" t="s">
        <v>193</v>
      </c>
      <c r="B58" s="94">
        <v>4467</v>
      </c>
      <c r="C58" s="67"/>
    </row>
    <row r="59" spans="1:3" ht="15" x14ac:dyDescent="0.25">
      <c r="A59" s="129" t="s">
        <v>195</v>
      </c>
      <c r="B59" s="94">
        <v>4709</v>
      </c>
      <c r="C59" s="67"/>
    </row>
    <row r="60" spans="1:3" ht="15" x14ac:dyDescent="0.25">
      <c r="A60" s="129" t="s">
        <v>196</v>
      </c>
      <c r="B60" s="94">
        <v>1884</v>
      </c>
      <c r="C60" s="67"/>
    </row>
    <row r="61" spans="1:3" ht="15" x14ac:dyDescent="0.25">
      <c r="A61" s="129" t="s">
        <v>197</v>
      </c>
      <c r="B61" s="94">
        <v>6225</v>
      </c>
      <c r="C61" s="67"/>
    </row>
    <row r="62" spans="1:3" ht="15" x14ac:dyDescent="0.25">
      <c r="A62" s="129" t="s">
        <v>198</v>
      </c>
      <c r="B62" s="94">
        <v>141305</v>
      </c>
      <c r="C62" s="67"/>
    </row>
    <row r="63" spans="1:3" ht="15" x14ac:dyDescent="0.25">
      <c r="A63" s="129" t="s">
        <v>199</v>
      </c>
      <c r="B63" s="94">
        <v>1809</v>
      </c>
      <c r="C63" s="67"/>
    </row>
    <row r="64" spans="1:3" ht="15" x14ac:dyDescent="0.25">
      <c r="A64" s="129" t="s">
        <v>126</v>
      </c>
      <c r="B64" s="94">
        <v>20607</v>
      </c>
      <c r="C64" s="67"/>
    </row>
    <row r="65" spans="1:3" ht="15" x14ac:dyDescent="0.25">
      <c r="A65" s="129" t="s">
        <v>200</v>
      </c>
      <c r="B65" s="94">
        <v>43410</v>
      </c>
      <c r="C65" s="67"/>
    </row>
    <row r="66" spans="1:3" ht="15" x14ac:dyDescent="0.25">
      <c r="A66" s="129" t="s">
        <v>201</v>
      </c>
      <c r="B66" s="94">
        <v>33458</v>
      </c>
      <c r="C66" s="67"/>
    </row>
    <row r="67" spans="1:3" ht="15" x14ac:dyDescent="0.25">
      <c r="A67" s="129" t="s">
        <v>202</v>
      </c>
      <c r="B67" s="94">
        <v>2990</v>
      </c>
      <c r="C67" s="67"/>
    </row>
    <row r="68" spans="1:3" ht="15" x14ac:dyDescent="0.25">
      <c r="A68" s="129" t="s">
        <v>203</v>
      </c>
      <c r="B68" s="94">
        <v>36973</v>
      </c>
      <c r="C68" s="67"/>
    </row>
    <row r="69" spans="1:3" ht="15" x14ac:dyDescent="0.25">
      <c r="A69" s="129" t="s">
        <v>204</v>
      </c>
      <c r="B69" s="94">
        <v>12387</v>
      </c>
      <c r="C69" s="67"/>
    </row>
    <row r="70" spans="1:3" ht="15" x14ac:dyDescent="0.25">
      <c r="A70" s="129" t="s">
        <v>205</v>
      </c>
      <c r="B70" s="94">
        <v>31676</v>
      </c>
      <c r="C70" s="67"/>
    </row>
    <row r="71" spans="1:3" ht="15" x14ac:dyDescent="0.25">
      <c r="A71" s="129" t="s">
        <v>206</v>
      </c>
      <c r="B71" s="94">
        <v>5452</v>
      </c>
      <c r="C71" s="67"/>
    </row>
    <row r="72" spans="1:3" ht="15" x14ac:dyDescent="0.25">
      <c r="A72" s="129" t="s">
        <v>207</v>
      </c>
      <c r="B72" s="94">
        <v>11471</v>
      </c>
      <c r="C72" s="67"/>
    </row>
    <row r="73" spans="1:3" ht="15" x14ac:dyDescent="0.25">
      <c r="A73" s="129" t="s">
        <v>208</v>
      </c>
      <c r="B73" s="94">
        <v>1353</v>
      </c>
      <c r="C73" s="67"/>
    </row>
    <row r="74" spans="1:3" ht="15" x14ac:dyDescent="0.25">
      <c r="A74" s="129" t="s">
        <v>209</v>
      </c>
      <c r="B74" s="94">
        <v>5502</v>
      </c>
      <c r="C74" s="67"/>
    </row>
    <row r="75" spans="1:3" ht="15" x14ac:dyDescent="0.25">
      <c r="A75" s="129" t="s">
        <v>210</v>
      </c>
      <c r="B75" s="94">
        <v>1274</v>
      </c>
      <c r="C75" s="67"/>
    </row>
    <row r="76" spans="1:3" ht="15" x14ac:dyDescent="0.25">
      <c r="A76" s="129" t="s">
        <v>211</v>
      </c>
      <c r="B76" s="94">
        <v>8778</v>
      </c>
      <c r="C76" s="67"/>
    </row>
    <row r="77" spans="1:3" ht="15" x14ac:dyDescent="0.25">
      <c r="A77" s="129" t="s">
        <v>212</v>
      </c>
      <c r="B77" s="94">
        <v>4031</v>
      </c>
      <c r="C77" s="67"/>
    </row>
    <row r="78" spans="1:3" ht="15" x14ac:dyDescent="0.25">
      <c r="A78" s="129" t="s">
        <v>213</v>
      </c>
      <c r="B78" s="94">
        <v>2390</v>
      </c>
      <c r="C78" s="67"/>
    </row>
    <row r="79" spans="1:3" ht="15" x14ac:dyDescent="0.25">
      <c r="A79" s="129" t="s">
        <v>214</v>
      </c>
      <c r="B79" s="94">
        <v>1262</v>
      </c>
      <c r="C79" s="67"/>
    </row>
    <row r="80" spans="1:3" ht="15" x14ac:dyDescent="0.25">
      <c r="A80" s="129" t="s">
        <v>215</v>
      </c>
      <c r="B80" s="94">
        <v>13375</v>
      </c>
      <c r="C80" s="67"/>
    </row>
    <row r="81" spans="1:3" ht="15" x14ac:dyDescent="0.25">
      <c r="A81" s="129" t="s">
        <v>216</v>
      </c>
      <c r="B81" s="94">
        <v>16022</v>
      </c>
      <c r="C81" s="67"/>
    </row>
    <row r="82" spans="1:3" ht="15" x14ac:dyDescent="0.25">
      <c r="A82" s="129" t="s">
        <v>217</v>
      </c>
      <c r="B82" s="94">
        <v>9615</v>
      </c>
      <c r="C82" s="67"/>
    </row>
    <row r="83" spans="1:3" ht="15" x14ac:dyDescent="0.25">
      <c r="A83" s="129" t="s">
        <v>218</v>
      </c>
      <c r="B83" s="94">
        <v>4273</v>
      </c>
      <c r="C83" s="67"/>
    </row>
    <row r="84" spans="1:3" ht="15" x14ac:dyDescent="0.25">
      <c r="A84" s="129" t="s">
        <v>219</v>
      </c>
      <c r="B84" s="94">
        <v>2244</v>
      </c>
      <c r="C84" s="67"/>
    </row>
    <row r="85" spans="1:3" ht="15" x14ac:dyDescent="0.25">
      <c r="A85" s="129" t="s">
        <v>220</v>
      </c>
      <c r="B85" s="94">
        <v>21021</v>
      </c>
      <c r="C85" s="67"/>
    </row>
    <row r="86" spans="1:3" ht="15" x14ac:dyDescent="0.25">
      <c r="A86" s="129" t="s">
        <v>222</v>
      </c>
      <c r="B86" s="94">
        <v>8147</v>
      </c>
      <c r="C86" s="67"/>
    </row>
    <row r="87" spans="1:3" ht="15" x14ac:dyDescent="0.25">
      <c r="A87" s="129" t="s">
        <v>223</v>
      </c>
      <c r="B87" s="94">
        <v>17923</v>
      </c>
      <c r="C87" s="67"/>
    </row>
    <row r="88" spans="1:3" ht="15" x14ac:dyDescent="0.25">
      <c r="A88" s="129" t="s">
        <v>224</v>
      </c>
      <c r="B88" s="94">
        <v>36254</v>
      </c>
      <c r="C88" s="67"/>
    </row>
    <row r="89" spans="1:3" ht="15" x14ac:dyDescent="0.25">
      <c r="A89" s="129" t="s">
        <v>225</v>
      </c>
      <c r="B89" s="94">
        <v>9762</v>
      </c>
      <c r="C89" s="67"/>
    </row>
    <row r="90" spans="1:3" ht="15" x14ac:dyDescent="0.25">
      <c r="A90" s="129" t="s">
        <v>226</v>
      </c>
      <c r="B90" s="94">
        <v>1910</v>
      </c>
      <c r="C90" s="67"/>
    </row>
    <row r="91" spans="1:3" ht="15" x14ac:dyDescent="0.25">
      <c r="A91" s="129" t="s">
        <v>227</v>
      </c>
      <c r="B91" s="94">
        <v>1615</v>
      </c>
      <c r="C91" s="124"/>
    </row>
    <row r="92" spans="1:3" ht="15" x14ac:dyDescent="0.25">
      <c r="A92" s="129" t="s">
        <v>228</v>
      </c>
      <c r="B92" s="94">
        <v>39262</v>
      </c>
      <c r="C92" s="67"/>
    </row>
    <row r="93" spans="1:3" ht="15" x14ac:dyDescent="0.25">
      <c r="A93" s="129" t="s">
        <v>229</v>
      </c>
      <c r="B93" s="94">
        <v>10358</v>
      </c>
      <c r="C93" s="67"/>
    </row>
    <row r="94" spans="1:3" ht="15" x14ac:dyDescent="0.25">
      <c r="A94" s="129" t="s">
        <v>230</v>
      </c>
      <c r="B94" s="94">
        <v>6436</v>
      </c>
      <c r="C94" s="67"/>
    </row>
    <row r="95" spans="1:3" ht="15" x14ac:dyDescent="0.25">
      <c r="A95" s="129" t="s">
        <v>231</v>
      </c>
      <c r="B95" s="94">
        <v>8153</v>
      </c>
      <c r="C95" s="67"/>
    </row>
    <row r="96" spans="1:3" ht="15" x14ac:dyDescent="0.25">
      <c r="A96" s="129" t="s">
        <v>232</v>
      </c>
      <c r="B96" s="94">
        <v>1103</v>
      </c>
      <c r="C96" s="67"/>
    </row>
    <row r="97" spans="1:3" ht="15" x14ac:dyDescent="0.25">
      <c r="A97" s="129" t="s">
        <v>233</v>
      </c>
      <c r="B97" s="94">
        <v>7226</v>
      </c>
      <c r="C97" s="67"/>
    </row>
    <row r="98" spans="1:3" ht="15" x14ac:dyDescent="0.25">
      <c r="A98" s="129" t="s">
        <v>234</v>
      </c>
      <c r="B98" s="94">
        <v>47657</v>
      </c>
      <c r="C98" s="67"/>
    </row>
    <row r="99" spans="1:3" ht="15" x14ac:dyDescent="0.25">
      <c r="A99" s="129" t="s">
        <v>235</v>
      </c>
      <c r="B99" s="94">
        <v>3834</v>
      </c>
      <c r="C99" s="67"/>
    </row>
    <row r="100" spans="1:3" ht="15" x14ac:dyDescent="0.25">
      <c r="A100" s="129" t="s">
        <v>236</v>
      </c>
      <c r="B100" s="94">
        <v>2698</v>
      </c>
      <c r="C100" s="67"/>
    </row>
    <row r="101" spans="1:3" ht="15" x14ac:dyDescent="0.25">
      <c r="A101" s="129" t="s">
        <v>237</v>
      </c>
      <c r="B101" s="94">
        <v>14849</v>
      </c>
      <c r="C101" s="67"/>
    </row>
    <row r="102" spans="1:3" ht="15" x14ac:dyDescent="0.25">
      <c r="A102" s="129" t="s">
        <v>238</v>
      </c>
      <c r="B102" s="94">
        <v>2122</v>
      </c>
      <c r="C102" s="67"/>
    </row>
    <row r="103" spans="1:3" ht="15" x14ac:dyDescent="0.25">
      <c r="A103" s="129" t="s">
        <v>492</v>
      </c>
      <c r="B103" s="94">
        <v>2340</v>
      </c>
      <c r="C103" s="67"/>
    </row>
    <row r="104" spans="1:3" ht="15" x14ac:dyDescent="0.25">
      <c r="A104" s="129" t="s">
        <v>240</v>
      </c>
      <c r="B104" s="94">
        <v>52883</v>
      </c>
      <c r="C104" s="67"/>
    </row>
    <row r="105" spans="1:3" ht="15" x14ac:dyDescent="0.25">
      <c r="A105" s="129" t="s">
        <v>241</v>
      </c>
      <c r="B105" s="94">
        <v>83177</v>
      </c>
      <c r="C105" s="67"/>
    </row>
    <row r="106" spans="1:3" ht="15" x14ac:dyDescent="0.25">
      <c r="A106" s="129" t="s">
        <v>561</v>
      </c>
      <c r="B106" s="94">
        <v>6596</v>
      </c>
      <c r="C106" s="67"/>
    </row>
    <row r="107" spans="1:3" ht="15" x14ac:dyDescent="0.25">
      <c r="A107" s="129" t="s">
        <v>243</v>
      </c>
      <c r="B107" s="94">
        <v>6509</v>
      </c>
      <c r="C107" s="67"/>
    </row>
    <row r="108" spans="1:3" ht="15" x14ac:dyDescent="0.25">
      <c r="A108" s="129" t="s">
        <v>244</v>
      </c>
      <c r="B108" s="94">
        <v>8329</v>
      </c>
      <c r="C108" s="67"/>
    </row>
    <row r="109" spans="1:3" ht="15" x14ac:dyDescent="0.25">
      <c r="A109" s="129" t="s">
        <v>245</v>
      </c>
      <c r="B109" s="94">
        <v>2238</v>
      </c>
      <c r="C109" s="67"/>
    </row>
    <row r="110" spans="1:3" ht="15" x14ac:dyDescent="0.25">
      <c r="A110" s="129" t="s">
        <v>246</v>
      </c>
      <c r="B110" s="94">
        <v>118664</v>
      </c>
      <c r="C110" s="67"/>
    </row>
    <row r="111" spans="1:3" ht="15" x14ac:dyDescent="0.25">
      <c r="A111" s="129" t="s">
        <v>247</v>
      </c>
      <c r="B111" s="94">
        <v>3572</v>
      </c>
      <c r="C111" s="67"/>
    </row>
    <row r="112" spans="1:3" ht="15" x14ac:dyDescent="0.25">
      <c r="A112" s="129" t="s">
        <v>248</v>
      </c>
      <c r="B112" s="94">
        <v>20952</v>
      </c>
      <c r="C112" s="67"/>
    </row>
    <row r="113" spans="1:3" ht="15" x14ac:dyDescent="0.25">
      <c r="A113" s="129" t="s">
        <v>249</v>
      </c>
      <c r="B113" s="94">
        <v>926</v>
      </c>
      <c r="C113" s="67"/>
    </row>
    <row r="114" spans="1:3" ht="15" x14ac:dyDescent="0.25">
      <c r="A114" s="129" t="s">
        <v>250</v>
      </c>
      <c r="B114" s="94">
        <v>15207</v>
      </c>
      <c r="C114" s="67"/>
    </row>
    <row r="115" spans="1:3" ht="15" x14ac:dyDescent="0.25">
      <c r="A115" s="129" t="s">
        <v>310</v>
      </c>
      <c r="B115" s="94">
        <v>6803</v>
      </c>
      <c r="C115" s="67"/>
    </row>
    <row r="116" spans="1:3" ht="15" x14ac:dyDescent="0.25">
      <c r="A116" s="129" t="s">
        <v>251</v>
      </c>
      <c r="B116" s="94">
        <v>1343</v>
      </c>
      <c r="C116" s="67"/>
    </row>
    <row r="117" spans="1:3" ht="15" x14ac:dyDescent="0.25">
      <c r="A117" s="129" t="s">
        <v>252</v>
      </c>
      <c r="B117" s="94">
        <v>4451</v>
      </c>
      <c r="C117" s="67"/>
    </row>
    <row r="118" spans="1:3" ht="15" x14ac:dyDescent="0.25">
      <c r="A118" s="129" t="s">
        <v>253</v>
      </c>
      <c r="B118" s="94">
        <v>2613</v>
      </c>
      <c r="C118" s="67"/>
    </row>
    <row r="119" spans="1:3" ht="15" x14ac:dyDescent="0.25">
      <c r="A119" s="129" t="s">
        <v>221</v>
      </c>
      <c r="B119" s="94">
        <v>7370</v>
      </c>
      <c r="C119" s="67"/>
    </row>
    <row r="120" spans="1:3" ht="15" x14ac:dyDescent="0.25">
      <c r="A120" s="129" t="s">
        <v>127</v>
      </c>
      <c r="B120" s="94">
        <v>6724</v>
      </c>
      <c r="C120" s="67"/>
    </row>
    <row r="121" spans="1:3" ht="15" x14ac:dyDescent="0.25">
      <c r="A121" s="129" t="s">
        <v>254</v>
      </c>
      <c r="B121" s="94">
        <v>119951</v>
      </c>
      <c r="C121" s="67"/>
    </row>
    <row r="122" spans="1:3" ht="15" x14ac:dyDescent="0.25">
      <c r="A122" s="129" t="s">
        <v>255</v>
      </c>
      <c r="B122" s="94">
        <v>8058</v>
      </c>
      <c r="C122" s="67"/>
    </row>
    <row r="123" spans="1:3" ht="15" x14ac:dyDescent="0.25">
      <c r="A123" s="129" t="s">
        <v>256</v>
      </c>
      <c r="B123" s="94">
        <v>8647</v>
      </c>
      <c r="C123" s="67"/>
    </row>
    <row r="124" spans="1:3" ht="15" x14ac:dyDescent="0.25">
      <c r="A124" s="129" t="s">
        <v>258</v>
      </c>
      <c r="B124" s="94">
        <v>9617</v>
      </c>
      <c r="C124" s="67"/>
    </row>
    <row r="125" spans="1:3" ht="15" x14ac:dyDescent="0.25">
      <c r="A125" s="129" t="s">
        <v>259</v>
      </c>
      <c r="B125" s="94">
        <v>3078</v>
      </c>
      <c r="C125" s="67"/>
    </row>
    <row r="126" spans="1:3" ht="15" x14ac:dyDescent="0.25">
      <c r="A126" s="129" t="s">
        <v>260</v>
      </c>
      <c r="B126" s="94">
        <v>72699</v>
      </c>
      <c r="C126" s="67"/>
    </row>
    <row r="127" spans="1:3" ht="15" x14ac:dyDescent="0.25">
      <c r="A127" s="129" t="s">
        <v>257</v>
      </c>
      <c r="B127" s="94">
        <v>2665</v>
      </c>
      <c r="C127" s="67"/>
    </row>
    <row r="128" spans="1:3" ht="15" x14ac:dyDescent="0.25">
      <c r="A128" s="129" t="s">
        <v>261</v>
      </c>
      <c r="B128" s="94">
        <v>14427</v>
      </c>
      <c r="C128" s="67"/>
    </row>
    <row r="129" spans="1:3" ht="15" x14ac:dyDescent="0.25">
      <c r="A129" s="129" t="s">
        <v>262</v>
      </c>
      <c r="B129" s="94">
        <v>18927</v>
      </c>
      <c r="C129" s="67"/>
    </row>
    <row r="130" spans="1:3" ht="15" x14ac:dyDescent="0.25">
      <c r="A130" s="129" t="s">
        <v>263</v>
      </c>
      <c r="B130" s="94">
        <v>3043</v>
      </c>
      <c r="C130" s="67"/>
    </row>
    <row r="131" spans="1:3" ht="15" x14ac:dyDescent="0.25">
      <c r="A131" s="129" t="s">
        <v>264</v>
      </c>
      <c r="B131" s="94">
        <v>23206</v>
      </c>
      <c r="C131" s="67"/>
    </row>
    <row r="132" spans="1:3" ht="15" x14ac:dyDescent="0.25">
      <c r="A132" s="129" t="s">
        <v>265</v>
      </c>
      <c r="B132" s="94">
        <v>9650</v>
      </c>
      <c r="C132" s="67"/>
    </row>
    <row r="133" spans="1:3" ht="15" x14ac:dyDescent="0.25">
      <c r="A133" s="129" t="s">
        <v>266</v>
      </c>
      <c r="B133" s="94">
        <v>737</v>
      </c>
      <c r="C133" s="67"/>
    </row>
    <row r="134" spans="1:3" ht="15" x14ac:dyDescent="0.25">
      <c r="A134" s="129" t="s">
        <v>267</v>
      </c>
      <c r="B134" s="94">
        <v>11098</v>
      </c>
      <c r="C134" s="67"/>
    </row>
    <row r="135" spans="1:3" ht="15" x14ac:dyDescent="0.25">
      <c r="A135" s="129" t="s">
        <v>268</v>
      </c>
      <c r="B135" s="94">
        <v>19831</v>
      </c>
      <c r="C135" s="67"/>
    </row>
    <row r="136" spans="1:3" ht="15" x14ac:dyDescent="0.25">
      <c r="A136" s="129" t="s">
        <v>269</v>
      </c>
      <c r="B136" s="94">
        <v>10161</v>
      </c>
      <c r="C136" s="67"/>
    </row>
    <row r="137" spans="1:3" ht="15" x14ac:dyDescent="0.25">
      <c r="A137" s="129" t="s">
        <v>270</v>
      </c>
      <c r="B137" s="94">
        <v>12145</v>
      </c>
      <c r="C137" s="67"/>
    </row>
    <row r="138" spans="1:3" ht="15" x14ac:dyDescent="0.25">
      <c r="A138" s="129" t="s">
        <v>272</v>
      </c>
      <c r="B138" s="94">
        <v>16032</v>
      </c>
      <c r="C138" s="67"/>
    </row>
    <row r="139" spans="1:3" ht="15" x14ac:dyDescent="0.25">
      <c r="A139" s="129" t="s">
        <v>273</v>
      </c>
      <c r="B139" s="94">
        <v>7861</v>
      </c>
      <c r="C139" s="67"/>
    </row>
    <row r="140" spans="1:3" ht="15" x14ac:dyDescent="0.25">
      <c r="A140" s="129" t="s">
        <v>274</v>
      </c>
      <c r="B140" s="94">
        <v>14891</v>
      </c>
      <c r="C140" s="67"/>
    </row>
    <row r="141" spans="1:3" ht="15" x14ac:dyDescent="0.25">
      <c r="A141" s="129" t="s">
        <v>275</v>
      </c>
      <c r="B141" s="94">
        <v>707</v>
      </c>
      <c r="C141" s="67"/>
    </row>
    <row r="142" spans="1:3" ht="15" x14ac:dyDescent="0.25">
      <c r="A142" s="129" t="s">
        <v>276</v>
      </c>
      <c r="B142" s="94">
        <v>2052</v>
      </c>
      <c r="C142" s="67"/>
    </row>
    <row r="143" spans="1:3" ht="15" x14ac:dyDescent="0.25">
      <c r="A143" s="129" t="s">
        <v>277</v>
      </c>
      <c r="B143" s="94">
        <v>5340</v>
      </c>
      <c r="C143" s="67"/>
    </row>
    <row r="144" spans="1:3" ht="15" x14ac:dyDescent="0.25">
      <c r="A144" s="129" t="s">
        <v>278</v>
      </c>
      <c r="B144" s="94">
        <v>4662</v>
      </c>
      <c r="C144" s="67"/>
    </row>
    <row r="145" spans="1:3" ht="15" x14ac:dyDescent="0.25">
      <c r="A145" s="129" t="s">
        <v>271</v>
      </c>
      <c r="B145" s="94">
        <v>46296</v>
      </c>
      <c r="C145" s="67"/>
    </row>
    <row r="146" spans="1:3" ht="15" x14ac:dyDescent="0.25">
      <c r="A146" s="129" t="s">
        <v>128</v>
      </c>
      <c r="B146" s="94">
        <v>15217</v>
      </c>
      <c r="C146" s="67"/>
    </row>
    <row r="147" spans="1:3" ht="15" x14ac:dyDescent="0.25">
      <c r="A147" s="129" t="s">
        <v>280</v>
      </c>
      <c r="B147" s="94">
        <v>5477</v>
      </c>
      <c r="C147" s="67"/>
    </row>
    <row r="148" spans="1:3" ht="15" x14ac:dyDescent="0.25">
      <c r="A148" s="129" t="s">
        <v>281</v>
      </c>
      <c r="B148" s="94">
        <v>2018</v>
      </c>
      <c r="C148" s="67"/>
    </row>
    <row r="149" spans="1:3" ht="15" x14ac:dyDescent="0.25">
      <c r="A149" s="129" t="s">
        <v>282</v>
      </c>
      <c r="B149" s="94">
        <v>9554</v>
      </c>
      <c r="C149" s="67"/>
    </row>
    <row r="150" spans="1:3" ht="15" x14ac:dyDescent="0.25">
      <c r="A150" s="129" t="s">
        <v>283</v>
      </c>
      <c r="B150" s="94">
        <v>1104</v>
      </c>
      <c r="C150" s="67"/>
    </row>
    <row r="151" spans="1:3" ht="15" x14ac:dyDescent="0.25">
      <c r="A151" s="129" t="s">
        <v>284</v>
      </c>
      <c r="B151" s="94">
        <v>3115</v>
      </c>
      <c r="C151" s="67"/>
    </row>
    <row r="152" spans="1:3" ht="15" x14ac:dyDescent="0.25">
      <c r="A152" s="129" t="s">
        <v>285</v>
      </c>
      <c r="B152" s="94">
        <v>1940</v>
      </c>
      <c r="C152" s="67"/>
    </row>
    <row r="153" spans="1:3" ht="15" x14ac:dyDescent="0.25">
      <c r="A153" s="129" t="s">
        <v>286</v>
      </c>
      <c r="B153" s="94">
        <v>53818</v>
      </c>
      <c r="C153" s="67"/>
    </row>
    <row r="154" spans="1:3" ht="15" x14ac:dyDescent="0.25">
      <c r="A154" s="129" t="s">
        <v>287</v>
      </c>
      <c r="B154" s="94">
        <v>8980</v>
      </c>
      <c r="C154" s="67"/>
    </row>
    <row r="155" spans="1:3" ht="15" x14ac:dyDescent="0.25">
      <c r="A155" s="129" t="s">
        <v>288</v>
      </c>
      <c r="B155" s="94">
        <v>1584</v>
      </c>
      <c r="C155" s="67"/>
    </row>
    <row r="156" spans="1:3" ht="15" x14ac:dyDescent="0.25">
      <c r="A156" s="129" t="s">
        <v>289</v>
      </c>
      <c r="B156" s="94">
        <v>2299</v>
      </c>
      <c r="C156" s="67"/>
    </row>
    <row r="157" spans="1:3" ht="15" x14ac:dyDescent="0.25">
      <c r="A157" s="129" t="s">
        <v>290</v>
      </c>
      <c r="B157" s="94">
        <v>19444</v>
      </c>
      <c r="C157" s="67"/>
    </row>
    <row r="158" spans="1:3" ht="15" x14ac:dyDescent="0.25">
      <c r="A158" s="129" t="s">
        <v>291</v>
      </c>
      <c r="B158" s="94">
        <v>10170</v>
      </c>
      <c r="C158" s="67"/>
    </row>
    <row r="159" spans="1:3" ht="15" x14ac:dyDescent="0.25">
      <c r="A159" s="129" t="s">
        <v>292</v>
      </c>
      <c r="B159" s="94">
        <v>7766</v>
      </c>
      <c r="C159" s="67"/>
    </row>
    <row r="160" spans="1:3" ht="15" x14ac:dyDescent="0.25">
      <c r="A160" s="129" t="s">
        <v>293</v>
      </c>
      <c r="B160" s="94">
        <v>1922</v>
      </c>
      <c r="C160" s="67"/>
    </row>
    <row r="161" spans="1:3" ht="15" x14ac:dyDescent="0.25">
      <c r="A161" s="129" t="s">
        <v>294</v>
      </c>
      <c r="B161" s="94">
        <v>20686</v>
      </c>
      <c r="C161" s="67"/>
    </row>
    <row r="162" spans="1:3" ht="15" x14ac:dyDescent="0.25">
      <c r="A162" s="129" t="s">
        <v>296</v>
      </c>
      <c r="B162" s="94">
        <v>5924</v>
      </c>
      <c r="C162" s="67"/>
    </row>
    <row r="163" spans="1:3" ht="15" x14ac:dyDescent="0.25">
      <c r="A163" s="129" t="s">
        <v>295</v>
      </c>
      <c r="B163" s="94">
        <v>9983</v>
      </c>
      <c r="C163" s="67"/>
    </row>
    <row r="164" spans="1:3" ht="15" x14ac:dyDescent="0.25">
      <c r="A164" s="129" t="s">
        <v>297</v>
      </c>
      <c r="B164" s="94">
        <v>19245</v>
      </c>
      <c r="C164" s="67"/>
    </row>
    <row r="165" spans="1:3" ht="15" x14ac:dyDescent="0.25">
      <c r="A165" s="129" t="s">
        <v>298</v>
      </c>
      <c r="B165" s="94">
        <v>5437</v>
      </c>
      <c r="C165" s="67"/>
    </row>
    <row r="166" spans="1:3" ht="15" x14ac:dyDescent="0.25">
      <c r="A166" s="129" t="s">
        <v>299</v>
      </c>
      <c r="B166" s="94">
        <v>10737</v>
      </c>
      <c r="C166" s="67"/>
    </row>
    <row r="167" spans="1:3" ht="15" x14ac:dyDescent="0.25">
      <c r="A167" s="129" t="s">
        <v>300</v>
      </c>
      <c r="B167" s="94">
        <v>33527</v>
      </c>
      <c r="C167" s="67"/>
    </row>
    <row r="168" spans="1:3" ht="15" x14ac:dyDescent="0.25">
      <c r="A168" s="129" t="s">
        <v>301</v>
      </c>
      <c r="B168" s="94">
        <v>4733</v>
      </c>
      <c r="C168" s="67"/>
    </row>
    <row r="169" spans="1:3" ht="15" x14ac:dyDescent="0.25">
      <c r="A169" s="129" t="s">
        <v>302</v>
      </c>
      <c r="B169" s="94">
        <v>9784</v>
      </c>
      <c r="C169" s="67"/>
    </row>
    <row r="170" spans="1:3" ht="15" x14ac:dyDescent="0.25">
      <c r="A170" s="129" t="s">
        <v>303</v>
      </c>
      <c r="B170" s="94">
        <v>42665</v>
      </c>
      <c r="C170" s="67"/>
    </row>
    <row r="171" spans="1:3" ht="15" x14ac:dyDescent="0.25">
      <c r="A171" s="129" t="s">
        <v>304</v>
      </c>
      <c r="B171" s="94">
        <v>9471</v>
      </c>
      <c r="C171" s="67"/>
    </row>
    <row r="172" spans="1:3" ht="15" x14ac:dyDescent="0.25">
      <c r="A172" s="129" t="s">
        <v>305</v>
      </c>
      <c r="B172" s="94">
        <v>16091</v>
      </c>
      <c r="C172" s="67"/>
    </row>
    <row r="173" spans="1:3" ht="15" x14ac:dyDescent="0.25">
      <c r="A173" s="129" t="s">
        <v>306</v>
      </c>
      <c r="B173" s="94">
        <v>1364</v>
      </c>
      <c r="C173" s="67"/>
    </row>
    <row r="174" spans="1:3" ht="15" x14ac:dyDescent="0.25">
      <c r="A174" s="129" t="s">
        <v>307</v>
      </c>
      <c r="B174" s="94">
        <v>9221</v>
      </c>
      <c r="C174" s="67"/>
    </row>
    <row r="175" spans="1:3" ht="15" x14ac:dyDescent="0.25">
      <c r="A175" s="129" t="s">
        <v>308</v>
      </c>
      <c r="B175" s="94">
        <v>7430</v>
      </c>
      <c r="C175" s="67"/>
    </row>
    <row r="176" spans="1:3" ht="15" x14ac:dyDescent="0.25">
      <c r="A176" s="129" t="s">
        <v>309</v>
      </c>
      <c r="B176" s="94">
        <v>203567</v>
      </c>
      <c r="C176" s="67"/>
    </row>
    <row r="177" spans="1:3" ht="15" x14ac:dyDescent="0.25">
      <c r="A177" s="129" t="s">
        <v>311</v>
      </c>
      <c r="B177" s="94">
        <v>2963</v>
      </c>
      <c r="C177" s="67"/>
    </row>
    <row r="178" spans="1:3" ht="15" x14ac:dyDescent="0.25">
      <c r="A178" s="129" t="s">
        <v>312</v>
      </c>
      <c r="B178" s="94">
        <v>10832</v>
      </c>
      <c r="C178" s="67"/>
    </row>
    <row r="179" spans="1:3" ht="15" x14ac:dyDescent="0.25">
      <c r="A179" s="129" t="s">
        <v>313</v>
      </c>
      <c r="B179" s="94">
        <v>3336</v>
      </c>
      <c r="C179" s="67"/>
    </row>
    <row r="180" spans="1:3" ht="15" x14ac:dyDescent="0.25">
      <c r="A180" s="129" t="s">
        <v>314</v>
      </c>
      <c r="B180" s="94">
        <v>4842</v>
      </c>
      <c r="C180" s="67"/>
    </row>
    <row r="181" spans="1:3" ht="15" x14ac:dyDescent="0.25">
      <c r="A181" s="129" t="s">
        <v>315</v>
      </c>
      <c r="B181" s="94">
        <v>6469</v>
      </c>
      <c r="C181" s="67"/>
    </row>
    <row r="182" spans="1:3" ht="15" x14ac:dyDescent="0.25">
      <c r="A182" s="129" t="s">
        <v>316</v>
      </c>
      <c r="B182" s="94">
        <v>954</v>
      </c>
      <c r="C182" s="67"/>
    </row>
    <row r="183" spans="1:3" ht="15" x14ac:dyDescent="0.25">
      <c r="A183" s="129" t="s">
        <v>318</v>
      </c>
      <c r="B183" s="94">
        <v>2825</v>
      </c>
      <c r="C183" s="67"/>
    </row>
    <row r="184" spans="1:3" ht="15" x14ac:dyDescent="0.25">
      <c r="A184" s="129" t="s">
        <v>319</v>
      </c>
      <c r="B184" s="94">
        <v>1713</v>
      </c>
      <c r="C184" s="67"/>
    </row>
    <row r="185" spans="1:3" ht="15" x14ac:dyDescent="0.25">
      <c r="A185" s="129" t="s">
        <v>320</v>
      </c>
      <c r="B185" s="94">
        <v>3900</v>
      </c>
      <c r="C185" s="67"/>
    </row>
    <row r="186" spans="1:3" ht="15" x14ac:dyDescent="0.25">
      <c r="A186" s="129" t="s">
        <v>321</v>
      </c>
      <c r="B186" s="94">
        <v>17933</v>
      </c>
      <c r="C186" s="67"/>
    </row>
    <row r="187" spans="1:3" ht="15" x14ac:dyDescent="0.25">
      <c r="A187" s="129" t="s">
        <v>322</v>
      </c>
      <c r="B187" s="94">
        <v>4498</v>
      </c>
      <c r="C187" s="67"/>
    </row>
    <row r="188" spans="1:3" ht="15" x14ac:dyDescent="0.25">
      <c r="A188" s="129" t="s">
        <v>323</v>
      </c>
      <c r="B188" s="94">
        <v>19278</v>
      </c>
      <c r="C188" s="67"/>
    </row>
    <row r="189" spans="1:3" ht="15" x14ac:dyDescent="0.25">
      <c r="A189" s="129" t="s">
        <v>562</v>
      </c>
      <c r="B189" s="94">
        <v>11016</v>
      </c>
      <c r="C189" s="67"/>
    </row>
    <row r="190" spans="1:3" ht="15" x14ac:dyDescent="0.25">
      <c r="A190" s="129" t="s">
        <v>324</v>
      </c>
      <c r="B190" s="94">
        <v>4053</v>
      </c>
      <c r="C190" s="67"/>
    </row>
    <row r="191" spans="1:3" ht="15" x14ac:dyDescent="0.25">
      <c r="A191" s="129" t="s">
        <v>325</v>
      </c>
      <c r="B191" s="94">
        <v>19368</v>
      </c>
      <c r="C191" s="67"/>
    </row>
    <row r="192" spans="1:3" ht="15" x14ac:dyDescent="0.25">
      <c r="A192" s="129" t="s">
        <v>326</v>
      </c>
      <c r="B192" s="94">
        <v>4307</v>
      </c>
      <c r="C192" s="67"/>
    </row>
    <row r="193" spans="1:3" ht="15" x14ac:dyDescent="0.25">
      <c r="A193" s="129" t="s">
        <v>327</v>
      </c>
      <c r="B193" s="94">
        <v>2146</v>
      </c>
      <c r="C193" s="67"/>
    </row>
    <row r="194" spans="1:3" ht="15" x14ac:dyDescent="0.25">
      <c r="A194" s="129" t="s">
        <v>328</v>
      </c>
      <c r="B194" s="94">
        <v>84403</v>
      </c>
      <c r="C194" s="67"/>
    </row>
    <row r="195" spans="1:3" ht="15" x14ac:dyDescent="0.25">
      <c r="A195" s="129" t="s">
        <v>329</v>
      </c>
      <c r="B195" s="94">
        <v>5068</v>
      </c>
      <c r="C195" s="67"/>
    </row>
    <row r="196" spans="1:3" ht="15" x14ac:dyDescent="0.25">
      <c r="A196" s="129" t="s">
        <v>331</v>
      </c>
      <c r="B196" s="94">
        <v>3237</v>
      </c>
      <c r="C196" s="67"/>
    </row>
    <row r="197" spans="1:3" ht="15" x14ac:dyDescent="0.25">
      <c r="A197" s="129" t="s">
        <v>332</v>
      </c>
      <c r="B197" s="94">
        <v>7990</v>
      </c>
      <c r="C197" s="67"/>
    </row>
    <row r="198" spans="1:3" ht="15" x14ac:dyDescent="0.25">
      <c r="A198" s="129" t="s">
        <v>333</v>
      </c>
      <c r="B198" s="94">
        <v>1899</v>
      </c>
      <c r="C198" s="67"/>
    </row>
    <row r="199" spans="1:3" ht="15" x14ac:dyDescent="0.25">
      <c r="A199" s="129" t="s">
        <v>334</v>
      </c>
      <c r="B199" s="94">
        <v>2896</v>
      </c>
      <c r="C199" s="67"/>
    </row>
    <row r="200" spans="1:3" ht="15" x14ac:dyDescent="0.25">
      <c r="A200" s="129" t="s">
        <v>335</v>
      </c>
      <c r="B200" s="94">
        <v>2597</v>
      </c>
      <c r="C200" s="67"/>
    </row>
    <row r="201" spans="1:3" ht="15" x14ac:dyDescent="0.25">
      <c r="A201" s="129" t="s">
        <v>336</v>
      </c>
      <c r="B201" s="94">
        <v>2197</v>
      </c>
      <c r="C201" s="67"/>
    </row>
    <row r="202" spans="1:3" ht="15" x14ac:dyDescent="0.25">
      <c r="A202" s="129" t="s">
        <v>130</v>
      </c>
      <c r="B202" s="94">
        <v>5187</v>
      </c>
      <c r="C202" s="67"/>
    </row>
    <row r="203" spans="1:3" ht="15" x14ac:dyDescent="0.25">
      <c r="A203" s="129" t="s">
        <v>337</v>
      </c>
      <c r="B203" s="94">
        <v>3146</v>
      </c>
      <c r="C203" s="67"/>
    </row>
    <row r="204" spans="1:3" ht="15" x14ac:dyDescent="0.25">
      <c r="A204" s="129" t="s">
        <v>131</v>
      </c>
      <c r="B204" s="94">
        <v>5248</v>
      </c>
      <c r="C204" s="67"/>
    </row>
    <row r="205" spans="1:3" ht="15" x14ac:dyDescent="0.25">
      <c r="A205" s="129" t="s">
        <v>338</v>
      </c>
      <c r="B205" s="94">
        <v>1557</v>
      </c>
      <c r="C205" s="67"/>
    </row>
    <row r="206" spans="1:3" ht="15" x14ac:dyDescent="0.25">
      <c r="A206" s="129" t="s">
        <v>339</v>
      </c>
      <c r="B206" s="94">
        <v>2028</v>
      </c>
      <c r="C206" s="67"/>
    </row>
    <row r="207" spans="1:3" ht="15" x14ac:dyDescent="0.25">
      <c r="A207" s="129" t="s">
        <v>340</v>
      </c>
      <c r="B207" s="94">
        <v>6499</v>
      </c>
      <c r="C207" s="67"/>
    </row>
    <row r="208" spans="1:3" ht="15" x14ac:dyDescent="0.25">
      <c r="A208" s="129" t="s">
        <v>341</v>
      </c>
      <c r="B208" s="94">
        <v>8333</v>
      </c>
      <c r="C208" s="67"/>
    </row>
    <row r="209" spans="1:3" ht="15" x14ac:dyDescent="0.25">
      <c r="A209" s="129" t="s">
        <v>330</v>
      </c>
      <c r="B209" s="94">
        <v>50262</v>
      </c>
      <c r="C209" s="67"/>
    </row>
    <row r="210" spans="1:3" ht="15" x14ac:dyDescent="0.25">
      <c r="A210" s="129" t="s">
        <v>342</v>
      </c>
      <c r="B210" s="94">
        <v>24811</v>
      </c>
      <c r="C210" s="67"/>
    </row>
    <row r="211" spans="1:3" ht="15" x14ac:dyDescent="0.25">
      <c r="A211" s="129" t="s">
        <v>343</v>
      </c>
      <c r="B211" s="94">
        <v>24178</v>
      </c>
      <c r="C211" s="67"/>
    </row>
    <row r="212" spans="1:3" ht="15" x14ac:dyDescent="0.25">
      <c r="A212" s="129" t="s">
        <v>344</v>
      </c>
      <c r="B212" s="94">
        <v>3514</v>
      </c>
      <c r="C212" s="67"/>
    </row>
    <row r="213" spans="1:3" ht="15" x14ac:dyDescent="0.25">
      <c r="A213" s="129" t="s">
        <v>345</v>
      </c>
      <c r="B213" s="94">
        <v>3896</v>
      </c>
      <c r="C213" s="67"/>
    </row>
    <row r="214" spans="1:3" ht="15" x14ac:dyDescent="0.25">
      <c r="A214" s="129" t="s">
        <v>346</v>
      </c>
      <c r="B214" s="94">
        <v>39360</v>
      </c>
      <c r="C214" s="67"/>
    </row>
    <row r="215" spans="1:3" ht="15" x14ac:dyDescent="0.25">
      <c r="A215" s="129" t="s">
        <v>347</v>
      </c>
      <c r="B215" s="94">
        <v>3196</v>
      </c>
      <c r="C215" s="67"/>
    </row>
    <row r="216" spans="1:3" ht="15" x14ac:dyDescent="0.25">
      <c r="A216" s="129" t="s">
        <v>348</v>
      </c>
      <c r="B216" s="94">
        <v>1651</v>
      </c>
      <c r="C216" s="67"/>
    </row>
    <row r="217" spans="1:3" ht="15" x14ac:dyDescent="0.25">
      <c r="A217" s="129" t="s">
        <v>349</v>
      </c>
      <c r="B217" s="94">
        <v>3335</v>
      </c>
      <c r="C217" s="67"/>
    </row>
    <row r="218" spans="1:3" ht="15" x14ac:dyDescent="0.25">
      <c r="A218" s="129" t="s">
        <v>350</v>
      </c>
      <c r="B218" s="94">
        <v>2743</v>
      </c>
      <c r="C218" s="67"/>
    </row>
    <row r="219" spans="1:3" ht="15" x14ac:dyDescent="0.25">
      <c r="A219" s="129" t="s">
        <v>351</v>
      </c>
      <c r="B219" s="94">
        <v>28736</v>
      </c>
      <c r="C219" s="67"/>
    </row>
    <row r="220" spans="1:3" ht="15" x14ac:dyDescent="0.25">
      <c r="A220" s="129" t="s">
        <v>352</v>
      </c>
      <c r="B220" s="94">
        <v>1288</v>
      </c>
      <c r="C220" s="67"/>
    </row>
    <row r="221" spans="1:3" ht="15" x14ac:dyDescent="0.25">
      <c r="A221" s="129" t="s">
        <v>353</v>
      </c>
      <c r="B221" s="94">
        <v>62922</v>
      </c>
      <c r="C221" s="67"/>
    </row>
    <row r="222" spans="1:3" ht="15" x14ac:dyDescent="0.25">
      <c r="A222" s="129" t="s">
        <v>354</v>
      </c>
      <c r="B222" s="94">
        <v>5099</v>
      </c>
      <c r="C222" s="67"/>
    </row>
    <row r="223" spans="1:3" ht="15" x14ac:dyDescent="0.25">
      <c r="A223" s="129" t="s">
        <v>355</v>
      </c>
      <c r="B223" s="94">
        <v>4398</v>
      </c>
      <c r="C223" s="67"/>
    </row>
    <row r="224" spans="1:3" ht="15" x14ac:dyDescent="0.25">
      <c r="A224" s="129" t="s">
        <v>356</v>
      </c>
      <c r="B224" s="94">
        <v>6251</v>
      </c>
      <c r="C224" s="67"/>
    </row>
    <row r="225" spans="1:3" ht="15" x14ac:dyDescent="0.25">
      <c r="A225" s="129" t="s">
        <v>357</v>
      </c>
      <c r="B225" s="94">
        <v>2181</v>
      </c>
      <c r="C225" s="67"/>
    </row>
    <row r="226" spans="1:3" ht="15" x14ac:dyDescent="0.25">
      <c r="A226" s="129" t="s">
        <v>132</v>
      </c>
      <c r="B226" s="94">
        <v>27592</v>
      </c>
      <c r="C226" s="67"/>
    </row>
    <row r="227" spans="1:3" ht="15" x14ac:dyDescent="0.25">
      <c r="A227" s="129" t="s">
        <v>358</v>
      </c>
      <c r="B227" s="94">
        <v>9415</v>
      </c>
      <c r="C227" s="67"/>
    </row>
    <row r="228" spans="1:3" ht="15" x14ac:dyDescent="0.25">
      <c r="A228" s="129" t="s">
        <v>359</v>
      </c>
      <c r="B228" s="94">
        <v>3491</v>
      </c>
      <c r="C228" s="67"/>
    </row>
    <row r="229" spans="1:3" ht="15" x14ac:dyDescent="0.25">
      <c r="A229" s="129" t="s">
        <v>360</v>
      </c>
      <c r="B229" s="94">
        <v>52321</v>
      </c>
      <c r="C229" s="67"/>
    </row>
    <row r="230" spans="1:3" ht="15" x14ac:dyDescent="0.25">
      <c r="A230" s="129" t="s">
        <v>361</v>
      </c>
      <c r="B230" s="94">
        <v>2994</v>
      </c>
      <c r="C230" s="67"/>
    </row>
    <row r="231" spans="1:3" ht="15" x14ac:dyDescent="0.25">
      <c r="A231" s="129" t="s">
        <v>362</v>
      </c>
      <c r="B231" s="94">
        <v>3429</v>
      </c>
      <c r="C231" s="67"/>
    </row>
    <row r="232" spans="1:3" ht="15" x14ac:dyDescent="0.25">
      <c r="A232" s="129" t="s">
        <v>363</v>
      </c>
      <c r="B232" s="94">
        <v>33611</v>
      </c>
      <c r="C232" s="67"/>
    </row>
    <row r="233" spans="1:3" ht="15" x14ac:dyDescent="0.25">
      <c r="A233" s="129" t="s">
        <v>364</v>
      </c>
      <c r="B233" s="94">
        <v>1015</v>
      </c>
      <c r="C233" s="67"/>
    </row>
    <row r="234" spans="1:3" ht="15" x14ac:dyDescent="0.25">
      <c r="A234" s="129" t="s">
        <v>365</v>
      </c>
      <c r="B234" s="94">
        <v>63288</v>
      </c>
      <c r="C234" s="67"/>
    </row>
    <row r="235" spans="1:3" ht="15" x14ac:dyDescent="0.25">
      <c r="A235" s="129" t="s">
        <v>366</v>
      </c>
      <c r="B235" s="94">
        <v>4980</v>
      </c>
      <c r="C235" s="67"/>
    </row>
    <row r="236" spans="1:3" ht="15" x14ac:dyDescent="0.25">
      <c r="A236" s="129" t="s">
        <v>367</v>
      </c>
      <c r="B236" s="94">
        <v>1458</v>
      </c>
      <c r="C236" s="67"/>
    </row>
    <row r="237" spans="1:3" ht="15" x14ac:dyDescent="0.25">
      <c r="A237" s="129" t="s">
        <v>368</v>
      </c>
      <c r="B237" s="94">
        <v>5249</v>
      </c>
      <c r="C237" s="67"/>
    </row>
    <row r="238" spans="1:3" ht="15" x14ac:dyDescent="0.25">
      <c r="A238" s="129" t="s">
        <v>369</v>
      </c>
      <c r="B238" s="94">
        <v>21674</v>
      </c>
      <c r="C238" s="67"/>
    </row>
    <row r="239" spans="1:3" ht="15" x14ac:dyDescent="0.25">
      <c r="A239" s="129" t="s">
        <v>370</v>
      </c>
      <c r="B239" s="94">
        <v>3045</v>
      </c>
      <c r="C239" s="67"/>
    </row>
    <row r="240" spans="1:3" ht="15" x14ac:dyDescent="0.25">
      <c r="A240" s="129" t="s">
        <v>371</v>
      </c>
      <c r="B240" s="94">
        <v>20666</v>
      </c>
      <c r="C240" s="67"/>
    </row>
    <row r="241" spans="1:3" ht="15" x14ac:dyDescent="0.25">
      <c r="A241" s="129" t="s">
        <v>372</v>
      </c>
      <c r="B241" s="94">
        <v>6134</v>
      </c>
      <c r="C241" s="67"/>
    </row>
    <row r="242" spans="1:3" ht="15" x14ac:dyDescent="0.25">
      <c r="A242" s="129" t="s">
        <v>373</v>
      </c>
      <c r="B242" s="94">
        <v>8444</v>
      </c>
      <c r="C242" s="67"/>
    </row>
    <row r="243" spans="1:3" ht="15" x14ac:dyDescent="0.25">
      <c r="A243" s="129" t="s">
        <v>374</v>
      </c>
      <c r="B243" s="94">
        <v>2085</v>
      </c>
      <c r="C243" s="67"/>
    </row>
    <row r="244" spans="1:3" ht="15" x14ac:dyDescent="0.25">
      <c r="A244" s="129" t="s">
        <v>375</v>
      </c>
      <c r="B244" s="94">
        <v>8828</v>
      </c>
      <c r="C244" s="67"/>
    </row>
    <row r="245" spans="1:3" ht="15" x14ac:dyDescent="0.25">
      <c r="A245" s="129" t="s">
        <v>376</v>
      </c>
      <c r="B245" s="94">
        <v>3967</v>
      </c>
      <c r="C245" s="67"/>
    </row>
    <row r="246" spans="1:3" ht="15" x14ac:dyDescent="0.25">
      <c r="A246" s="129" t="s">
        <v>377</v>
      </c>
      <c r="B246" s="94">
        <v>10389</v>
      </c>
      <c r="C246" s="67"/>
    </row>
    <row r="247" spans="1:3" ht="15" x14ac:dyDescent="0.25">
      <c r="A247" s="129" t="s">
        <v>378</v>
      </c>
      <c r="B247" s="94">
        <v>2530</v>
      </c>
      <c r="C247" s="67"/>
    </row>
    <row r="248" spans="1:3" ht="15" x14ac:dyDescent="0.25">
      <c r="A248" s="129" t="s">
        <v>379</v>
      </c>
      <c r="B248" s="94">
        <v>7862</v>
      </c>
      <c r="C248" s="67"/>
    </row>
    <row r="249" spans="1:3" ht="15" x14ac:dyDescent="0.25">
      <c r="A249" s="129" t="s">
        <v>380</v>
      </c>
      <c r="B249" s="94">
        <v>7145</v>
      </c>
      <c r="C249" s="67"/>
    </row>
    <row r="250" spans="1:3" ht="15" x14ac:dyDescent="0.25">
      <c r="A250" s="129" t="s">
        <v>381</v>
      </c>
      <c r="B250" s="94">
        <v>3753</v>
      </c>
      <c r="C250" s="67"/>
    </row>
    <row r="251" spans="1:3" ht="15" x14ac:dyDescent="0.25">
      <c r="A251" s="129" t="s">
        <v>382</v>
      </c>
      <c r="B251" s="94">
        <v>6811</v>
      </c>
      <c r="C251" s="67"/>
    </row>
    <row r="252" spans="1:3" ht="15" x14ac:dyDescent="0.25">
      <c r="A252" s="129" t="s">
        <v>406</v>
      </c>
      <c r="B252" s="94">
        <v>2869</v>
      </c>
      <c r="C252" s="67"/>
    </row>
    <row r="253" spans="1:3" ht="15" x14ac:dyDescent="0.25">
      <c r="A253" s="129" t="s">
        <v>133</v>
      </c>
      <c r="B253" s="94">
        <v>24651</v>
      </c>
      <c r="C253" s="67"/>
    </row>
    <row r="254" spans="1:3" ht="15" x14ac:dyDescent="0.25">
      <c r="A254" s="129" t="s">
        <v>134</v>
      </c>
      <c r="B254" s="94">
        <v>5301</v>
      </c>
      <c r="C254" s="67"/>
    </row>
    <row r="255" spans="1:3" ht="15" x14ac:dyDescent="0.25">
      <c r="A255" s="129" t="s">
        <v>383</v>
      </c>
      <c r="B255" s="94">
        <v>4715</v>
      </c>
      <c r="C255" s="67"/>
    </row>
    <row r="256" spans="1:3" ht="15" x14ac:dyDescent="0.25">
      <c r="A256" s="129" t="s">
        <v>384</v>
      </c>
      <c r="B256" s="94">
        <v>4024</v>
      </c>
      <c r="C256" s="67"/>
    </row>
    <row r="257" spans="1:3" ht="15" x14ac:dyDescent="0.25">
      <c r="A257" s="129" t="s">
        <v>385</v>
      </c>
      <c r="B257" s="94">
        <v>1662</v>
      </c>
      <c r="C257" s="67"/>
    </row>
    <row r="258" spans="1:3" ht="15" x14ac:dyDescent="0.25">
      <c r="A258" s="129" t="s">
        <v>386</v>
      </c>
      <c r="B258" s="94">
        <v>6081</v>
      </c>
      <c r="C258" s="67"/>
    </row>
    <row r="259" spans="1:3" ht="15" x14ac:dyDescent="0.25">
      <c r="A259" s="129" t="s">
        <v>387</v>
      </c>
      <c r="B259" s="94">
        <v>235239</v>
      </c>
      <c r="C259" s="67"/>
    </row>
    <row r="260" spans="1:3" ht="15" x14ac:dyDescent="0.25">
      <c r="A260" s="129" t="s">
        <v>388</v>
      </c>
      <c r="B260" s="94">
        <v>1567</v>
      </c>
      <c r="C260" s="67"/>
    </row>
    <row r="261" spans="1:3" ht="15" x14ac:dyDescent="0.25">
      <c r="A261" s="129" t="s">
        <v>389</v>
      </c>
      <c r="B261" s="94">
        <v>3062</v>
      </c>
      <c r="C261" s="67"/>
    </row>
    <row r="262" spans="1:3" ht="15" x14ac:dyDescent="0.25">
      <c r="A262" s="129" t="s">
        <v>390</v>
      </c>
      <c r="B262" s="94">
        <v>5158</v>
      </c>
      <c r="C262" s="67"/>
    </row>
    <row r="263" spans="1:3" ht="15" x14ac:dyDescent="0.25">
      <c r="A263" s="129" t="s">
        <v>391</v>
      </c>
      <c r="B263" s="94">
        <v>4482</v>
      </c>
      <c r="C263" s="67"/>
    </row>
    <row r="264" spans="1:3" ht="15" x14ac:dyDescent="0.25">
      <c r="A264" s="129" t="s">
        <v>392</v>
      </c>
      <c r="B264" s="94">
        <v>3112</v>
      </c>
      <c r="C264" s="67"/>
    </row>
    <row r="265" spans="1:3" ht="15" x14ac:dyDescent="0.25">
      <c r="A265" s="129" t="s">
        <v>393</v>
      </c>
      <c r="B265" s="94">
        <v>2406</v>
      </c>
      <c r="C265" s="67"/>
    </row>
    <row r="266" spans="1:3" ht="15" x14ac:dyDescent="0.25">
      <c r="A266" s="129" t="s">
        <v>394</v>
      </c>
      <c r="B266" s="94">
        <v>21875</v>
      </c>
      <c r="C266" s="67"/>
    </row>
    <row r="267" spans="1:3" ht="15" x14ac:dyDescent="0.25">
      <c r="A267" s="129" t="s">
        <v>395</v>
      </c>
      <c r="B267" s="94">
        <v>191331</v>
      </c>
      <c r="C267" s="67"/>
    </row>
    <row r="268" spans="1:3" ht="15" x14ac:dyDescent="0.25">
      <c r="A268" s="129" t="s">
        <v>317</v>
      </c>
      <c r="B268" s="94">
        <v>3438</v>
      </c>
      <c r="C268" s="67"/>
    </row>
    <row r="269" spans="1:3" ht="15" x14ac:dyDescent="0.25">
      <c r="A269" s="129" t="s">
        <v>396</v>
      </c>
      <c r="B269" s="94">
        <v>2551</v>
      </c>
      <c r="C269" s="67"/>
    </row>
    <row r="270" spans="1:3" ht="15" x14ac:dyDescent="0.25">
      <c r="A270" s="129" t="s">
        <v>397</v>
      </c>
      <c r="B270" s="94">
        <v>38664</v>
      </c>
      <c r="C270" s="67"/>
    </row>
    <row r="271" spans="1:3" ht="15" x14ac:dyDescent="0.25">
      <c r="A271" s="129" t="s">
        <v>398</v>
      </c>
      <c r="B271" s="94">
        <v>6758</v>
      </c>
      <c r="C271" s="67"/>
    </row>
    <row r="272" spans="1:3" ht="15" x14ac:dyDescent="0.25">
      <c r="A272" s="129" t="s">
        <v>399</v>
      </c>
      <c r="B272" s="94">
        <v>13021</v>
      </c>
      <c r="C272" s="67"/>
    </row>
    <row r="273" spans="1:3" ht="15" x14ac:dyDescent="0.25">
      <c r="A273" s="129" t="s">
        <v>400</v>
      </c>
      <c r="B273" s="94">
        <v>4792</v>
      </c>
      <c r="C273" s="67"/>
    </row>
    <row r="274" spans="1:3" ht="15" x14ac:dyDescent="0.25">
      <c r="A274" s="129" t="s">
        <v>401</v>
      </c>
      <c r="B274" s="94">
        <v>2702</v>
      </c>
      <c r="C274" s="67"/>
    </row>
    <row r="275" spans="1:3" ht="15" x14ac:dyDescent="0.25">
      <c r="A275" s="129" t="s">
        <v>402</v>
      </c>
      <c r="B275" s="94">
        <v>1232</v>
      </c>
      <c r="C275" s="67"/>
    </row>
    <row r="276" spans="1:3" ht="15" x14ac:dyDescent="0.25">
      <c r="A276" s="129" t="s">
        <v>403</v>
      </c>
      <c r="B276" s="94">
        <v>3783</v>
      </c>
      <c r="C276" s="67"/>
    </row>
    <row r="277" spans="1:3" ht="15" x14ac:dyDescent="0.25">
      <c r="A277" s="129" t="s">
        <v>404</v>
      </c>
      <c r="B277" s="94">
        <v>7455</v>
      </c>
      <c r="C277" s="67"/>
    </row>
    <row r="278" spans="1:3" ht="15" x14ac:dyDescent="0.25">
      <c r="A278" s="129" t="s">
        <v>405</v>
      </c>
      <c r="B278" s="94">
        <v>15700</v>
      </c>
      <c r="C278" s="67"/>
    </row>
    <row r="279" spans="1:3" ht="15" x14ac:dyDescent="0.25">
      <c r="A279" s="129" t="s">
        <v>407</v>
      </c>
      <c r="B279" s="94">
        <v>67552</v>
      </c>
      <c r="C279" s="67"/>
    </row>
    <row r="280" spans="1:3" ht="15" x14ac:dyDescent="0.25">
      <c r="A280" s="129" t="s">
        <v>408</v>
      </c>
      <c r="B280" s="94">
        <v>21137</v>
      </c>
      <c r="C280" s="67"/>
    </row>
    <row r="281" spans="1:3" ht="15" x14ac:dyDescent="0.25">
      <c r="A281" s="129" t="s">
        <v>411</v>
      </c>
      <c r="B281" s="94">
        <v>20829</v>
      </c>
      <c r="C281" s="67"/>
    </row>
    <row r="282" spans="1:3" ht="15" x14ac:dyDescent="0.25">
      <c r="A282" s="129" t="s">
        <v>412</v>
      </c>
      <c r="B282" s="94">
        <v>2285</v>
      </c>
      <c r="C282" s="67"/>
    </row>
    <row r="283" spans="1:3" ht="15" x14ac:dyDescent="0.25">
      <c r="A283" s="129" t="s">
        <v>413</v>
      </c>
      <c r="B283" s="94">
        <v>2058</v>
      </c>
      <c r="C283" s="67"/>
    </row>
    <row r="284" spans="1:3" ht="15" x14ac:dyDescent="0.25">
      <c r="A284" s="129" t="s">
        <v>414</v>
      </c>
      <c r="B284" s="94">
        <v>4393</v>
      </c>
      <c r="C284" s="67"/>
    </row>
    <row r="285" spans="1:3" ht="15" x14ac:dyDescent="0.25">
      <c r="A285" s="129" t="s">
        <v>415</v>
      </c>
      <c r="B285" s="94">
        <v>3166</v>
      </c>
      <c r="C285" s="67"/>
    </row>
    <row r="286" spans="1:3" ht="15" x14ac:dyDescent="0.25">
      <c r="A286" s="129" t="s">
        <v>416</v>
      </c>
      <c r="B286" s="94">
        <v>3676</v>
      </c>
      <c r="C286" s="67"/>
    </row>
    <row r="287" spans="1:3" ht="15" x14ac:dyDescent="0.25">
      <c r="A287" s="129" t="s">
        <v>417</v>
      </c>
      <c r="B287" s="94">
        <v>29211</v>
      </c>
      <c r="C287" s="67"/>
    </row>
    <row r="288" spans="1:3" ht="15" x14ac:dyDescent="0.25">
      <c r="A288" s="129" t="s">
        <v>418</v>
      </c>
      <c r="B288" s="94">
        <v>6264</v>
      </c>
      <c r="C288" s="67"/>
    </row>
    <row r="289" spans="1:3" ht="15" x14ac:dyDescent="0.25">
      <c r="A289" s="129" t="s">
        <v>419</v>
      </c>
      <c r="B289" s="94">
        <v>2901</v>
      </c>
      <c r="C289" s="67"/>
    </row>
    <row r="290" spans="1:3" ht="15" x14ac:dyDescent="0.25">
      <c r="A290" s="129" t="s">
        <v>420</v>
      </c>
      <c r="B290" s="94">
        <v>3150</v>
      </c>
      <c r="C290" s="67"/>
    </row>
    <row r="291" spans="1:3" ht="15" x14ac:dyDescent="0.25">
      <c r="A291" s="129" t="s">
        <v>421</v>
      </c>
      <c r="B291" s="94">
        <v>6739</v>
      </c>
      <c r="C291" s="67"/>
    </row>
    <row r="292" spans="1:3" ht="15" x14ac:dyDescent="0.25">
      <c r="A292" s="129" t="s">
        <v>135</v>
      </c>
      <c r="B292" s="94">
        <v>6613</v>
      </c>
      <c r="C292" s="67"/>
    </row>
    <row r="293" spans="1:3" ht="15" x14ac:dyDescent="0.25">
      <c r="A293" s="129" t="s">
        <v>422</v>
      </c>
      <c r="B293" s="94">
        <v>4022</v>
      </c>
      <c r="C293" s="67"/>
    </row>
    <row r="294" spans="1:3" ht="15" x14ac:dyDescent="0.25">
      <c r="A294" s="129" t="s">
        <v>423</v>
      </c>
      <c r="B294" s="94">
        <v>15212</v>
      </c>
      <c r="C294" s="67"/>
    </row>
    <row r="295" spans="1:3" ht="15" x14ac:dyDescent="0.25">
      <c r="A295" s="129" t="s">
        <v>424</v>
      </c>
      <c r="B295" s="94">
        <v>32983</v>
      </c>
      <c r="C295" s="67"/>
    </row>
    <row r="296" spans="1:3" ht="15" x14ac:dyDescent="0.25">
      <c r="A296" s="129" t="s">
        <v>425</v>
      </c>
      <c r="B296" s="94">
        <v>2357</v>
      </c>
      <c r="C296" s="67"/>
    </row>
    <row r="297" spans="1:3" ht="15" x14ac:dyDescent="0.25">
      <c r="A297" s="129" t="s">
        <v>426</v>
      </c>
      <c r="B297" s="94">
        <v>5703</v>
      </c>
      <c r="C297" s="67"/>
    </row>
    <row r="298" spans="1:3" ht="15" x14ac:dyDescent="0.25">
      <c r="A298" s="129" t="s">
        <v>427</v>
      </c>
      <c r="B298" s="94">
        <v>18851</v>
      </c>
      <c r="C298" s="67"/>
    </row>
    <row r="299" spans="1:3" ht="15" x14ac:dyDescent="0.25">
      <c r="A299" s="129"/>
      <c r="B299" s="94"/>
      <c r="C299" s="67"/>
    </row>
    <row r="300" spans="1:3" ht="15" x14ac:dyDescent="0.25">
      <c r="A300" s="129" t="s">
        <v>583</v>
      </c>
      <c r="B300" s="94">
        <f>SUM(B5:B299)</f>
        <v>5488130</v>
      </c>
    </row>
    <row r="303" spans="1:3" x14ac:dyDescent="0.2">
      <c r="A303" s="140"/>
    </row>
    <row r="304" spans="1:3" x14ac:dyDescent="0.2">
      <c r="A304" s="14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12"/>
  <dimension ref="A1:Y300"/>
  <sheetViews>
    <sheetView zoomScale="130" zoomScaleNormal="130" workbookViewId="0">
      <selection activeCell="G7" sqref="A1:Y300"/>
    </sheetView>
  </sheetViews>
  <sheetFormatPr defaultRowHeight="12.75" x14ac:dyDescent="0.2"/>
  <cols>
    <col min="4" max="4" width="10.140625" bestFit="1" customWidth="1"/>
  </cols>
  <sheetData>
    <row r="1" spans="1:25" x14ac:dyDescent="0.2">
      <c r="A1" s="200" t="s">
        <v>568</v>
      </c>
      <c r="B1" s="204">
        <v>1</v>
      </c>
      <c r="C1" s="204">
        <v>2</v>
      </c>
      <c r="D1" s="201">
        <v>3</v>
      </c>
      <c r="E1" s="204">
        <v>4</v>
      </c>
      <c r="F1" s="204">
        <v>5</v>
      </c>
      <c r="G1" s="201">
        <v>6</v>
      </c>
      <c r="H1" s="204">
        <v>7</v>
      </c>
      <c r="I1" s="204">
        <v>8</v>
      </c>
      <c r="J1" s="201">
        <v>9</v>
      </c>
      <c r="K1" s="204">
        <v>10</v>
      </c>
      <c r="L1" s="204">
        <v>11</v>
      </c>
      <c r="M1" s="201">
        <v>12</v>
      </c>
      <c r="N1" s="204">
        <v>13</v>
      </c>
      <c r="O1" s="204">
        <v>14</v>
      </c>
      <c r="P1" s="201">
        <v>15</v>
      </c>
      <c r="Q1" s="204">
        <v>16</v>
      </c>
      <c r="R1" s="204">
        <v>17</v>
      </c>
      <c r="S1" s="201">
        <v>18</v>
      </c>
      <c r="T1" s="204">
        <v>19</v>
      </c>
      <c r="U1" s="204">
        <v>20</v>
      </c>
      <c r="V1" s="201">
        <v>21</v>
      </c>
      <c r="W1" s="204">
        <v>22</v>
      </c>
      <c r="X1" s="204">
        <v>23</v>
      </c>
      <c r="Y1" s="201">
        <v>24</v>
      </c>
    </row>
    <row r="2" spans="1:25" x14ac:dyDescent="0.2">
      <c r="A2" s="200" t="s">
        <v>546</v>
      </c>
      <c r="B2" s="202" t="s">
        <v>120</v>
      </c>
      <c r="C2" s="202" t="s">
        <v>136</v>
      </c>
      <c r="D2" s="202" t="s">
        <v>471</v>
      </c>
      <c r="E2" s="203"/>
      <c r="F2" s="203"/>
      <c r="G2" s="203"/>
      <c r="H2" s="203"/>
      <c r="I2" s="202" t="s">
        <v>430</v>
      </c>
      <c r="J2" s="202"/>
      <c r="K2" s="202"/>
      <c r="L2" s="202"/>
      <c r="M2" s="202"/>
      <c r="N2" s="202" t="s">
        <v>494</v>
      </c>
      <c r="O2" s="204"/>
      <c r="P2" s="204"/>
      <c r="Q2" s="204"/>
      <c r="R2" s="204"/>
      <c r="S2" s="209"/>
      <c r="T2" s="209"/>
      <c r="U2" s="209"/>
      <c r="V2" s="209"/>
      <c r="W2" s="209"/>
      <c r="X2" s="209"/>
      <c r="Y2" s="209"/>
    </row>
    <row r="3" spans="1:25" x14ac:dyDescent="0.2">
      <c r="A3" s="229">
        <v>2018</v>
      </c>
      <c r="B3" s="229"/>
      <c r="C3" s="230" t="s">
        <v>102</v>
      </c>
      <c r="D3" s="203"/>
      <c r="E3" s="203"/>
      <c r="F3" s="203"/>
      <c r="G3" s="203"/>
      <c r="H3" s="203"/>
      <c r="I3" s="203"/>
      <c r="J3" s="203"/>
      <c r="K3" s="203"/>
      <c r="L3" s="203"/>
      <c r="M3" s="203"/>
      <c r="N3" s="204"/>
      <c r="O3" s="204"/>
      <c r="P3" s="204"/>
      <c r="Q3" s="204"/>
      <c r="R3" s="204"/>
      <c r="S3" s="209"/>
      <c r="T3" s="209"/>
      <c r="U3" s="209"/>
      <c r="V3" s="209"/>
      <c r="W3" s="209"/>
      <c r="X3" s="209"/>
      <c r="Y3" s="209"/>
    </row>
    <row r="4" spans="1:25" ht="15" x14ac:dyDescent="0.25">
      <c r="A4" s="231"/>
      <c r="B4" s="232"/>
      <c r="C4" s="205"/>
      <c r="D4" s="206">
        <v>2017</v>
      </c>
      <c r="E4" s="206" t="s">
        <v>547</v>
      </c>
      <c r="F4" s="206" t="s">
        <v>548</v>
      </c>
      <c r="G4" s="206" t="s">
        <v>549</v>
      </c>
      <c r="H4" s="206" t="s">
        <v>590</v>
      </c>
      <c r="I4" s="207">
        <v>2017</v>
      </c>
      <c r="J4" s="207" t="s">
        <v>547</v>
      </c>
      <c r="K4" s="207" t="s">
        <v>548</v>
      </c>
      <c r="L4" s="207" t="s">
        <v>549</v>
      </c>
      <c r="M4" s="207" t="s">
        <v>591</v>
      </c>
      <c r="N4" s="208">
        <v>2017</v>
      </c>
      <c r="O4" s="208" t="s">
        <v>547</v>
      </c>
      <c r="P4" s="208" t="s">
        <v>548</v>
      </c>
      <c r="Q4" s="208" t="s">
        <v>549</v>
      </c>
      <c r="R4" s="208" t="s">
        <v>590</v>
      </c>
      <c r="S4" s="209"/>
      <c r="T4" s="209"/>
      <c r="U4" s="209"/>
      <c r="V4" s="209"/>
      <c r="W4" s="209"/>
      <c r="X4" s="209"/>
      <c r="Y4" s="209"/>
    </row>
    <row r="5" spans="1:25" x14ac:dyDescent="0.2">
      <c r="A5" s="198">
        <v>20</v>
      </c>
      <c r="B5" s="199" t="s">
        <v>125</v>
      </c>
      <c r="C5" s="228">
        <v>6</v>
      </c>
      <c r="D5" s="210">
        <v>54016.245569999999</v>
      </c>
      <c r="E5" s="210">
        <v>56434.730967642128</v>
      </c>
      <c r="F5" s="210">
        <v>59062.72852290648</v>
      </c>
      <c r="G5" s="210">
        <v>31993.08864281961</v>
      </c>
      <c r="H5" s="210">
        <v>31363.75735713269</v>
      </c>
      <c r="I5" s="210">
        <v>1892.6968999999999</v>
      </c>
      <c r="J5" s="210">
        <v>1628.567884</v>
      </c>
      <c r="K5" s="210">
        <v>1757.1719659999999</v>
      </c>
      <c r="L5" s="210">
        <v>1356.2637990000001</v>
      </c>
      <c r="M5" s="210">
        <v>1373.3237209999998</v>
      </c>
      <c r="N5" s="210">
        <v>3489.0633399999997</v>
      </c>
      <c r="O5" s="210">
        <v>3290.5971709439996</v>
      </c>
      <c r="P5" s="210">
        <v>3290.5971709439996</v>
      </c>
      <c r="Q5" s="210">
        <v>3290.5971709439996</v>
      </c>
      <c r="R5" s="210">
        <v>3290.5971709439996</v>
      </c>
      <c r="S5" s="210"/>
      <c r="T5" s="210"/>
      <c r="U5" s="210"/>
      <c r="V5" s="209"/>
      <c r="W5" s="209"/>
      <c r="X5" s="209"/>
      <c r="Y5" s="209"/>
    </row>
    <row r="6" spans="1:25" x14ac:dyDescent="0.2">
      <c r="A6" s="198">
        <v>5</v>
      </c>
      <c r="B6" s="199" t="s">
        <v>142</v>
      </c>
      <c r="C6" s="228">
        <v>14</v>
      </c>
      <c r="D6" s="210">
        <v>25064.810819999999</v>
      </c>
      <c r="E6" s="210">
        <v>25220.785467656671</v>
      </c>
      <c r="F6" s="210">
        <v>26066.763815107741</v>
      </c>
      <c r="G6" s="210">
        <v>14274.654404783731</v>
      </c>
      <c r="H6" s="210">
        <v>14102.440397079428</v>
      </c>
      <c r="I6" s="210">
        <v>2438.0982000000004</v>
      </c>
      <c r="J6" s="210">
        <v>2168.3605629999997</v>
      </c>
      <c r="K6" s="210">
        <v>2347.3168519999999</v>
      </c>
      <c r="L6" s="210">
        <v>1811.763978</v>
      </c>
      <c r="M6" s="210">
        <v>1834.5534619999999</v>
      </c>
      <c r="N6" s="210">
        <v>2155.64923</v>
      </c>
      <c r="O6" s="210">
        <v>2101.0174717800005</v>
      </c>
      <c r="P6" s="210">
        <v>2101.0174717800005</v>
      </c>
      <c r="Q6" s="210">
        <v>2101.0174717800005</v>
      </c>
      <c r="R6" s="210">
        <v>2101.0174717800005</v>
      </c>
      <c r="S6" s="210"/>
      <c r="T6" s="210"/>
      <c r="U6" s="210"/>
      <c r="V6" s="209"/>
      <c r="W6" s="209"/>
      <c r="X6" s="209"/>
      <c r="Y6" s="209"/>
    </row>
    <row r="7" spans="1:25" x14ac:dyDescent="0.2">
      <c r="A7" s="198">
        <v>9</v>
      </c>
      <c r="B7" s="199" t="s">
        <v>143</v>
      </c>
      <c r="C7" s="228">
        <v>17</v>
      </c>
      <c r="D7" s="210">
        <v>6493.73081</v>
      </c>
      <c r="E7" s="210">
        <v>6921.63928958213</v>
      </c>
      <c r="F7" s="210">
        <v>7147.5849371866689</v>
      </c>
      <c r="G7" s="210">
        <v>3909.0970452948723</v>
      </c>
      <c r="H7" s="210">
        <v>3824.1309094672288</v>
      </c>
      <c r="I7" s="210">
        <v>285.62635999999998</v>
      </c>
      <c r="J7" s="210">
        <v>263.46596499999998</v>
      </c>
      <c r="K7" s="210">
        <v>285.17259799999999</v>
      </c>
      <c r="L7" s="210">
        <v>220.108947</v>
      </c>
      <c r="M7" s="210">
        <v>222.87761300000003</v>
      </c>
      <c r="N7" s="210">
        <v>504.91699</v>
      </c>
      <c r="O7" s="210">
        <v>514.87539377760004</v>
      </c>
      <c r="P7" s="210">
        <v>514.87539377760004</v>
      </c>
      <c r="Q7" s="210">
        <v>514.87539377760004</v>
      </c>
      <c r="R7" s="210">
        <v>514.87539377760004</v>
      </c>
      <c r="S7" s="210"/>
      <c r="T7" s="210"/>
      <c r="U7" s="210"/>
      <c r="V7" s="209"/>
      <c r="W7" s="209"/>
      <c r="X7" s="209"/>
      <c r="Y7" s="209"/>
    </row>
    <row r="8" spans="1:25" x14ac:dyDescent="0.2">
      <c r="A8" s="198">
        <v>10</v>
      </c>
      <c r="B8" s="199" t="s">
        <v>144</v>
      </c>
      <c r="C8" s="228">
        <v>14</v>
      </c>
      <c r="D8" s="210">
        <v>29789.408030000002</v>
      </c>
      <c r="E8" s="210">
        <v>29693.275510831412</v>
      </c>
      <c r="F8" s="210">
        <v>30932.903522970453</v>
      </c>
      <c r="G8" s="210">
        <v>16610.542640061427</v>
      </c>
      <c r="H8" s="210">
        <v>16330.357283844372</v>
      </c>
      <c r="I8" s="210">
        <v>2698.7567400000003</v>
      </c>
      <c r="J8" s="210">
        <v>2457.4311880000005</v>
      </c>
      <c r="K8" s="210">
        <v>2668.6910660000003</v>
      </c>
      <c r="L8" s="210">
        <v>2059.8149490000001</v>
      </c>
      <c r="M8" s="210">
        <v>2085.7245709999997</v>
      </c>
      <c r="N8" s="210">
        <v>2729.5348100000001</v>
      </c>
      <c r="O8" s="210">
        <v>2742.7334357616</v>
      </c>
      <c r="P8" s="210">
        <v>2742.7334357616</v>
      </c>
      <c r="Q8" s="210">
        <v>2742.7334357616</v>
      </c>
      <c r="R8" s="210">
        <v>2742.7334357616</v>
      </c>
      <c r="S8" s="210"/>
      <c r="T8" s="210"/>
      <c r="U8" s="210"/>
      <c r="V8" s="209"/>
      <c r="W8" s="209"/>
      <c r="X8" s="209"/>
      <c r="Y8" s="209"/>
    </row>
    <row r="9" spans="1:25" x14ac:dyDescent="0.2">
      <c r="A9" s="198">
        <v>16</v>
      </c>
      <c r="B9" s="199" t="s">
        <v>145</v>
      </c>
      <c r="C9" s="228">
        <v>7</v>
      </c>
      <c r="D9" s="210">
        <v>25297.77145</v>
      </c>
      <c r="E9" s="210">
        <v>25225.5672137486</v>
      </c>
      <c r="F9" s="210">
        <v>26559.268644122785</v>
      </c>
      <c r="G9" s="210">
        <v>13746.379607876304</v>
      </c>
      <c r="H9" s="210">
        <v>13398.892730932475</v>
      </c>
      <c r="I9" s="210">
        <v>1615.50731</v>
      </c>
      <c r="J9" s="210">
        <v>1468.962137</v>
      </c>
      <c r="K9" s="210">
        <v>1587.303954</v>
      </c>
      <c r="L9" s="210">
        <v>1225.1520810000002</v>
      </c>
      <c r="M9" s="210">
        <v>1240.5627989999998</v>
      </c>
      <c r="N9" s="210">
        <v>2786.5875499999997</v>
      </c>
      <c r="O9" s="210">
        <v>2923.4028085824002</v>
      </c>
      <c r="P9" s="210">
        <v>2923.4028085824002</v>
      </c>
      <c r="Q9" s="210">
        <v>2923.4028085824002</v>
      </c>
      <c r="R9" s="210">
        <v>2923.4028085824002</v>
      </c>
      <c r="S9" s="210"/>
      <c r="T9" s="210"/>
      <c r="U9" s="210"/>
      <c r="V9" s="209"/>
      <c r="W9" s="209"/>
      <c r="X9" s="209"/>
      <c r="Y9" s="209"/>
    </row>
    <row r="10" spans="1:25" x14ac:dyDescent="0.2">
      <c r="A10" s="198">
        <v>18</v>
      </c>
      <c r="B10" s="199" t="s">
        <v>146</v>
      </c>
      <c r="C10" s="228">
        <v>1</v>
      </c>
      <c r="D10" s="210">
        <v>16579.267110000001</v>
      </c>
      <c r="E10" s="210">
        <v>17029.181034925543</v>
      </c>
      <c r="F10" s="210">
        <v>18019.912541733374</v>
      </c>
      <c r="G10" s="210">
        <v>9416.3711393357553</v>
      </c>
      <c r="H10" s="210">
        <v>9107.8896193385208</v>
      </c>
      <c r="I10" s="210">
        <v>1037.7546299999999</v>
      </c>
      <c r="J10" s="210">
        <v>955.9614029999999</v>
      </c>
      <c r="K10" s="210">
        <v>1035.9840939999999</v>
      </c>
      <c r="L10" s="210">
        <v>799.61879099999999</v>
      </c>
      <c r="M10" s="210">
        <v>809.67688899999996</v>
      </c>
      <c r="N10" s="210">
        <v>1139.10031</v>
      </c>
      <c r="O10" s="210">
        <v>1127.8822915440001</v>
      </c>
      <c r="P10" s="210">
        <v>1127.8822915440001</v>
      </c>
      <c r="Q10" s="210">
        <v>1127.8822915440001</v>
      </c>
      <c r="R10" s="210">
        <v>1127.8822915440001</v>
      </c>
      <c r="S10" s="210"/>
      <c r="T10" s="210"/>
      <c r="U10" s="210"/>
      <c r="V10" s="209"/>
      <c r="W10" s="209"/>
      <c r="X10" s="209"/>
      <c r="Y10" s="209"/>
    </row>
    <row r="11" spans="1:25" x14ac:dyDescent="0.2">
      <c r="A11" s="198">
        <v>19</v>
      </c>
      <c r="B11" s="199" t="s">
        <v>147</v>
      </c>
      <c r="C11" s="228">
        <v>2</v>
      </c>
      <c r="D11" s="210">
        <v>13596.449769999999</v>
      </c>
      <c r="E11" s="210">
        <v>13398.54609240528</v>
      </c>
      <c r="F11" s="210">
        <v>14192.750994641949</v>
      </c>
      <c r="G11" s="210">
        <v>7807.8349190052204</v>
      </c>
      <c r="H11" s="210">
        <v>7626.4386829646619</v>
      </c>
      <c r="I11" s="210">
        <v>530.47126000000003</v>
      </c>
      <c r="J11" s="210">
        <v>606.01640700000007</v>
      </c>
      <c r="K11" s="210">
        <v>656.86231200000009</v>
      </c>
      <c r="L11" s="210">
        <v>506.99566800000002</v>
      </c>
      <c r="M11" s="210">
        <v>513.372972</v>
      </c>
      <c r="N11" s="210">
        <v>745.49144999999999</v>
      </c>
      <c r="O11" s="210">
        <v>742.00666399200009</v>
      </c>
      <c r="P11" s="210">
        <v>742.00666399200009</v>
      </c>
      <c r="Q11" s="210">
        <v>742.00666399200009</v>
      </c>
      <c r="R11" s="210">
        <v>742.00666399200009</v>
      </c>
      <c r="S11" s="210"/>
      <c r="T11" s="210"/>
      <c r="U11" s="210"/>
      <c r="V11" s="209"/>
      <c r="W11" s="209"/>
      <c r="X11" s="209"/>
      <c r="Y11" s="209"/>
    </row>
    <row r="12" spans="1:25" x14ac:dyDescent="0.2">
      <c r="A12" s="198">
        <v>46</v>
      </c>
      <c r="B12" s="199" t="s">
        <v>148</v>
      </c>
      <c r="C12" s="228">
        <v>10</v>
      </c>
      <c r="D12" s="210">
        <v>3723.1102599999999</v>
      </c>
      <c r="E12" s="210">
        <v>3594.0909941538944</v>
      </c>
      <c r="F12" s="210">
        <v>3771.2160201553897</v>
      </c>
      <c r="G12" s="210">
        <v>1947.5654242494884</v>
      </c>
      <c r="H12" s="210">
        <v>1921.1563895079189</v>
      </c>
      <c r="I12" s="210">
        <v>595.09957999999995</v>
      </c>
      <c r="J12" s="210">
        <v>574.74336600000004</v>
      </c>
      <c r="K12" s="210">
        <v>622.97284000000002</v>
      </c>
      <c r="L12" s="210">
        <v>480.83825999999993</v>
      </c>
      <c r="M12" s="210">
        <v>486.88653999999997</v>
      </c>
      <c r="N12" s="210">
        <v>535.41331000000002</v>
      </c>
      <c r="O12" s="210">
        <v>528.23875495200002</v>
      </c>
      <c r="P12" s="210">
        <v>528.23875495200002</v>
      </c>
      <c r="Q12" s="210">
        <v>528.23875495200002</v>
      </c>
      <c r="R12" s="210">
        <v>528.23875495200002</v>
      </c>
      <c r="S12" s="210"/>
      <c r="T12" s="210"/>
      <c r="U12" s="210"/>
      <c r="V12" s="209"/>
      <c r="W12" s="209"/>
      <c r="X12" s="209"/>
      <c r="Y12" s="209"/>
    </row>
    <row r="13" spans="1:25" x14ac:dyDescent="0.2">
      <c r="A13" s="198">
        <v>47</v>
      </c>
      <c r="B13" s="199" t="s">
        <v>149</v>
      </c>
      <c r="C13" s="228">
        <v>19</v>
      </c>
      <c r="D13" s="210">
        <v>4963.3801900000008</v>
      </c>
      <c r="E13" s="210">
        <v>5017.8962095958786</v>
      </c>
      <c r="F13" s="210">
        <v>5202.0930479517265</v>
      </c>
      <c r="G13" s="210">
        <v>2858.9017055375707</v>
      </c>
      <c r="H13" s="210">
        <v>2821.7323483134246</v>
      </c>
      <c r="I13" s="210">
        <v>409.93637999999999</v>
      </c>
      <c r="J13" s="210">
        <v>390.57563999999996</v>
      </c>
      <c r="K13" s="210">
        <v>423.379234</v>
      </c>
      <c r="L13" s="210">
        <v>326.78300099999996</v>
      </c>
      <c r="M13" s="210">
        <v>330.89347899999996</v>
      </c>
      <c r="N13" s="210">
        <v>829.74311999999998</v>
      </c>
      <c r="O13" s="210">
        <v>830.8569759720001</v>
      </c>
      <c r="P13" s="210">
        <v>830.8569759720001</v>
      </c>
      <c r="Q13" s="210">
        <v>830.8569759720001</v>
      </c>
      <c r="R13" s="210">
        <v>830.8569759720001</v>
      </c>
      <c r="S13" s="210"/>
      <c r="T13" s="210"/>
      <c r="U13" s="210"/>
      <c r="V13" s="209"/>
      <c r="W13" s="209"/>
      <c r="X13" s="209"/>
      <c r="Y13" s="209"/>
    </row>
    <row r="14" spans="1:25" x14ac:dyDescent="0.2">
      <c r="A14" s="198">
        <v>49</v>
      </c>
      <c r="B14" s="199" t="s">
        <v>150</v>
      </c>
      <c r="C14" s="228">
        <v>1</v>
      </c>
      <c r="D14" s="210">
        <v>1236908.5774300001</v>
      </c>
      <c r="E14" s="210">
        <v>1280107.248110516</v>
      </c>
      <c r="F14" s="210">
        <v>1347243.9617374537</v>
      </c>
      <c r="G14" s="210">
        <v>580235.03019098239</v>
      </c>
      <c r="H14" s="210">
        <v>543743.14210981107</v>
      </c>
      <c r="I14" s="210">
        <v>137156.24909999999</v>
      </c>
      <c r="J14" s="210">
        <v>129676.208551</v>
      </c>
      <c r="K14" s="210">
        <v>140374.15955399998</v>
      </c>
      <c r="L14" s="210">
        <v>108347.04548099999</v>
      </c>
      <c r="M14" s="210">
        <v>109709.90139899999</v>
      </c>
      <c r="N14" s="210">
        <v>116153.15004000001</v>
      </c>
      <c r="O14" s="210">
        <v>118125.79390338478</v>
      </c>
      <c r="P14" s="210">
        <v>118125.79390338478</v>
      </c>
      <c r="Q14" s="210">
        <v>118125.79390338478</v>
      </c>
      <c r="R14" s="210">
        <v>118125.79390338478</v>
      </c>
      <c r="S14" s="210"/>
      <c r="T14" s="210"/>
      <c r="U14" s="210"/>
      <c r="V14" s="209"/>
      <c r="W14" s="209"/>
      <c r="X14" s="209"/>
      <c r="Y14" s="209"/>
    </row>
    <row r="15" spans="1:25" x14ac:dyDescent="0.2">
      <c r="A15" s="198">
        <v>50</v>
      </c>
      <c r="B15" s="199" t="s">
        <v>151</v>
      </c>
      <c r="C15" s="228">
        <v>4</v>
      </c>
      <c r="D15" s="210">
        <v>39020.664840000005</v>
      </c>
      <c r="E15" s="210">
        <v>39674.120891507569</v>
      </c>
      <c r="F15" s="210">
        <v>40782.925659425011</v>
      </c>
      <c r="G15" s="210">
        <v>20768.994656530991</v>
      </c>
      <c r="H15" s="210">
        <v>20221.64081884535</v>
      </c>
      <c r="I15" s="210">
        <v>2303.1372700000002</v>
      </c>
      <c r="J15" s="210">
        <v>2017.1530319999997</v>
      </c>
      <c r="K15" s="210">
        <v>2178.1074219999996</v>
      </c>
      <c r="L15" s="210">
        <v>1681.1605829999999</v>
      </c>
      <c r="M15" s="210">
        <v>1702.3072569999999</v>
      </c>
      <c r="N15" s="210">
        <v>3076.7360199999998</v>
      </c>
      <c r="O15" s="210">
        <v>3099.1481855759998</v>
      </c>
      <c r="P15" s="210">
        <v>3099.1481855759998</v>
      </c>
      <c r="Q15" s="210">
        <v>3099.1481855759998</v>
      </c>
      <c r="R15" s="210">
        <v>3099.1481855759998</v>
      </c>
      <c r="S15" s="210"/>
      <c r="T15" s="210"/>
      <c r="U15" s="210"/>
      <c r="V15" s="209"/>
      <c r="W15" s="209"/>
      <c r="X15" s="209"/>
      <c r="Y15" s="209"/>
    </row>
    <row r="16" spans="1:25" x14ac:dyDescent="0.2">
      <c r="A16" s="198">
        <v>51</v>
      </c>
      <c r="B16" s="199" t="s">
        <v>152</v>
      </c>
      <c r="C16" s="228">
        <v>4</v>
      </c>
      <c r="D16" s="210">
        <v>30552.22738</v>
      </c>
      <c r="E16" s="210">
        <v>29223.960793586131</v>
      </c>
      <c r="F16" s="210">
        <v>31111.584832562337</v>
      </c>
      <c r="G16" s="210">
        <v>13355.138487614307</v>
      </c>
      <c r="H16" s="210">
        <v>12794.539274253544</v>
      </c>
      <c r="I16" s="210">
        <v>2027.9517599999999</v>
      </c>
      <c r="J16" s="210">
        <v>2363.7528040000002</v>
      </c>
      <c r="K16" s="210">
        <v>2560.2994279999998</v>
      </c>
      <c r="L16" s="210">
        <v>1976.1534419999998</v>
      </c>
      <c r="M16" s="210">
        <v>2001.010718</v>
      </c>
      <c r="N16" s="210">
        <v>19329.88507</v>
      </c>
      <c r="O16" s="210">
        <v>24217.533591098399</v>
      </c>
      <c r="P16" s="210">
        <v>24217.533591098399</v>
      </c>
      <c r="Q16" s="210">
        <v>24217.533591098399</v>
      </c>
      <c r="R16" s="210">
        <v>24217.533591098399</v>
      </c>
      <c r="S16" s="210"/>
      <c r="T16" s="210"/>
      <c r="U16" s="210"/>
      <c r="V16" s="209"/>
      <c r="W16" s="209"/>
      <c r="X16" s="209"/>
      <c r="Y16" s="209"/>
    </row>
    <row r="17" spans="1:25" x14ac:dyDescent="0.2">
      <c r="A17" s="198">
        <v>52</v>
      </c>
      <c r="B17" s="199" t="s">
        <v>153</v>
      </c>
      <c r="C17" s="228">
        <v>14</v>
      </c>
      <c r="D17" s="210">
        <v>6673.2915700000003</v>
      </c>
      <c r="E17" s="210">
        <v>6855.856906271023</v>
      </c>
      <c r="F17" s="210">
        <v>7121.7358973407509</v>
      </c>
      <c r="G17" s="210">
        <v>3882.8675390254984</v>
      </c>
      <c r="H17" s="210">
        <v>3815.3840604661605</v>
      </c>
      <c r="I17" s="210">
        <v>827.07652000000007</v>
      </c>
      <c r="J17" s="210">
        <v>638.07506000000001</v>
      </c>
      <c r="K17" s="210">
        <v>692.60866799999985</v>
      </c>
      <c r="L17" s="210">
        <v>534.58630200000005</v>
      </c>
      <c r="M17" s="210">
        <v>541.31065799999999</v>
      </c>
      <c r="N17" s="210">
        <v>723.43795999999998</v>
      </c>
      <c r="O17" s="210">
        <v>727.1229033599999</v>
      </c>
      <c r="P17" s="210">
        <v>727.1229033599999</v>
      </c>
      <c r="Q17" s="210">
        <v>727.1229033599999</v>
      </c>
      <c r="R17" s="210">
        <v>727.1229033599999</v>
      </c>
      <c r="S17" s="210"/>
      <c r="T17" s="210"/>
      <c r="U17" s="210"/>
      <c r="V17" s="209"/>
      <c r="W17" s="209"/>
      <c r="X17" s="209"/>
      <c r="Y17" s="209"/>
    </row>
    <row r="18" spans="1:25" x14ac:dyDescent="0.2">
      <c r="A18" s="198">
        <v>61</v>
      </c>
      <c r="B18" s="199" t="s">
        <v>154</v>
      </c>
      <c r="C18" s="228">
        <v>5</v>
      </c>
      <c r="D18" s="210">
        <v>51893.002070000002</v>
      </c>
      <c r="E18" s="210">
        <v>52069.705233273075</v>
      </c>
      <c r="F18" s="210">
        <v>54348.523880440131</v>
      </c>
      <c r="G18" s="210">
        <v>27691.549702286051</v>
      </c>
      <c r="H18" s="210">
        <v>27094.544779591899</v>
      </c>
      <c r="I18" s="210">
        <v>3855.9037699999999</v>
      </c>
      <c r="J18" s="210">
        <v>3767.9792130000001</v>
      </c>
      <c r="K18" s="210">
        <v>4077.9183199999998</v>
      </c>
      <c r="L18" s="210">
        <v>3147.5194800000004</v>
      </c>
      <c r="M18" s="210">
        <v>3187.1109200000005</v>
      </c>
      <c r="N18" s="210">
        <v>5326.1009999999997</v>
      </c>
      <c r="O18" s="210">
        <v>5292.8571786479997</v>
      </c>
      <c r="P18" s="210">
        <v>5292.8571786479997</v>
      </c>
      <c r="Q18" s="210">
        <v>5292.8571786479997</v>
      </c>
      <c r="R18" s="210">
        <v>5292.8571786479997</v>
      </c>
      <c r="S18" s="210"/>
      <c r="T18" s="210"/>
      <c r="U18" s="210"/>
      <c r="V18" s="209"/>
      <c r="W18" s="209"/>
      <c r="X18" s="209"/>
      <c r="Y18" s="209"/>
    </row>
    <row r="19" spans="1:25" x14ac:dyDescent="0.2">
      <c r="A19" s="198">
        <v>69</v>
      </c>
      <c r="B19" s="199" t="s">
        <v>155</v>
      </c>
      <c r="C19" s="228">
        <v>17</v>
      </c>
      <c r="D19" s="210">
        <v>19281.864219999999</v>
      </c>
      <c r="E19" s="210">
        <v>19871.349818970903</v>
      </c>
      <c r="F19" s="210">
        <v>20741.236650463474</v>
      </c>
      <c r="G19" s="210">
        <v>11461.230093154971</v>
      </c>
      <c r="H19" s="210">
        <v>11293.741608036849</v>
      </c>
      <c r="I19" s="210">
        <v>1574.9274499999999</v>
      </c>
      <c r="J19" s="210">
        <v>1228.472282</v>
      </c>
      <c r="K19" s="210">
        <v>1329.5196739999999</v>
      </c>
      <c r="L19" s="210">
        <v>1026.1826610000001</v>
      </c>
      <c r="M19" s="210">
        <v>1039.0906190000001</v>
      </c>
      <c r="N19" s="210">
        <v>1893.38267</v>
      </c>
      <c r="O19" s="210">
        <v>2036.593204344</v>
      </c>
      <c r="P19" s="210">
        <v>2036.593204344</v>
      </c>
      <c r="Q19" s="210">
        <v>2036.593204344</v>
      </c>
      <c r="R19" s="210">
        <v>2036.593204344</v>
      </c>
      <c r="S19" s="210"/>
      <c r="T19" s="210"/>
      <c r="U19" s="210"/>
      <c r="V19" s="209"/>
      <c r="W19" s="209"/>
      <c r="X19" s="209"/>
      <c r="Y19" s="209"/>
    </row>
    <row r="20" spans="1:25" x14ac:dyDescent="0.2">
      <c r="A20" s="198">
        <v>71</v>
      </c>
      <c r="B20" s="199" t="s">
        <v>156</v>
      </c>
      <c r="C20" s="197">
        <v>17</v>
      </c>
      <c r="D20" s="210">
        <v>17803.32315</v>
      </c>
      <c r="E20" s="210">
        <v>17876.921792901154</v>
      </c>
      <c r="F20" s="210">
        <v>18783.610323765683</v>
      </c>
      <c r="G20" s="210">
        <v>10335.368976370612</v>
      </c>
      <c r="H20" s="210">
        <v>10240.503243721807</v>
      </c>
      <c r="I20" s="210">
        <v>1291.14697</v>
      </c>
      <c r="J20" s="210">
        <v>1365.0690400000001</v>
      </c>
      <c r="K20" s="210">
        <v>1478.5936340000001</v>
      </c>
      <c r="L20" s="210">
        <v>1141.2446010000001</v>
      </c>
      <c r="M20" s="210">
        <v>1155.5998790000001</v>
      </c>
      <c r="N20" s="210">
        <v>1672.8593899999998</v>
      </c>
      <c r="O20" s="210">
        <v>1656.5129899319998</v>
      </c>
      <c r="P20" s="210">
        <v>1656.5129899319998</v>
      </c>
      <c r="Q20" s="210">
        <v>1656.5129899319998</v>
      </c>
      <c r="R20" s="210">
        <v>1656.5129899319998</v>
      </c>
      <c r="S20" s="210"/>
      <c r="T20" s="210"/>
      <c r="U20" s="210"/>
      <c r="V20" s="209"/>
      <c r="W20" s="209"/>
      <c r="X20" s="209"/>
      <c r="Y20" s="209"/>
    </row>
    <row r="21" spans="1:25" x14ac:dyDescent="0.2">
      <c r="A21" s="198">
        <v>72</v>
      </c>
      <c r="B21" s="199" t="s">
        <v>157</v>
      </c>
      <c r="C21" s="197">
        <v>17</v>
      </c>
      <c r="D21" s="210">
        <v>3245.0600499999996</v>
      </c>
      <c r="E21" s="210">
        <v>3193.6683057050286</v>
      </c>
      <c r="F21" s="210">
        <v>3405.6270133229104</v>
      </c>
      <c r="G21" s="210">
        <v>1725.0755672196526</v>
      </c>
      <c r="H21" s="210">
        <v>1676.4296649718847</v>
      </c>
      <c r="I21" s="210">
        <v>113.52828</v>
      </c>
      <c r="J21" s="210">
        <v>98.518191999999985</v>
      </c>
      <c r="K21" s="210">
        <v>106.69337399999999</v>
      </c>
      <c r="L21" s="210">
        <v>82.35071099999999</v>
      </c>
      <c r="M21" s="210">
        <v>83.386568999999994</v>
      </c>
      <c r="N21" s="210">
        <v>332.09195</v>
      </c>
      <c r="O21" s="210">
        <v>351.51091398240004</v>
      </c>
      <c r="P21" s="210">
        <v>351.51091398240004</v>
      </c>
      <c r="Q21" s="210">
        <v>351.51091398240004</v>
      </c>
      <c r="R21" s="210">
        <v>351.51091398240004</v>
      </c>
      <c r="S21" s="210"/>
      <c r="T21" s="210"/>
      <c r="U21" s="210"/>
      <c r="V21" s="209"/>
      <c r="W21" s="209"/>
      <c r="X21" s="209"/>
      <c r="Y21" s="209"/>
    </row>
    <row r="22" spans="1:25" x14ac:dyDescent="0.2">
      <c r="A22" s="198">
        <v>74</v>
      </c>
      <c r="B22" s="199" t="s">
        <v>158</v>
      </c>
      <c r="C22" s="197">
        <v>16</v>
      </c>
      <c r="D22" s="210">
        <v>2805.1801099999998</v>
      </c>
      <c r="E22" s="210">
        <v>2837.1144494896384</v>
      </c>
      <c r="F22" s="210">
        <v>3019.7112783743501</v>
      </c>
      <c r="G22" s="210">
        <v>1683.3441842896464</v>
      </c>
      <c r="H22" s="210">
        <v>1663.26794312627</v>
      </c>
      <c r="I22" s="210">
        <v>551.22264000000007</v>
      </c>
      <c r="J22" s="210">
        <v>424.14190399999995</v>
      </c>
      <c r="K22" s="210">
        <v>459.79158799999993</v>
      </c>
      <c r="L22" s="210">
        <v>354.88768199999998</v>
      </c>
      <c r="M22" s="210">
        <v>359.35167799999994</v>
      </c>
      <c r="N22" s="210">
        <v>355.70615000000004</v>
      </c>
      <c r="O22" s="210">
        <v>351.16690207199997</v>
      </c>
      <c r="P22" s="210">
        <v>351.16690207199997</v>
      </c>
      <c r="Q22" s="210">
        <v>351.16690207199997</v>
      </c>
      <c r="R22" s="210">
        <v>351.16690207199997</v>
      </c>
      <c r="S22" s="210"/>
      <c r="T22" s="210"/>
      <c r="U22" s="210"/>
      <c r="V22" s="209"/>
      <c r="W22" s="209"/>
      <c r="X22" s="209"/>
      <c r="Y22" s="209"/>
    </row>
    <row r="23" spans="1:25" x14ac:dyDescent="0.2">
      <c r="A23" s="198">
        <v>75</v>
      </c>
      <c r="B23" s="199" t="s">
        <v>159</v>
      </c>
      <c r="C23" s="197">
        <v>8</v>
      </c>
      <c r="D23" s="210">
        <v>70567.052580000003</v>
      </c>
      <c r="E23" s="210">
        <v>71238.743342030037</v>
      </c>
      <c r="F23" s="210">
        <v>74014.700351261417</v>
      </c>
      <c r="G23" s="210">
        <v>38005.564473286948</v>
      </c>
      <c r="H23" s="210">
        <v>37336.690246875674</v>
      </c>
      <c r="I23" s="210">
        <v>5202.3272699999998</v>
      </c>
      <c r="J23" s="210">
        <v>5626.8381539999991</v>
      </c>
      <c r="K23" s="210">
        <v>6102.8237479999989</v>
      </c>
      <c r="L23" s="210">
        <v>4710.4319219999998</v>
      </c>
      <c r="M23" s="210">
        <v>4769.6826380000002</v>
      </c>
      <c r="N23" s="210">
        <v>6787.0652900000005</v>
      </c>
      <c r="O23" s="210">
        <v>7001.070205080001</v>
      </c>
      <c r="P23" s="210">
        <v>7001.070205080001</v>
      </c>
      <c r="Q23" s="210">
        <v>7001.070205080001</v>
      </c>
      <c r="R23" s="210">
        <v>7001.070205080001</v>
      </c>
      <c r="S23" s="210"/>
      <c r="T23" s="210"/>
      <c r="U23" s="210"/>
      <c r="V23" s="209"/>
      <c r="W23" s="209"/>
      <c r="X23" s="209"/>
      <c r="Y23" s="209"/>
    </row>
    <row r="24" spans="1:25" x14ac:dyDescent="0.2">
      <c r="A24" s="198">
        <v>77</v>
      </c>
      <c r="B24" s="199" t="s">
        <v>160</v>
      </c>
      <c r="C24" s="197">
        <v>13</v>
      </c>
      <c r="D24" s="210">
        <v>13141.173989999999</v>
      </c>
      <c r="E24" s="210">
        <v>12911.385659970041</v>
      </c>
      <c r="F24" s="210">
        <v>13471.690415357592</v>
      </c>
      <c r="G24" s="210">
        <v>7490.4428536661908</v>
      </c>
      <c r="H24" s="210">
        <v>7406.3267106939793</v>
      </c>
      <c r="I24" s="210">
        <v>853.96076000000005</v>
      </c>
      <c r="J24" s="210">
        <v>902.67389299999979</v>
      </c>
      <c r="K24" s="210">
        <v>978.35641799999996</v>
      </c>
      <c r="L24" s="210">
        <v>755.13917700000013</v>
      </c>
      <c r="M24" s="210">
        <v>764.63778300000001</v>
      </c>
      <c r="N24" s="210">
        <v>1308.3196200000002</v>
      </c>
      <c r="O24" s="210">
        <v>1299.5231109120002</v>
      </c>
      <c r="P24" s="210">
        <v>1299.5231109120002</v>
      </c>
      <c r="Q24" s="210">
        <v>1299.5231109120002</v>
      </c>
      <c r="R24" s="210">
        <v>1299.5231109120002</v>
      </c>
      <c r="S24" s="210"/>
      <c r="T24" s="210"/>
      <c r="U24" s="210"/>
      <c r="V24" s="209"/>
      <c r="W24" s="209"/>
      <c r="X24" s="209"/>
      <c r="Y24" s="209"/>
    </row>
    <row r="25" spans="1:25" x14ac:dyDescent="0.2">
      <c r="A25" s="198">
        <v>78</v>
      </c>
      <c r="B25" s="199" t="s">
        <v>161</v>
      </c>
      <c r="C25" s="197">
        <v>1</v>
      </c>
      <c r="D25" s="210">
        <v>33622.098869999994</v>
      </c>
      <c r="E25" s="210">
        <v>33899.12414732435</v>
      </c>
      <c r="F25" s="210">
        <v>34692.275975248711</v>
      </c>
      <c r="G25" s="210">
        <v>18440.58728150931</v>
      </c>
      <c r="H25" s="210">
        <v>18162.709457258832</v>
      </c>
      <c r="I25" s="210">
        <v>2781.5827599999998</v>
      </c>
      <c r="J25" s="210">
        <v>3068.5481789999999</v>
      </c>
      <c r="K25" s="210">
        <v>3319.7505639999999</v>
      </c>
      <c r="L25" s="210">
        <v>2562.3317459999994</v>
      </c>
      <c r="M25" s="210">
        <v>2594.5623339999997</v>
      </c>
      <c r="N25" s="210">
        <v>2624.0284900000001</v>
      </c>
      <c r="O25" s="210">
        <v>2672.0698905959998</v>
      </c>
      <c r="P25" s="210">
        <v>2672.0698905959998</v>
      </c>
      <c r="Q25" s="210">
        <v>2672.0698905959998</v>
      </c>
      <c r="R25" s="210">
        <v>2672.0698905959998</v>
      </c>
      <c r="S25" s="210"/>
      <c r="T25" s="210"/>
      <c r="U25" s="210"/>
      <c r="V25" s="209"/>
      <c r="W25" s="209"/>
      <c r="X25" s="209"/>
      <c r="Y25" s="209"/>
    </row>
    <row r="26" spans="1:25" x14ac:dyDescent="0.2">
      <c r="A26" s="198">
        <v>79</v>
      </c>
      <c r="B26" s="199" t="s">
        <v>162</v>
      </c>
      <c r="C26" s="197">
        <v>4</v>
      </c>
      <c r="D26" s="210">
        <v>24136.233479999999</v>
      </c>
      <c r="E26" s="210">
        <v>24360.389552462999</v>
      </c>
      <c r="F26" s="210">
        <v>25300.66486570728</v>
      </c>
      <c r="G26" s="210">
        <v>12846.326249669934</v>
      </c>
      <c r="H26" s="210">
        <v>12584.964392617989</v>
      </c>
      <c r="I26" s="210">
        <v>8739.7264099999993</v>
      </c>
      <c r="J26" s="210">
        <v>7240.2527740000005</v>
      </c>
      <c r="K26" s="210">
        <v>7870.1735559999997</v>
      </c>
      <c r="L26" s="210">
        <v>6074.5514339999991</v>
      </c>
      <c r="M26" s="210">
        <v>6150.9608860000008</v>
      </c>
      <c r="N26" s="210">
        <v>1870.6480300000001</v>
      </c>
      <c r="O26" s="210">
        <v>1907.6280704903998</v>
      </c>
      <c r="P26" s="210">
        <v>1907.6280704903998</v>
      </c>
      <c r="Q26" s="210">
        <v>1907.6280704903998</v>
      </c>
      <c r="R26" s="210">
        <v>1907.6280704903998</v>
      </c>
      <c r="S26" s="210"/>
      <c r="T26" s="210"/>
      <c r="U26" s="210"/>
      <c r="V26" s="209"/>
      <c r="W26" s="209"/>
      <c r="X26" s="209"/>
      <c r="Y26" s="209"/>
    </row>
    <row r="27" spans="1:25" x14ac:dyDescent="0.2">
      <c r="A27" s="198">
        <v>81</v>
      </c>
      <c r="B27" s="199" t="s">
        <v>163</v>
      </c>
      <c r="C27" s="197">
        <v>7</v>
      </c>
      <c r="D27" s="210">
        <v>7275.1330399999997</v>
      </c>
      <c r="E27" s="210">
        <v>7354.6595698659203</v>
      </c>
      <c r="F27" s="210">
        <v>7555.6117817494342</v>
      </c>
      <c r="G27" s="210">
        <v>4136.5258971177964</v>
      </c>
      <c r="H27" s="210">
        <v>4068.436994516539</v>
      </c>
      <c r="I27" s="210">
        <v>1390.8181100000002</v>
      </c>
      <c r="J27" s="210">
        <v>1277.9328830000002</v>
      </c>
      <c r="K27" s="210">
        <v>1385.4247780000001</v>
      </c>
      <c r="L27" s="210">
        <v>1069.3327170000002</v>
      </c>
      <c r="M27" s="210">
        <v>1082.783443</v>
      </c>
      <c r="N27" s="210">
        <v>1322.1095</v>
      </c>
      <c r="O27" s="210">
        <v>1302.9018480960003</v>
      </c>
      <c r="P27" s="210">
        <v>1302.9018480960003</v>
      </c>
      <c r="Q27" s="210">
        <v>1302.9018480960003</v>
      </c>
      <c r="R27" s="210">
        <v>1302.9018480960003</v>
      </c>
      <c r="S27" s="210"/>
      <c r="T27" s="210"/>
      <c r="U27" s="210"/>
      <c r="V27" s="209"/>
      <c r="W27" s="209"/>
      <c r="X27" s="209"/>
      <c r="Y27" s="209"/>
    </row>
    <row r="28" spans="1:25" x14ac:dyDescent="0.2">
      <c r="A28" s="198">
        <v>82</v>
      </c>
      <c r="B28" s="199" t="s">
        <v>164</v>
      </c>
      <c r="C28" s="197">
        <v>5</v>
      </c>
      <c r="D28" s="210">
        <v>34091.179490000002</v>
      </c>
      <c r="E28" s="210">
        <v>34664.245970488359</v>
      </c>
      <c r="F28" s="210">
        <v>36111.616318833934</v>
      </c>
      <c r="G28" s="210">
        <v>18454.976001198913</v>
      </c>
      <c r="H28" s="210">
        <v>17860.587275765618</v>
      </c>
      <c r="I28" s="210">
        <v>1330.30522</v>
      </c>
      <c r="J28" s="210">
        <v>1358.226422</v>
      </c>
      <c r="K28" s="210">
        <v>1471.663382</v>
      </c>
      <c r="L28" s="210">
        <v>1135.8955229999999</v>
      </c>
      <c r="M28" s="210">
        <v>1150.1835170000002</v>
      </c>
      <c r="N28" s="210">
        <v>2122.9807500000002</v>
      </c>
      <c r="O28" s="210">
        <v>2205.1932324720001</v>
      </c>
      <c r="P28" s="210">
        <v>2205.1932324720001</v>
      </c>
      <c r="Q28" s="210">
        <v>2205.1932324720001</v>
      </c>
      <c r="R28" s="210">
        <v>2205.1932324720001</v>
      </c>
      <c r="S28" s="210"/>
      <c r="T28" s="210"/>
      <c r="U28" s="210"/>
      <c r="V28" s="209"/>
      <c r="W28" s="209"/>
      <c r="X28" s="209"/>
      <c r="Y28" s="209"/>
    </row>
    <row r="29" spans="1:25" x14ac:dyDescent="0.2">
      <c r="A29" s="198">
        <v>86</v>
      </c>
      <c r="B29" s="199" t="s">
        <v>165</v>
      </c>
      <c r="C29" s="197">
        <v>5</v>
      </c>
      <c r="D29" s="210">
        <v>29361.933420000001</v>
      </c>
      <c r="E29" s="210">
        <v>29047.911977635449</v>
      </c>
      <c r="F29" s="210">
        <v>30856.716444033038</v>
      </c>
      <c r="G29" s="210">
        <v>16488.274741587345</v>
      </c>
      <c r="H29" s="210">
        <v>16103.748334973279</v>
      </c>
      <c r="I29" s="210">
        <v>1179.59121</v>
      </c>
      <c r="J29" s="210">
        <v>1097.599888</v>
      </c>
      <c r="K29" s="210">
        <v>1187.2667860000001</v>
      </c>
      <c r="L29" s="210">
        <v>916.38552900000002</v>
      </c>
      <c r="M29" s="210">
        <v>927.91239100000007</v>
      </c>
      <c r="N29" s="210">
        <v>1690.39851</v>
      </c>
      <c r="O29" s="210">
        <v>1661.1936806400001</v>
      </c>
      <c r="P29" s="210">
        <v>1661.1936806400001</v>
      </c>
      <c r="Q29" s="210">
        <v>1661.1936806400001</v>
      </c>
      <c r="R29" s="210">
        <v>1661.1936806400001</v>
      </c>
      <c r="S29" s="210"/>
      <c r="T29" s="210"/>
      <c r="U29" s="210"/>
      <c r="V29" s="209"/>
      <c r="W29" s="209"/>
      <c r="X29" s="209"/>
      <c r="Y29" s="209"/>
    </row>
    <row r="30" spans="1:25" x14ac:dyDescent="0.2">
      <c r="A30" s="198">
        <v>111</v>
      </c>
      <c r="B30" s="199" t="s">
        <v>166</v>
      </c>
      <c r="C30" s="197">
        <v>7</v>
      </c>
      <c r="D30" s="210">
        <v>60315.107859999996</v>
      </c>
      <c r="E30" s="210">
        <v>60906.5834694027</v>
      </c>
      <c r="F30" s="210">
        <v>63056.653161745911</v>
      </c>
      <c r="G30" s="210">
        <v>32062.985770439489</v>
      </c>
      <c r="H30" s="210">
        <v>31266.752666040185</v>
      </c>
      <c r="I30" s="210">
        <v>3231.7022400000001</v>
      </c>
      <c r="J30" s="210">
        <v>3095.9085230000005</v>
      </c>
      <c r="K30" s="210">
        <v>3350.0842700000003</v>
      </c>
      <c r="L30" s="210">
        <v>2585.744655</v>
      </c>
      <c r="M30" s="210">
        <v>2618.2697450000001</v>
      </c>
      <c r="N30" s="210">
        <v>6264.0091400000001</v>
      </c>
      <c r="O30" s="210">
        <v>6233.0751495599989</v>
      </c>
      <c r="P30" s="210">
        <v>6233.0751495599989</v>
      </c>
      <c r="Q30" s="210">
        <v>6233.0751495599989</v>
      </c>
      <c r="R30" s="210">
        <v>6233.0751495599989</v>
      </c>
      <c r="S30" s="210"/>
      <c r="T30" s="210"/>
      <c r="U30" s="210"/>
      <c r="V30" s="209"/>
      <c r="W30" s="209"/>
      <c r="X30" s="209"/>
      <c r="Y30" s="209"/>
    </row>
    <row r="31" spans="1:25" x14ac:dyDescent="0.2">
      <c r="A31" s="198">
        <v>90</v>
      </c>
      <c r="B31" s="199" t="s">
        <v>167</v>
      </c>
      <c r="C31" s="197">
        <v>10</v>
      </c>
      <c r="D31" s="210">
        <v>8593.9407599999995</v>
      </c>
      <c r="E31" s="210">
        <v>8500.4270340553157</v>
      </c>
      <c r="F31" s="210">
        <v>8819.8062275305892</v>
      </c>
      <c r="G31" s="210">
        <v>4594.0873670749788</v>
      </c>
      <c r="H31" s="210">
        <v>4532.7512242118664</v>
      </c>
      <c r="I31" s="210">
        <v>2236.4447300000002</v>
      </c>
      <c r="J31" s="210">
        <v>2084.5127739999998</v>
      </c>
      <c r="K31" s="210">
        <v>2258.7084239999999</v>
      </c>
      <c r="L31" s="210">
        <v>1743.3720360000002</v>
      </c>
      <c r="M31" s="210">
        <v>1765.301244</v>
      </c>
      <c r="N31" s="210">
        <v>1225.1004499999999</v>
      </c>
      <c r="O31" s="210">
        <v>1347.8500023000001</v>
      </c>
      <c r="P31" s="210">
        <v>1347.8500023000001</v>
      </c>
      <c r="Q31" s="210">
        <v>1347.8500023000001</v>
      </c>
      <c r="R31" s="210">
        <v>1347.8500023000001</v>
      </c>
      <c r="S31" s="210"/>
      <c r="T31" s="210"/>
      <c r="U31" s="210"/>
      <c r="V31" s="209"/>
      <c r="W31" s="209"/>
      <c r="X31" s="209"/>
      <c r="Y31" s="209"/>
    </row>
    <row r="32" spans="1:25" x14ac:dyDescent="0.2">
      <c r="A32" s="198">
        <v>91</v>
      </c>
      <c r="B32" s="199" t="s">
        <v>168</v>
      </c>
      <c r="C32" s="197">
        <v>1</v>
      </c>
      <c r="D32" s="210">
        <v>2595072.8240399999</v>
      </c>
      <c r="E32" s="210">
        <v>2619400.9115929408</v>
      </c>
      <c r="F32" s="210">
        <v>2721936.0866296333</v>
      </c>
      <c r="G32" s="210">
        <v>1179634.2171927267</v>
      </c>
      <c r="H32" s="210">
        <v>1113261.2272953477</v>
      </c>
      <c r="I32" s="210">
        <v>528591.45727999997</v>
      </c>
      <c r="J32" s="210">
        <v>598972.3425860001</v>
      </c>
      <c r="K32" s="210">
        <v>650591.09417000005</v>
      </c>
      <c r="L32" s="210">
        <v>502155.26200500003</v>
      </c>
      <c r="M32" s="210">
        <v>508471.68039500009</v>
      </c>
      <c r="N32" s="210">
        <v>256715.68355000002</v>
      </c>
      <c r="O32" s="210">
        <v>263958.22184535838</v>
      </c>
      <c r="P32" s="210">
        <v>263958.22184535838</v>
      </c>
      <c r="Q32" s="210">
        <v>263958.22184535838</v>
      </c>
      <c r="R32" s="210">
        <v>263958.22184535838</v>
      </c>
      <c r="S32" s="210"/>
      <c r="T32" s="210"/>
      <c r="U32" s="210"/>
      <c r="V32" s="209"/>
      <c r="W32" s="209"/>
      <c r="X32" s="209"/>
      <c r="Y32" s="209"/>
    </row>
    <row r="33" spans="1:25" x14ac:dyDescent="0.2">
      <c r="A33" s="198">
        <v>97</v>
      </c>
      <c r="B33" s="233" t="s">
        <v>169</v>
      </c>
      <c r="C33" s="197">
        <v>10</v>
      </c>
      <c r="D33" s="210">
        <v>5879.09933</v>
      </c>
      <c r="E33" s="210">
        <v>5532.399672709098</v>
      </c>
      <c r="F33" s="210">
        <v>5848.1913327719603</v>
      </c>
      <c r="G33" s="210">
        <v>2946.9127219938418</v>
      </c>
      <c r="H33" s="210">
        <v>2852.2170558300409</v>
      </c>
      <c r="I33" s="210">
        <v>936.67090000000007</v>
      </c>
      <c r="J33" s="210">
        <v>900.34986399999991</v>
      </c>
      <c r="K33" s="210">
        <v>976.52528400000006</v>
      </c>
      <c r="L33" s="210">
        <v>753.7258260000001</v>
      </c>
      <c r="M33" s="210">
        <v>763.20665400000007</v>
      </c>
      <c r="N33" s="210">
        <v>1298.7503000000002</v>
      </c>
      <c r="O33" s="210">
        <v>1280.1354070296002</v>
      </c>
      <c r="P33" s="210">
        <v>1280.1354070296002</v>
      </c>
      <c r="Q33" s="210">
        <v>1280.1354070296002</v>
      </c>
      <c r="R33" s="210">
        <v>1280.1354070296002</v>
      </c>
      <c r="S33" s="210"/>
      <c r="T33" s="210"/>
      <c r="U33" s="210"/>
      <c r="V33" s="209"/>
      <c r="W33" s="209"/>
      <c r="X33" s="209"/>
      <c r="Y33" s="209"/>
    </row>
    <row r="34" spans="1:25" x14ac:dyDescent="0.2">
      <c r="A34" s="198">
        <v>98</v>
      </c>
      <c r="B34" s="199" t="s">
        <v>170</v>
      </c>
      <c r="C34" s="197">
        <v>7</v>
      </c>
      <c r="D34" s="210">
        <v>83598.011230000004</v>
      </c>
      <c r="E34" s="210">
        <v>84038.987752573667</v>
      </c>
      <c r="F34" s="210">
        <v>87089.535425594688</v>
      </c>
      <c r="G34" s="210">
        <v>45497.445549166288</v>
      </c>
      <c r="H34" s="210">
        <v>44313.909308386617</v>
      </c>
      <c r="I34" s="210">
        <v>3007.41336</v>
      </c>
      <c r="J34" s="210">
        <v>2908.4797329999997</v>
      </c>
      <c r="K34" s="210">
        <v>3144.9610059999995</v>
      </c>
      <c r="L34" s="210">
        <v>2427.4213589999999</v>
      </c>
      <c r="M34" s="210">
        <v>2457.9549609999999</v>
      </c>
      <c r="N34" s="210">
        <v>5377.1670800000002</v>
      </c>
      <c r="O34" s="210">
        <v>5410.3160006039998</v>
      </c>
      <c r="P34" s="210">
        <v>5410.3160006039998</v>
      </c>
      <c r="Q34" s="210">
        <v>5410.3160006039998</v>
      </c>
      <c r="R34" s="210">
        <v>5410.3160006039998</v>
      </c>
      <c r="S34" s="210"/>
      <c r="T34" s="210"/>
      <c r="U34" s="210"/>
      <c r="V34" s="209"/>
      <c r="W34" s="209"/>
      <c r="X34" s="209"/>
      <c r="Y34" s="209"/>
    </row>
    <row r="35" spans="1:25" x14ac:dyDescent="0.2">
      <c r="A35" s="198">
        <v>99</v>
      </c>
      <c r="B35" s="199" t="s">
        <v>171</v>
      </c>
      <c r="C35" s="197">
        <v>4</v>
      </c>
      <c r="D35" s="210">
        <v>4595.4900099999995</v>
      </c>
      <c r="E35" s="210">
        <v>4462.6279383903493</v>
      </c>
      <c r="F35" s="210">
        <v>4821.659269336702</v>
      </c>
      <c r="G35" s="210">
        <v>2656.1731459539396</v>
      </c>
      <c r="H35" s="210">
        <v>2625.411078206982</v>
      </c>
      <c r="I35" s="210">
        <v>893.55493000000001</v>
      </c>
      <c r="J35" s="210">
        <v>708.31046200000014</v>
      </c>
      <c r="K35" s="210">
        <v>767.90352200000007</v>
      </c>
      <c r="L35" s="210">
        <v>592.70223299999998</v>
      </c>
      <c r="M35" s="210">
        <v>600.1576070000001</v>
      </c>
      <c r="N35" s="210">
        <v>488.63815999999997</v>
      </c>
      <c r="O35" s="210">
        <v>631.33220902559992</v>
      </c>
      <c r="P35" s="210">
        <v>631.33220902559992</v>
      </c>
      <c r="Q35" s="210">
        <v>631.33220902559992</v>
      </c>
      <c r="R35" s="210">
        <v>631.33220902559992</v>
      </c>
      <c r="S35" s="210"/>
      <c r="T35" s="210"/>
      <c r="U35" s="210"/>
      <c r="V35" s="209"/>
      <c r="W35" s="209"/>
      <c r="X35" s="209"/>
      <c r="Y35" s="209"/>
    </row>
    <row r="36" spans="1:25" x14ac:dyDescent="0.2">
      <c r="A36" s="198">
        <v>102</v>
      </c>
      <c r="B36" s="199" t="s">
        <v>172</v>
      </c>
      <c r="C36" s="197">
        <v>4</v>
      </c>
      <c r="D36" s="210">
        <v>29763.138159999999</v>
      </c>
      <c r="E36" s="210">
        <v>29336.276283330215</v>
      </c>
      <c r="F36" s="210">
        <v>30755.473908650558</v>
      </c>
      <c r="G36" s="210">
        <v>16073.393291450078</v>
      </c>
      <c r="H36" s="210">
        <v>15666.508870832004</v>
      </c>
      <c r="I36" s="210">
        <v>1974.8603000000001</v>
      </c>
      <c r="J36" s="210">
        <v>1957.0588450000002</v>
      </c>
      <c r="K36" s="210">
        <v>2118.7763319999999</v>
      </c>
      <c r="L36" s="210">
        <v>1635.3661980000002</v>
      </c>
      <c r="M36" s="210">
        <v>1655.9368420000001</v>
      </c>
      <c r="N36" s="210">
        <v>2242.3585200000002</v>
      </c>
      <c r="O36" s="210">
        <v>2205.100505724</v>
      </c>
      <c r="P36" s="210">
        <v>2205.100505724</v>
      </c>
      <c r="Q36" s="210">
        <v>2205.100505724</v>
      </c>
      <c r="R36" s="210">
        <v>2205.100505724</v>
      </c>
      <c r="S36" s="210"/>
      <c r="T36" s="210"/>
      <c r="U36" s="210"/>
      <c r="V36" s="209"/>
      <c r="W36" s="209"/>
      <c r="X36" s="209"/>
      <c r="Y36" s="209"/>
    </row>
    <row r="37" spans="1:25" x14ac:dyDescent="0.2">
      <c r="A37" s="198">
        <v>103</v>
      </c>
      <c r="B37" s="199" t="s">
        <v>173</v>
      </c>
      <c r="C37" s="197">
        <v>5</v>
      </c>
      <c r="D37" s="210">
        <v>6683.9378399999996</v>
      </c>
      <c r="E37" s="210">
        <v>6704.2629185533378</v>
      </c>
      <c r="F37" s="210">
        <v>6921.2570729953923</v>
      </c>
      <c r="G37" s="210">
        <v>3830.6202575365287</v>
      </c>
      <c r="H37" s="210">
        <v>3772.8612458048142</v>
      </c>
      <c r="I37" s="210">
        <v>467.78868</v>
      </c>
      <c r="J37" s="210">
        <v>399.138374</v>
      </c>
      <c r="K37" s="210">
        <v>432.07696599999997</v>
      </c>
      <c r="L37" s="210">
        <v>333.49629900000002</v>
      </c>
      <c r="M37" s="210">
        <v>337.69122100000004</v>
      </c>
      <c r="N37" s="210">
        <v>501.08073999999999</v>
      </c>
      <c r="O37" s="210">
        <v>537.43710134399998</v>
      </c>
      <c r="P37" s="210">
        <v>537.43710134399998</v>
      </c>
      <c r="Q37" s="210">
        <v>537.43710134399998</v>
      </c>
      <c r="R37" s="210">
        <v>537.43710134399998</v>
      </c>
      <c r="S37" s="210"/>
      <c r="T37" s="210"/>
      <c r="U37" s="210"/>
      <c r="V37" s="209"/>
      <c r="W37" s="209"/>
      <c r="X37" s="209"/>
      <c r="Y37" s="209"/>
    </row>
    <row r="38" spans="1:25" x14ac:dyDescent="0.2">
      <c r="A38" s="198">
        <v>105</v>
      </c>
      <c r="B38" s="199" t="s">
        <v>174</v>
      </c>
      <c r="C38" s="197">
        <v>18</v>
      </c>
      <c r="D38" s="210">
        <v>6248.3405999999995</v>
      </c>
      <c r="E38" s="210">
        <v>6133.806053078386</v>
      </c>
      <c r="F38" s="210">
        <v>6341.3165375729423</v>
      </c>
      <c r="G38" s="210">
        <v>3406.1884584615968</v>
      </c>
      <c r="H38" s="210">
        <v>3374.8241557760384</v>
      </c>
      <c r="I38" s="210">
        <v>801.14182999999991</v>
      </c>
      <c r="J38" s="210">
        <v>764.83751800000016</v>
      </c>
      <c r="K38" s="210">
        <v>828.2304160000001</v>
      </c>
      <c r="L38" s="210">
        <v>639.26522399999999</v>
      </c>
      <c r="M38" s="210">
        <v>647.30629599999997</v>
      </c>
      <c r="N38" s="210">
        <v>850.67688999999996</v>
      </c>
      <c r="O38" s="210">
        <v>1159.8301391472</v>
      </c>
      <c r="P38" s="210">
        <v>1159.8301391472</v>
      </c>
      <c r="Q38" s="210">
        <v>1159.8301391472</v>
      </c>
      <c r="R38" s="210">
        <v>1159.8301391472</v>
      </c>
      <c r="S38" s="210"/>
      <c r="T38" s="210"/>
      <c r="U38" s="210"/>
      <c r="V38" s="209"/>
      <c r="W38" s="209"/>
      <c r="X38" s="209"/>
      <c r="Y38" s="209"/>
    </row>
    <row r="39" spans="1:25" x14ac:dyDescent="0.2">
      <c r="A39" s="198">
        <v>106</v>
      </c>
      <c r="B39" s="199" t="s">
        <v>175</v>
      </c>
      <c r="C39" s="197">
        <v>1</v>
      </c>
      <c r="D39" s="210">
        <v>173505.62091999999</v>
      </c>
      <c r="E39" s="210">
        <v>177672.2588937188</v>
      </c>
      <c r="F39" s="210">
        <v>185378.07199162143</v>
      </c>
      <c r="G39" s="210">
        <v>90501.397044564437</v>
      </c>
      <c r="H39" s="210">
        <v>87090.824535653941</v>
      </c>
      <c r="I39" s="210">
        <v>11470.926449999999</v>
      </c>
      <c r="J39" s="210">
        <v>12283.946533</v>
      </c>
      <c r="K39" s="210">
        <v>13296.709192</v>
      </c>
      <c r="L39" s="210">
        <v>10262.993988</v>
      </c>
      <c r="M39" s="210">
        <v>10392.088252</v>
      </c>
      <c r="N39" s="210">
        <v>13356.17468</v>
      </c>
      <c r="O39" s="210">
        <v>13460.652819432002</v>
      </c>
      <c r="P39" s="210">
        <v>13460.652819432002</v>
      </c>
      <c r="Q39" s="210">
        <v>13460.652819432002</v>
      </c>
      <c r="R39" s="210">
        <v>13460.652819432002</v>
      </c>
      <c r="S39" s="210"/>
      <c r="T39" s="210"/>
      <c r="U39" s="210"/>
      <c r="V39" s="209"/>
      <c r="W39" s="209"/>
      <c r="X39" s="209"/>
      <c r="Y39" s="209"/>
    </row>
    <row r="40" spans="1:25" x14ac:dyDescent="0.2">
      <c r="A40" s="198">
        <v>108</v>
      </c>
      <c r="B40" s="199" t="s">
        <v>176</v>
      </c>
      <c r="C40" s="197">
        <v>6</v>
      </c>
      <c r="D40" s="210">
        <v>34469.532590000003</v>
      </c>
      <c r="E40" s="210">
        <v>34885.474583329778</v>
      </c>
      <c r="F40" s="210">
        <v>36273.870976003331</v>
      </c>
      <c r="G40" s="210">
        <v>20140.618199406446</v>
      </c>
      <c r="H40" s="210">
        <v>19747.030565036846</v>
      </c>
      <c r="I40" s="210">
        <v>1636.37447</v>
      </c>
      <c r="J40" s="210">
        <v>1701.6648880000002</v>
      </c>
      <c r="K40" s="210">
        <v>1846.5207580000001</v>
      </c>
      <c r="L40" s="210">
        <v>1425.227187</v>
      </c>
      <c r="M40" s="210">
        <v>1443.154573</v>
      </c>
      <c r="N40" s="210">
        <v>2130.66372</v>
      </c>
      <c r="O40" s="210">
        <v>2088.2965021151999</v>
      </c>
      <c r="P40" s="210">
        <v>2088.2965021151999</v>
      </c>
      <c r="Q40" s="210">
        <v>2088.2965021151999</v>
      </c>
      <c r="R40" s="210">
        <v>2088.2965021151999</v>
      </c>
      <c r="S40" s="210"/>
      <c r="T40" s="210"/>
      <c r="U40" s="210"/>
      <c r="V40" s="209"/>
      <c r="W40" s="209"/>
      <c r="X40" s="209"/>
      <c r="Y40" s="209"/>
    </row>
    <row r="41" spans="1:25" x14ac:dyDescent="0.2">
      <c r="A41" s="198">
        <v>109</v>
      </c>
      <c r="B41" s="199" t="s">
        <v>177</v>
      </c>
      <c r="C41" s="197">
        <v>5</v>
      </c>
      <c r="D41" s="210">
        <v>238146.01615000001</v>
      </c>
      <c r="E41" s="210">
        <v>243650.49629758202</v>
      </c>
      <c r="F41" s="210">
        <v>253809.57758261738</v>
      </c>
      <c r="G41" s="210">
        <v>131161.50332670414</v>
      </c>
      <c r="H41" s="210">
        <v>127654.37411871062</v>
      </c>
      <c r="I41" s="210">
        <v>16011.405470000002</v>
      </c>
      <c r="J41" s="210">
        <v>16102.585889999998</v>
      </c>
      <c r="K41" s="210">
        <v>17438.043375999998</v>
      </c>
      <c r="L41" s="210">
        <v>13459.460664</v>
      </c>
      <c r="M41" s="210">
        <v>13628.762056</v>
      </c>
      <c r="N41" s="210">
        <v>26918.510300000002</v>
      </c>
      <c r="O41" s="210">
        <v>27400.074011772002</v>
      </c>
      <c r="P41" s="210">
        <v>27400.074011772002</v>
      </c>
      <c r="Q41" s="210">
        <v>27400.074011772002</v>
      </c>
      <c r="R41" s="210">
        <v>27400.074011772002</v>
      </c>
      <c r="S41" s="210"/>
      <c r="T41" s="210"/>
      <c r="U41" s="210"/>
      <c r="V41" s="209"/>
      <c r="W41" s="209"/>
      <c r="X41" s="209"/>
      <c r="Y41" s="209"/>
    </row>
    <row r="42" spans="1:25" x14ac:dyDescent="0.2">
      <c r="A42" s="198">
        <v>139</v>
      </c>
      <c r="B42" s="199" t="s">
        <v>178</v>
      </c>
      <c r="C42" s="197">
        <v>17</v>
      </c>
      <c r="D42" s="210">
        <v>26594.667420000002</v>
      </c>
      <c r="E42" s="210">
        <v>28514.101807814772</v>
      </c>
      <c r="F42" s="210">
        <v>29001.155781991623</v>
      </c>
      <c r="G42" s="210">
        <v>15603.101775273151</v>
      </c>
      <c r="H42" s="210">
        <v>15333.352199715167</v>
      </c>
      <c r="I42" s="210">
        <v>1526.46696</v>
      </c>
      <c r="J42" s="210">
        <v>1411.444882</v>
      </c>
      <c r="K42" s="210">
        <v>1529.744876</v>
      </c>
      <c r="L42" s="210">
        <v>1180.7254139999998</v>
      </c>
      <c r="M42" s="210">
        <v>1195.5773059999999</v>
      </c>
      <c r="N42" s="210">
        <v>3519.9227400000004</v>
      </c>
      <c r="O42" s="210">
        <v>4221.5736416520003</v>
      </c>
      <c r="P42" s="210">
        <v>4221.5736416520003</v>
      </c>
      <c r="Q42" s="210">
        <v>4221.5736416520003</v>
      </c>
      <c r="R42" s="210">
        <v>4221.5736416520003</v>
      </c>
      <c r="S42" s="210"/>
      <c r="T42" s="210"/>
      <c r="U42" s="210"/>
      <c r="V42" s="209"/>
      <c r="W42" s="209"/>
      <c r="X42" s="209"/>
      <c r="Y42" s="209"/>
    </row>
    <row r="43" spans="1:25" x14ac:dyDescent="0.2">
      <c r="A43" s="198">
        <v>140</v>
      </c>
      <c r="B43" s="199" t="s">
        <v>179</v>
      </c>
      <c r="C43" s="197">
        <v>11</v>
      </c>
      <c r="D43" s="210">
        <v>64543.431840000005</v>
      </c>
      <c r="E43" s="210">
        <v>63219.053230899975</v>
      </c>
      <c r="F43" s="210">
        <v>66256.17426400182</v>
      </c>
      <c r="G43" s="210">
        <v>33765.673809774707</v>
      </c>
      <c r="H43" s="210">
        <v>33058.549021207487</v>
      </c>
      <c r="I43" s="210">
        <v>5255.2078099999999</v>
      </c>
      <c r="J43" s="210">
        <v>5996.3783500000009</v>
      </c>
      <c r="K43" s="210">
        <v>6498.8175480000009</v>
      </c>
      <c r="L43" s="210">
        <v>5016.0776220000007</v>
      </c>
      <c r="M43" s="210">
        <v>5079.1729379999997</v>
      </c>
      <c r="N43" s="210">
        <v>5774.5183799999995</v>
      </c>
      <c r="O43" s="210">
        <v>5710.4091076871991</v>
      </c>
      <c r="P43" s="210">
        <v>5710.4091076871991</v>
      </c>
      <c r="Q43" s="210">
        <v>5710.4091076871991</v>
      </c>
      <c r="R43" s="210">
        <v>5710.4091076871991</v>
      </c>
      <c r="S43" s="210"/>
      <c r="T43" s="210"/>
      <c r="U43" s="210"/>
      <c r="V43" s="209"/>
      <c r="W43" s="209"/>
      <c r="X43" s="209"/>
      <c r="Y43" s="209"/>
    </row>
    <row r="44" spans="1:25" x14ac:dyDescent="0.2">
      <c r="A44" s="198">
        <v>142</v>
      </c>
      <c r="B44" s="199" t="s">
        <v>180</v>
      </c>
      <c r="C44" s="197">
        <v>8</v>
      </c>
      <c r="D44" s="210">
        <v>20212.663339999999</v>
      </c>
      <c r="E44" s="210">
        <v>20244.367798789575</v>
      </c>
      <c r="F44" s="210">
        <v>21585.21689108375</v>
      </c>
      <c r="G44" s="210">
        <v>11036.152071205597</v>
      </c>
      <c r="H44" s="210">
        <v>10805.776260912062</v>
      </c>
      <c r="I44" s="210">
        <v>1491.7632599999999</v>
      </c>
      <c r="J44" s="210">
        <v>1439.7130330000002</v>
      </c>
      <c r="K44" s="210">
        <v>1558.804678</v>
      </c>
      <c r="L44" s="210">
        <v>1203.1550669999999</v>
      </c>
      <c r="M44" s="210">
        <v>1218.2890930000001</v>
      </c>
      <c r="N44" s="210">
        <v>2462.8474100000003</v>
      </c>
      <c r="O44" s="210">
        <v>2444.9387857919996</v>
      </c>
      <c r="P44" s="210">
        <v>2444.9387857919996</v>
      </c>
      <c r="Q44" s="210">
        <v>2444.9387857919996</v>
      </c>
      <c r="R44" s="210">
        <v>2444.9387857919996</v>
      </c>
      <c r="S44" s="210"/>
      <c r="T44" s="210"/>
      <c r="U44" s="210"/>
      <c r="V44" s="209"/>
      <c r="W44" s="209"/>
      <c r="X44" s="209"/>
      <c r="Y44" s="209"/>
    </row>
    <row r="45" spans="1:25" x14ac:dyDescent="0.2">
      <c r="A45" s="198">
        <v>143</v>
      </c>
      <c r="B45" s="199" t="s">
        <v>181</v>
      </c>
      <c r="C45" s="197">
        <v>6</v>
      </c>
      <c r="D45" s="210">
        <v>20748.685989999998</v>
      </c>
      <c r="E45" s="210">
        <v>20882.858654552281</v>
      </c>
      <c r="F45" s="210">
        <v>21485.560332799338</v>
      </c>
      <c r="G45" s="210">
        <v>11458.688996716828</v>
      </c>
      <c r="H45" s="210">
        <v>11274.985041066417</v>
      </c>
      <c r="I45" s="210">
        <v>1732.3463000000002</v>
      </c>
      <c r="J45" s="210">
        <v>1707.942542</v>
      </c>
      <c r="K45" s="210">
        <v>1850.316102</v>
      </c>
      <c r="L45" s="210">
        <v>1428.1566030000001</v>
      </c>
      <c r="M45" s="210">
        <v>1446.1208369999997</v>
      </c>
      <c r="N45" s="210">
        <v>2895.3529700000004</v>
      </c>
      <c r="O45" s="210">
        <v>2888.2901786543998</v>
      </c>
      <c r="P45" s="210">
        <v>2888.2901786543998</v>
      </c>
      <c r="Q45" s="210">
        <v>2888.2901786543998</v>
      </c>
      <c r="R45" s="210">
        <v>2888.2901786543998</v>
      </c>
      <c r="S45" s="210"/>
      <c r="T45" s="210"/>
      <c r="U45" s="210"/>
      <c r="V45" s="209"/>
      <c r="W45" s="209"/>
      <c r="X45" s="209"/>
      <c r="Y45" s="209"/>
    </row>
    <row r="46" spans="1:25" x14ac:dyDescent="0.2">
      <c r="A46" s="198">
        <v>145</v>
      </c>
      <c r="B46" s="199" t="s">
        <v>182</v>
      </c>
      <c r="C46" s="197">
        <v>14</v>
      </c>
      <c r="D46" s="210">
        <v>35208.184150000001</v>
      </c>
      <c r="E46" s="210">
        <v>36490.06051183684</v>
      </c>
      <c r="F46" s="210">
        <v>38343.369331957372</v>
      </c>
      <c r="G46" s="210">
        <v>20137.225284893928</v>
      </c>
      <c r="H46" s="210">
        <v>19597.703240255989</v>
      </c>
      <c r="I46" s="210">
        <v>1430.4422099999999</v>
      </c>
      <c r="J46" s="210">
        <v>1495.180165</v>
      </c>
      <c r="K46" s="210">
        <v>1619.5901279999998</v>
      </c>
      <c r="L46" s="210">
        <v>1250.0719919999997</v>
      </c>
      <c r="M46" s="210">
        <v>1265.7961680000001</v>
      </c>
      <c r="N46" s="210">
        <v>2305.6363700000002</v>
      </c>
      <c r="O46" s="210">
        <v>2485.0738394927998</v>
      </c>
      <c r="P46" s="210">
        <v>2485.0738394927998</v>
      </c>
      <c r="Q46" s="210">
        <v>2485.0738394927998</v>
      </c>
      <c r="R46" s="210">
        <v>2485.0738394927998</v>
      </c>
      <c r="S46" s="210"/>
      <c r="T46" s="210"/>
      <c r="U46" s="210"/>
      <c r="V46" s="209"/>
      <c r="W46" s="209"/>
      <c r="X46" s="209"/>
      <c r="Y46" s="209"/>
    </row>
    <row r="47" spans="1:25" x14ac:dyDescent="0.2">
      <c r="A47" s="198">
        <v>146</v>
      </c>
      <c r="B47" s="199" t="s">
        <v>183</v>
      </c>
      <c r="C47" s="197">
        <v>12</v>
      </c>
      <c r="D47" s="210">
        <v>13573.086090000001</v>
      </c>
      <c r="E47" s="210">
        <v>13354.451953614287</v>
      </c>
      <c r="F47" s="210">
        <v>13741.285872564502</v>
      </c>
      <c r="G47" s="210">
        <v>7057.0503394000707</v>
      </c>
      <c r="H47" s="210">
        <v>6951.7744399123239</v>
      </c>
      <c r="I47" s="210">
        <v>3414.49001</v>
      </c>
      <c r="J47" s="210">
        <v>3161.4406110000004</v>
      </c>
      <c r="K47" s="210">
        <v>3427.8325840000002</v>
      </c>
      <c r="L47" s="210">
        <v>2645.7542760000001</v>
      </c>
      <c r="M47" s="210">
        <v>2679.034204</v>
      </c>
      <c r="N47" s="210">
        <v>1371.86445</v>
      </c>
      <c r="O47" s="210">
        <v>1357.4508636336</v>
      </c>
      <c r="P47" s="210">
        <v>1357.4508636336</v>
      </c>
      <c r="Q47" s="210">
        <v>1357.4508636336</v>
      </c>
      <c r="R47" s="210">
        <v>1357.4508636336</v>
      </c>
      <c r="S47" s="210"/>
      <c r="T47" s="210"/>
      <c r="U47" s="210"/>
      <c r="V47" s="209"/>
      <c r="W47" s="209"/>
      <c r="X47" s="209"/>
      <c r="Y47" s="209"/>
    </row>
    <row r="48" spans="1:25" x14ac:dyDescent="0.2">
      <c r="A48" s="198">
        <v>153</v>
      </c>
      <c r="B48" s="199" t="s">
        <v>184</v>
      </c>
      <c r="C48" s="197">
        <v>9</v>
      </c>
      <c r="D48" s="210">
        <v>91183.364749999993</v>
      </c>
      <c r="E48" s="210">
        <v>92781.821238058983</v>
      </c>
      <c r="F48" s="210">
        <v>95436.973726086799</v>
      </c>
      <c r="G48" s="210">
        <v>46584.977525956485</v>
      </c>
      <c r="H48" s="210">
        <v>45413.802116135703</v>
      </c>
      <c r="I48" s="210">
        <v>4486.9808600000006</v>
      </c>
      <c r="J48" s="210">
        <v>3861.1219469999996</v>
      </c>
      <c r="K48" s="210">
        <v>4163.0533820000001</v>
      </c>
      <c r="L48" s="210">
        <v>3213.2305229999997</v>
      </c>
      <c r="M48" s="210">
        <v>3253.6485170000001</v>
      </c>
      <c r="N48" s="210">
        <v>9919.6132500000003</v>
      </c>
      <c r="O48" s="210">
        <v>10217.95943562</v>
      </c>
      <c r="P48" s="210">
        <v>10217.95943562</v>
      </c>
      <c r="Q48" s="210">
        <v>10217.95943562</v>
      </c>
      <c r="R48" s="210">
        <v>10217.95943562</v>
      </c>
      <c r="S48" s="210"/>
      <c r="T48" s="210"/>
      <c r="U48" s="210"/>
      <c r="V48" s="209"/>
      <c r="W48" s="209"/>
      <c r="X48" s="209"/>
      <c r="Y48" s="209"/>
    </row>
    <row r="49" spans="1:25" x14ac:dyDescent="0.2">
      <c r="A49" s="198">
        <v>148</v>
      </c>
      <c r="B49" s="199" t="s">
        <v>185</v>
      </c>
      <c r="C49" s="197">
        <v>19</v>
      </c>
      <c r="D49" s="210">
        <v>19853.247319999999</v>
      </c>
      <c r="E49" s="210">
        <v>21193.472548407499</v>
      </c>
      <c r="F49" s="210">
        <v>21547.467285290357</v>
      </c>
      <c r="G49" s="210">
        <v>10241.987552561986</v>
      </c>
      <c r="H49" s="210">
        <v>9826.6292687023124</v>
      </c>
      <c r="I49" s="210">
        <v>2577.9975499999996</v>
      </c>
      <c r="J49" s="210">
        <v>2542.9962689999998</v>
      </c>
      <c r="K49" s="210">
        <v>2755.6799219999998</v>
      </c>
      <c r="L49" s="210">
        <v>2126.9568329999997</v>
      </c>
      <c r="M49" s="210">
        <v>2153.7110069999999</v>
      </c>
      <c r="N49" s="210">
        <v>4245.5051399999993</v>
      </c>
      <c r="O49" s="210">
        <v>4372.4534602680005</v>
      </c>
      <c r="P49" s="210">
        <v>4372.4534602680005</v>
      </c>
      <c r="Q49" s="210">
        <v>4372.4534602680005</v>
      </c>
      <c r="R49" s="210">
        <v>4372.4534602680005</v>
      </c>
      <c r="S49" s="210"/>
      <c r="T49" s="210"/>
      <c r="U49" s="210"/>
      <c r="V49" s="209"/>
      <c r="W49" s="209"/>
      <c r="X49" s="209"/>
      <c r="Y49" s="209"/>
    </row>
    <row r="50" spans="1:25" x14ac:dyDescent="0.2">
      <c r="A50" s="198">
        <v>149</v>
      </c>
      <c r="B50" s="199" t="s">
        <v>186</v>
      </c>
      <c r="C50" s="197">
        <v>1</v>
      </c>
      <c r="D50" s="210">
        <v>21433.028920000001</v>
      </c>
      <c r="E50" s="210">
        <v>21885.49574914213</v>
      </c>
      <c r="F50" s="210">
        <v>23070.482391512011</v>
      </c>
      <c r="G50" s="210">
        <v>11846.642852226021</v>
      </c>
      <c r="H50" s="210">
        <v>11461.613789878764</v>
      </c>
      <c r="I50" s="210">
        <v>1107.2393400000001</v>
      </c>
      <c r="J50" s="210">
        <v>1114.789974</v>
      </c>
      <c r="K50" s="210">
        <v>1197.96622</v>
      </c>
      <c r="L50" s="210">
        <v>924.64383000000009</v>
      </c>
      <c r="M50" s="210">
        <v>936.27457000000004</v>
      </c>
      <c r="N50" s="210">
        <v>3038.2486400000003</v>
      </c>
      <c r="O50" s="210">
        <v>3023.7000195239998</v>
      </c>
      <c r="P50" s="210">
        <v>3023.7000195239998</v>
      </c>
      <c r="Q50" s="210">
        <v>3023.7000195239998</v>
      </c>
      <c r="R50" s="210">
        <v>3023.7000195239998</v>
      </c>
      <c r="S50" s="210"/>
      <c r="T50" s="210"/>
      <c r="U50" s="210"/>
      <c r="V50" s="209"/>
      <c r="W50" s="209"/>
      <c r="X50" s="209"/>
      <c r="Y50" s="209"/>
    </row>
    <row r="51" spans="1:25" x14ac:dyDescent="0.2">
      <c r="A51" s="198">
        <v>151</v>
      </c>
      <c r="B51" s="199" t="s">
        <v>187</v>
      </c>
      <c r="C51" s="197">
        <v>14</v>
      </c>
      <c r="D51" s="210">
        <v>5409.0430199999992</v>
      </c>
      <c r="E51" s="210">
        <v>5351.0952097849504</v>
      </c>
      <c r="F51" s="210">
        <v>5565.5709905865224</v>
      </c>
      <c r="G51" s="210">
        <v>3101.9622447897764</v>
      </c>
      <c r="H51" s="210">
        <v>3052.5382410098332</v>
      </c>
      <c r="I51" s="210">
        <v>656.54043999999999</v>
      </c>
      <c r="J51" s="210">
        <v>631.99230499999999</v>
      </c>
      <c r="K51" s="210">
        <v>684.39194599999996</v>
      </c>
      <c r="L51" s="210">
        <v>528.24426900000003</v>
      </c>
      <c r="M51" s="210">
        <v>534.88885099999993</v>
      </c>
      <c r="N51" s="210">
        <v>446.73111</v>
      </c>
      <c r="O51" s="210">
        <v>443.86013394960003</v>
      </c>
      <c r="P51" s="210">
        <v>443.86013394960003</v>
      </c>
      <c r="Q51" s="210">
        <v>443.86013394960003</v>
      </c>
      <c r="R51" s="210">
        <v>443.86013394960003</v>
      </c>
      <c r="S51" s="210"/>
      <c r="T51" s="210"/>
      <c r="U51" s="210"/>
      <c r="V51" s="209"/>
      <c r="W51" s="209"/>
      <c r="X51" s="209"/>
      <c r="Y51" s="209"/>
    </row>
    <row r="52" spans="1:25" x14ac:dyDescent="0.2">
      <c r="A52" s="198">
        <v>152</v>
      </c>
      <c r="B52" s="234" t="s">
        <v>188</v>
      </c>
      <c r="C52" s="197">
        <v>15</v>
      </c>
      <c r="D52" s="210">
        <v>13541.88616</v>
      </c>
      <c r="E52" s="210">
        <v>13876.928948426308</v>
      </c>
      <c r="F52" s="210">
        <v>14329.740824935236</v>
      </c>
      <c r="G52" s="210">
        <v>7748.5391400035733</v>
      </c>
      <c r="H52" s="210">
        <v>7602.5540614753445</v>
      </c>
      <c r="I52" s="210">
        <v>636.25184000000002</v>
      </c>
      <c r="J52" s="210">
        <v>583.7255449999999</v>
      </c>
      <c r="K52" s="210">
        <v>631.94455199999993</v>
      </c>
      <c r="L52" s="210">
        <v>487.76302799999996</v>
      </c>
      <c r="M52" s="210">
        <v>493.89841200000001</v>
      </c>
      <c r="N52" s="210">
        <v>885.58244999999999</v>
      </c>
      <c r="O52" s="210">
        <v>883.84401529679997</v>
      </c>
      <c r="P52" s="210">
        <v>883.84401529679997</v>
      </c>
      <c r="Q52" s="210">
        <v>883.84401529679997</v>
      </c>
      <c r="R52" s="210">
        <v>883.84401529679997</v>
      </c>
      <c r="S52" s="210"/>
      <c r="T52" s="210"/>
      <c r="U52" s="210"/>
      <c r="V52" s="209"/>
      <c r="W52" s="209"/>
      <c r="X52" s="209"/>
      <c r="Y52" s="209"/>
    </row>
    <row r="53" spans="1:25" x14ac:dyDescent="0.2">
      <c r="A53" s="198">
        <v>165</v>
      </c>
      <c r="B53" s="199" t="s">
        <v>189</v>
      </c>
      <c r="C53" s="197">
        <v>5</v>
      </c>
      <c r="D53" s="210">
        <v>58494.963400000001</v>
      </c>
      <c r="E53" s="210">
        <v>59409.39084029544</v>
      </c>
      <c r="F53" s="210">
        <v>61748.594155323437</v>
      </c>
      <c r="G53" s="210">
        <v>32161.296995705274</v>
      </c>
      <c r="H53" s="210">
        <v>31358.741491256118</v>
      </c>
      <c r="I53" s="210">
        <v>2676.1019300000003</v>
      </c>
      <c r="J53" s="210">
        <v>2133.5397330000001</v>
      </c>
      <c r="K53" s="210">
        <v>2307.1433499999998</v>
      </c>
      <c r="L53" s="210">
        <v>1780.7562750000002</v>
      </c>
      <c r="M53" s="210">
        <v>1803.1557250000001</v>
      </c>
      <c r="N53" s="210">
        <v>3636.5233699999999</v>
      </c>
      <c r="O53" s="210">
        <v>3632.6336895360009</v>
      </c>
      <c r="P53" s="210">
        <v>3632.6336895360009</v>
      </c>
      <c r="Q53" s="210">
        <v>3632.6336895360009</v>
      </c>
      <c r="R53" s="210">
        <v>3632.6336895360009</v>
      </c>
      <c r="S53" s="210"/>
      <c r="T53" s="210"/>
      <c r="U53" s="210"/>
      <c r="V53" s="209"/>
      <c r="W53" s="209"/>
      <c r="X53" s="209"/>
      <c r="Y53" s="209"/>
    </row>
    <row r="54" spans="1:25" x14ac:dyDescent="0.2">
      <c r="A54" s="198">
        <v>167</v>
      </c>
      <c r="B54" s="199" t="s">
        <v>190</v>
      </c>
      <c r="C54" s="197">
        <v>12</v>
      </c>
      <c r="D54" s="210">
        <v>220260.92989</v>
      </c>
      <c r="E54" s="210">
        <v>225527.90641262691</v>
      </c>
      <c r="F54" s="210">
        <v>236158.65792914201</v>
      </c>
      <c r="G54" s="210">
        <v>122367.64996675836</v>
      </c>
      <c r="H54" s="210">
        <v>119095.67441713379</v>
      </c>
      <c r="I54" s="210">
        <v>21356.187389999999</v>
      </c>
      <c r="J54" s="210">
        <v>21858.509067999999</v>
      </c>
      <c r="K54" s="210">
        <v>23702.11692</v>
      </c>
      <c r="L54" s="210">
        <v>18294.35238</v>
      </c>
      <c r="M54" s="210">
        <v>18524.470020000004</v>
      </c>
      <c r="N54" s="210">
        <v>20776.212420000003</v>
      </c>
      <c r="O54" s="210">
        <v>21195.464413715996</v>
      </c>
      <c r="P54" s="210">
        <v>21195.464413715996</v>
      </c>
      <c r="Q54" s="210">
        <v>21195.464413715996</v>
      </c>
      <c r="R54" s="210">
        <v>21195.464413715996</v>
      </c>
      <c r="S54" s="210"/>
      <c r="T54" s="210"/>
      <c r="U54" s="210"/>
      <c r="V54" s="209"/>
      <c r="W54" s="209"/>
      <c r="X54" s="209"/>
      <c r="Y54" s="209"/>
    </row>
    <row r="55" spans="1:25" x14ac:dyDescent="0.2">
      <c r="A55" s="198">
        <v>169</v>
      </c>
      <c r="B55" s="199" t="s">
        <v>191</v>
      </c>
      <c r="C55" s="197">
        <v>5</v>
      </c>
      <c r="D55" s="210">
        <v>16673.767319999999</v>
      </c>
      <c r="E55" s="210">
        <v>17333.390377262964</v>
      </c>
      <c r="F55" s="210">
        <v>18275.106335375913</v>
      </c>
      <c r="G55" s="210">
        <v>9599.8515542392397</v>
      </c>
      <c r="H55" s="210">
        <v>9387.7282190342958</v>
      </c>
      <c r="I55" s="210">
        <v>1079.6005500000001</v>
      </c>
      <c r="J55" s="210">
        <v>1043.179116</v>
      </c>
      <c r="K55" s="210">
        <v>1128.5454560000001</v>
      </c>
      <c r="L55" s="210">
        <v>871.06178399999988</v>
      </c>
      <c r="M55" s="210">
        <v>882.01853599999993</v>
      </c>
      <c r="N55" s="210">
        <v>895.24756000000002</v>
      </c>
      <c r="O55" s="210">
        <v>974.18465982719988</v>
      </c>
      <c r="P55" s="210">
        <v>974.18465982719988</v>
      </c>
      <c r="Q55" s="210">
        <v>974.18465982719988</v>
      </c>
      <c r="R55" s="210">
        <v>974.18465982719988</v>
      </c>
      <c r="S55" s="210"/>
      <c r="T55" s="210"/>
      <c r="U55" s="210"/>
      <c r="V55" s="209"/>
      <c r="W55" s="209"/>
      <c r="X55" s="209"/>
      <c r="Y55" s="209"/>
    </row>
    <row r="56" spans="1:25" x14ac:dyDescent="0.2">
      <c r="A56" s="198">
        <v>171</v>
      </c>
      <c r="B56" s="199" t="s">
        <v>192</v>
      </c>
      <c r="C56" s="197">
        <v>10</v>
      </c>
      <c r="D56" s="210">
        <v>14749.620050000001</v>
      </c>
      <c r="E56" s="210">
        <v>14369.363372050138</v>
      </c>
      <c r="F56" s="210">
        <v>15090.983547051952</v>
      </c>
      <c r="G56" s="210">
        <v>7741.529710365041</v>
      </c>
      <c r="H56" s="210">
        <v>7587.2606684895391</v>
      </c>
      <c r="I56" s="210">
        <v>1488.6474800000001</v>
      </c>
      <c r="J56" s="210">
        <v>1378.3776000000003</v>
      </c>
      <c r="K56" s="210">
        <v>1494.8756679999997</v>
      </c>
      <c r="L56" s="210">
        <v>1153.8118019999999</v>
      </c>
      <c r="M56" s="210">
        <v>1168.3251579999999</v>
      </c>
      <c r="N56" s="210">
        <v>1183.1877099999999</v>
      </c>
      <c r="O56" s="210">
        <v>1185.9984365759999</v>
      </c>
      <c r="P56" s="210">
        <v>1185.9984365759999</v>
      </c>
      <c r="Q56" s="210">
        <v>1185.9984365759999</v>
      </c>
      <c r="R56" s="210">
        <v>1185.9984365759999</v>
      </c>
      <c r="S56" s="210"/>
      <c r="T56" s="210"/>
      <c r="U56" s="210"/>
      <c r="V56" s="209"/>
      <c r="W56" s="209"/>
      <c r="X56" s="209"/>
      <c r="Y56" s="209"/>
    </row>
    <row r="57" spans="1:25" x14ac:dyDescent="0.2">
      <c r="A57" s="198">
        <v>172</v>
      </c>
      <c r="B57" s="233" t="s">
        <v>193</v>
      </c>
      <c r="C57" s="197">
        <v>13</v>
      </c>
      <c r="D57" s="210">
        <v>12364.431789999999</v>
      </c>
      <c r="E57" s="210">
        <v>12199.493077064306</v>
      </c>
      <c r="F57" s="210">
        <v>12679.314258683973</v>
      </c>
      <c r="G57" s="210">
        <v>6581.2648014066963</v>
      </c>
      <c r="H57" s="210">
        <v>6484.3336246099589</v>
      </c>
      <c r="I57" s="210">
        <v>1491.7655</v>
      </c>
      <c r="J57" s="210">
        <v>1518.6717110000002</v>
      </c>
      <c r="K57" s="210">
        <v>1646.6815999999999</v>
      </c>
      <c r="L57" s="210">
        <v>1270.9824000000001</v>
      </c>
      <c r="M57" s="210">
        <v>1286.9695999999999</v>
      </c>
      <c r="N57" s="210">
        <v>1685.8250500000001</v>
      </c>
      <c r="O57" s="210">
        <v>1722.4379173919999</v>
      </c>
      <c r="P57" s="210">
        <v>1722.4379173919999</v>
      </c>
      <c r="Q57" s="210">
        <v>1722.4379173919999</v>
      </c>
      <c r="R57" s="210">
        <v>1722.4379173919999</v>
      </c>
      <c r="S57" s="210"/>
      <c r="T57" s="210"/>
      <c r="U57" s="210"/>
      <c r="V57" s="209"/>
      <c r="W57" s="209"/>
      <c r="X57" s="209"/>
      <c r="Y57" s="209"/>
    </row>
    <row r="58" spans="1:25" x14ac:dyDescent="0.2">
      <c r="A58" s="198">
        <v>176</v>
      </c>
      <c r="B58" s="199" t="s">
        <v>195</v>
      </c>
      <c r="C58" s="197">
        <v>12</v>
      </c>
      <c r="D58" s="210">
        <v>11710.34209</v>
      </c>
      <c r="E58" s="210">
        <v>11327.309421422249</v>
      </c>
      <c r="F58" s="210">
        <v>11801.747561511394</v>
      </c>
      <c r="G58" s="210">
        <v>6078.3191034719885</v>
      </c>
      <c r="H58" s="210">
        <v>6000.4140608470543</v>
      </c>
      <c r="I58" s="210">
        <v>1860.33384</v>
      </c>
      <c r="J58" s="210">
        <v>1666.3442639999998</v>
      </c>
      <c r="K58" s="210">
        <v>1804.6335419999998</v>
      </c>
      <c r="L58" s="210">
        <v>1392.8967630000002</v>
      </c>
      <c r="M58" s="210">
        <v>1410.417477</v>
      </c>
      <c r="N58" s="210">
        <v>1212.57293</v>
      </c>
      <c r="O58" s="210">
        <v>1195.7923491648</v>
      </c>
      <c r="P58" s="210">
        <v>1195.7923491648</v>
      </c>
      <c r="Q58" s="210">
        <v>1195.7923491648</v>
      </c>
      <c r="R58" s="210">
        <v>1195.7923491648</v>
      </c>
      <c r="S58" s="210"/>
      <c r="T58" s="210"/>
      <c r="U58" s="210"/>
      <c r="V58" s="209"/>
      <c r="W58" s="209"/>
      <c r="X58" s="209"/>
      <c r="Y58" s="209"/>
    </row>
    <row r="59" spans="1:25" x14ac:dyDescent="0.2">
      <c r="A59" s="198">
        <v>177</v>
      </c>
      <c r="B59" s="199" t="s">
        <v>196</v>
      </c>
      <c r="C59" s="197">
        <v>6</v>
      </c>
      <c r="D59" s="210">
        <v>5707.2977300000002</v>
      </c>
      <c r="E59" s="210">
        <v>5722.1951066880838</v>
      </c>
      <c r="F59" s="210">
        <v>5988.1364111341454</v>
      </c>
      <c r="G59" s="210">
        <v>3101.7207717353922</v>
      </c>
      <c r="H59" s="210">
        <v>3037.7395371662669</v>
      </c>
      <c r="I59" s="210">
        <v>923.79165999999998</v>
      </c>
      <c r="J59" s="210">
        <v>1046.2207870000002</v>
      </c>
      <c r="K59" s="210">
        <v>1137.2532820000001</v>
      </c>
      <c r="L59" s="210">
        <v>877.782873</v>
      </c>
      <c r="M59" s="210">
        <v>888.82416699999999</v>
      </c>
      <c r="N59" s="210">
        <v>543.08606999999995</v>
      </c>
      <c r="O59" s="210">
        <v>554.35963470000002</v>
      </c>
      <c r="P59" s="210">
        <v>554.35963470000002</v>
      </c>
      <c r="Q59" s="210">
        <v>554.35963470000002</v>
      </c>
      <c r="R59" s="210">
        <v>554.35963470000002</v>
      </c>
      <c r="S59" s="210"/>
      <c r="T59" s="210"/>
      <c r="U59" s="210"/>
      <c r="V59" s="209"/>
      <c r="W59" s="209"/>
      <c r="X59" s="209"/>
      <c r="Y59" s="209"/>
    </row>
    <row r="60" spans="1:25" x14ac:dyDescent="0.2">
      <c r="A60" s="198">
        <v>178</v>
      </c>
      <c r="B60" s="199" t="s">
        <v>197</v>
      </c>
      <c r="C60" s="197">
        <v>10</v>
      </c>
      <c r="D60" s="210">
        <v>15240.84483</v>
      </c>
      <c r="E60" s="210">
        <v>16257.412126633526</v>
      </c>
      <c r="F60" s="210">
        <v>16835.841755095604</v>
      </c>
      <c r="G60" s="210">
        <v>8809.7114054109079</v>
      </c>
      <c r="H60" s="210">
        <v>8627.9856951910479</v>
      </c>
      <c r="I60" s="210">
        <v>2547.9166</v>
      </c>
      <c r="J60" s="210">
        <v>2460.5536789999996</v>
      </c>
      <c r="K60" s="210">
        <v>2666.2992000000004</v>
      </c>
      <c r="L60" s="210">
        <v>2057.9688000000006</v>
      </c>
      <c r="M60" s="210">
        <v>2083.8552</v>
      </c>
      <c r="N60" s="210">
        <v>1505.4918</v>
      </c>
      <c r="O60" s="210">
        <v>1498.1562210432</v>
      </c>
      <c r="P60" s="210">
        <v>1498.1562210432</v>
      </c>
      <c r="Q60" s="210">
        <v>1498.1562210432</v>
      </c>
      <c r="R60" s="210">
        <v>1498.1562210432</v>
      </c>
      <c r="S60" s="210"/>
      <c r="T60" s="210"/>
      <c r="U60" s="210"/>
      <c r="V60" s="209"/>
      <c r="W60" s="209"/>
      <c r="X60" s="209"/>
      <c r="Y60" s="209"/>
    </row>
    <row r="61" spans="1:25" x14ac:dyDescent="0.2">
      <c r="A61" s="198">
        <v>179</v>
      </c>
      <c r="B61" s="199" t="s">
        <v>198</v>
      </c>
      <c r="C61" s="197">
        <v>13</v>
      </c>
      <c r="D61" s="210">
        <v>440245.93358000001</v>
      </c>
      <c r="E61" s="210">
        <v>450971.19330110197</v>
      </c>
      <c r="F61" s="210">
        <v>471447.45164776879</v>
      </c>
      <c r="G61" s="210">
        <v>236976.74859883133</v>
      </c>
      <c r="H61" s="210">
        <v>229165.72659634106</v>
      </c>
      <c r="I61" s="210">
        <v>27050.78657</v>
      </c>
      <c r="J61" s="210">
        <v>26705.568805000003</v>
      </c>
      <c r="K61" s="210">
        <v>28946.934187999999</v>
      </c>
      <c r="L61" s="210">
        <v>22342.536582000001</v>
      </c>
      <c r="M61" s="210">
        <v>22623.574778000002</v>
      </c>
      <c r="N61" s="210">
        <v>47096.04047</v>
      </c>
      <c r="O61" s="210">
        <v>50763.780010752002</v>
      </c>
      <c r="P61" s="210">
        <v>50763.780010752002</v>
      </c>
      <c r="Q61" s="210">
        <v>50763.780010752002</v>
      </c>
      <c r="R61" s="210">
        <v>50763.780010752002</v>
      </c>
      <c r="S61" s="210"/>
      <c r="T61" s="210"/>
      <c r="U61" s="210"/>
      <c r="V61" s="209"/>
      <c r="W61" s="209"/>
      <c r="X61" s="209"/>
      <c r="Y61" s="209"/>
    </row>
    <row r="62" spans="1:25" x14ac:dyDescent="0.2">
      <c r="A62" s="198">
        <v>181</v>
      </c>
      <c r="B62" s="199" t="s">
        <v>199</v>
      </c>
      <c r="C62" s="197">
        <v>4</v>
      </c>
      <c r="D62" s="210">
        <v>5007.5873899999997</v>
      </c>
      <c r="E62" s="210">
        <v>5184.3421457971708</v>
      </c>
      <c r="F62" s="210">
        <v>5301.229500623931</v>
      </c>
      <c r="G62" s="210">
        <v>3032.3611813459479</v>
      </c>
      <c r="H62" s="210">
        <v>2991.7664043069335</v>
      </c>
      <c r="I62" s="210">
        <v>305.03583000000003</v>
      </c>
      <c r="J62" s="210">
        <v>279.61025899999999</v>
      </c>
      <c r="K62" s="210">
        <v>302.43786999999998</v>
      </c>
      <c r="L62" s="210">
        <v>233.43505500000001</v>
      </c>
      <c r="M62" s="210">
        <v>236.37134500000002</v>
      </c>
      <c r="N62" s="210">
        <v>391.62865999999997</v>
      </c>
      <c r="O62" s="210">
        <v>403.23235425360002</v>
      </c>
      <c r="P62" s="210">
        <v>403.23235425360002</v>
      </c>
      <c r="Q62" s="210">
        <v>403.23235425360002</v>
      </c>
      <c r="R62" s="210">
        <v>403.23235425360002</v>
      </c>
      <c r="S62" s="210"/>
      <c r="T62" s="210"/>
      <c r="U62" s="210"/>
      <c r="V62" s="209"/>
      <c r="W62" s="209"/>
      <c r="X62" s="209"/>
      <c r="Y62" s="209"/>
    </row>
    <row r="63" spans="1:25" x14ac:dyDescent="0.2">
      <c r="A63" s="198">
        <v>182</v>
      </c>
      <c r="B63" s="199" t="s">
        <v>126</v>
      </c>
      <c r="C63" s="197">
        <v>13</v>
      </c>
      <c r="D63" s="210">
        <v>69883.608510000005</v>
      </c>
      <c r="E63" s="210">
        <v>71075.947958015662</v>
      </c>
      <c r="F63" s="210">
        <v>73156.827073833672</v>
      </c>
      <c r="G63" s="210">
        <v>37414.357640513073</v>
      </c>
      <c r="H63" s="210">
        <v>36790.146573799095</v>
      </c>
      <c r="I63" s="210">
        <v>9416.4231</v>
      </c>
      <c r="J63" s="210">
        <v>8304.7709070000001</v>
      </c>
      <c r="K63" s="210">
        <v>9021.4622359999994</v>
      </c>
      <c r="L63" s="210">
        <v>6963.1674539999995</v>
      </c>
      <c r="M63" s="210">
        <v>7050.7544659999985</v>
      </c>
      <c r="N63" s="210">
        <v>6106.9449100000002</v>
      </c>
      <c r="O63" s="210">
        <v>6041.3047361640001</v>
      </c>
      <c r="P63" s="210">
        <v>6041.3047361640001</v>
      </c>
      <c r="Q63" s="210">
        <v>6041.3047361640001</v>
      </c>
      <c r="R63" s="210">
        <v>6041.3047361640001</v>
      </c>
      <c r="S63" s="210"/>
      <c r="T63" s="210"/>
      <c r="U63" s="210"/>
      <c r="V63" s="209"/>
      <c r="W63" s="209"/>
      <c r="X63" s="209"/>
      <c r="Y63" s="209"/>
    </row>
    <row r="64" spans="1:25" x14ac:dyDescent="0.2">
      <c r="A64" s="198">
        <v>186</v>
      </c>
      <c r="B64" s="199" t="s">
        <v>200</v>
      </c>
      <c r="C64" s="197">
        <v>1</v>
      </c>
      <c r="D64" s="210">
        <v>163674.76236000002</v>
      </c>
      <c r="E64" s="210">
        <v>171442.79556327313</v>
      </c>
      <c r="F64" s="210">
        <v>179298.01974880014</v>
      </c>
      <c r="G64" s="210">
        <v>88382.691926017244</v>
      </c>
      <c r="H64" s="210">
        <v>84567.366119051148</v>
      </c>
      <c r="I64" s="210">
        <v>5315.8872300000003</v>
      </c>
      <c r="J64" s="210">
        <v>5002.5120120000001</v>
      </c>
      <c r="K64" s="210">
        <v>5418.538716</v>
      </c>
      <c r="L64" s="210">
        <v>4182.2701740000002</v>
      </c>
      <c r="M64" s="210">
        <v>4234.8773460000002</v>
      </c>
      <c r="N64" s="210">
        <v>12902.70076</v>
      </c>
      <c r="O64" s="210">
        <v>13628.708030376003</v>
      </c>
      <c r="P64" s="210">
        <v>13628.708030376003</v>
      </c>
      <c r="Q64" s="210">
        <v>13628.708030376003</v>
      </c>
      <c r="R64" s="210">
        <v>13628.708030376003</v>
      </c>
      <c r="S64" s="210"/>
      <c r="T64" s="210"/>
      <c r="U64" s="210"/>
      <c r="V64" s="209"/>
      <c r="W64" s="209"/>
      <c r="X64" s="209"/>
      <c r="Y64" s="209"/>
    </row>
    <row r="65" spans="1:25" x14ac:dyDescent="0.2">
      <c r="A65" s="198">
        <v>202</v>
      </c>
      <c r="B65" s="199" t="s">
        <v>201</v>
      </c>
      <c r="C65" s="197">
        <v>2</v>
      </c>
      <c r="D65" s="210">
        <v>125221.40986</v>
      </c>
      <c r="E65" s="210">
        <v>129466.14501434876</v>
      </c>
      <c r="F65" s="210">
        <v>135884.5657545127</v>
      </c>
      <c r="G65" s="210">
        <v>66375.740352646826</v>
      </c>
      <c r="H65" s="210">
        <v>63703.301125092847</v>
      </c>
      <c r="I65" s="210">
        <v>4978.9449199999999</v>
      </c>
      <c r="J65" s="210">
        <v>5309.1579959999999</v>
      </c>
      <c r="K65" s="210">
        <v>5743.5317320000004</v>
      </c>
      <c r="L65" s="210">
        <v>4433.1142980000004</v>
      </c>
      <c r="M65" s="210">
        <v>4488.8767420000004</v>
      </c>
      <c r="N65" s="210">
        <v>7061.4079199999996</v>
      </c>
      <c r="O65" s="210">
        <v>7147.9776262247979</v>
      </c>
      <c r="P65" s="210">
        <v>7147.9776262247979</v>
      </c>
      <c r="Q65" s="210">
        <v>7147.9776262247979</v>
      </c>
      <c r="R65" s="210">
        <v>7147.9776262247979</v>
      </c>
      <c r="S65" s="210"/>
      <c r="T65" s="210"/>
      <c r="U65" s="210"/>
      <c r="V65" s="209"/>
      <c r="W65" s="209"/>
      <c r="X65" s="209"/>
      <c r="Y65" s="209"/>
    </row>
    <row r="66" spans="1:25" x14ac:dyDescent="0.2">
      <c r="A66" s="198">
        <v>204</v>
      </c>
      <c r="B66" s="199" t="s">
        <v>202</v>
      </c>
      <c r="C66" s="197">
        <v>11</v>
      </c>
      <c r="D66" s="210">
        <v>6988.15571</v>
      </c>
      <c r="E66" s="210">
        <v>7182.9331968138122</v>
      </c>
      <c r="F66" s="210">
        <v>7697.9918625615373</v>
      </c>
      <c r="G66" s="210">
        <v>4115.5122069906383</v>
      </c>
      <c r="H66" s="210">
        <v>4092.2153987544857</v>
      </c>
      <c r="I66" s="210">
        <v>995.21087999999997</v>
      </c>
      <c r="J66" s="210">
        <v>1098.2324490000001</v>
      </c>
      <c r="K66" s="210">
        <v>1190.9764339999999</v>
      </c>
      <c r="L66" s="210">
        <v>919.24880099999996</v>
      </c>
      <c r="M66" s="210">
        <v>930.81167900000003</v>
      </c>
      <c r="N66" s="210">
        <v>1050.7325800000001</v>
      </c>
      <c r="O66" s="210">
        <v>1114.546427364</v>
      </c>
      <c r="P66" s="210">
        <v>1114.546427364</v>
      </c>
      <c r="Q66" s="210">
        <v>1114.546427364</v>
      </c>
      <c r="R66" s="210">
        <v>1114.546427364</v>
      </c>
      <c r="S66" s="210"/>
      <c r="T66" s="210"/>
      <c r="U66" s="210"/>
      <c r="V66" s="209"/>
      <c r="W66" s="209"/>
      <c r="X66" s="209"/>
      <c r="Y66" s="209"/>
    </row>
    <row r="67" spans="1:25" x14ac:dyDescent="0.2">
      <c r="A67" s="198">
        <v>205</v>
      </c>
      <c r="B67" s="199" t="s">
        <v>203</v>
      </c>
      <c r="C67" s="197">
        <v>18</v>
      </c>
      <c r="D67" s="210">
        <v>122934.68648</v>
      </c>
      <c r="E67" s="210">
        <v>123572.21346701479</v>
      </c>
      <c r="F67" s="210">
        <v>128556.98372196511</v>
      </c>
      <c r="G67" s="210">
        <v>66929.377604234571</v>
      </c>
      <c r="H67" s="210">
        <v>65544.491954129931</v>
      </c>
      <c r="I67" s="210">
        <v>5736.8295900000003</v>
      </c>
      <c r="J67" s="210">
        <v>5468.7635180000007</v>
      </c>
      <c r="K67" s="210">
        <v>5922.1030380000002</v>
      </c>
      <c r="L67" s="210">
        <v>4570.9436070000002</v>
      </c>
      <c r="M67" s="210">
        <v>4628.4397530000006</v>
      </c>
      <c r="N67" s="210">
        <v>9986.0634200000004</v>
      </c>
      <c r="O67" s="210">
        <v>10250.999586396003</v>
      </c>
      <c r="P67" s="210">
        <v>10250.999586396003</v>
      </c>
      <c r="Q67" s="210">
        <v>10250.999586396003</v>
      </c>
      <c r="R67" s="210">
        <v>10250.999586396003</v>
      </c>
      <c r="S67" s="210"/>
      <c r="T67" s="210"/>
      <c r="U67" s="210"/>
      <c r="V67" s="209"/>
      <c r="W67" s="209"/>
      <c r="X67" s="209"/>
      <c r="Y67" s="209"/>
    </row>
    <row r="68" spans="1:25" x14ac:dyDescent="0.2">
      <c r="A68" s="198">
        <v>208</v>
      </c>
      <c r="B68" s="199" t="s">
        <v>204</v>
      </c>
      <c r="C68" s="197">
        <v>17</v>
      </c>
      <c r="D68" s="210">
        <v>32482.035469999999</v>
      </c>
      <c r="E68" s="210">
        <v>33069.563815277135</v>
      </c>
      <c r="F68" s="210">
        <v>34715.750976343355</v>
      </c>
      <c r="G68" s="210">
        <v>17463.305872945784</v>
      </c>
      <c r="H68" s="210">
        <v>16997.194792375216</v>
      </c>
      <c r="I68" s="210">
        <v>2716.32384</v>
      </c>
      <c r="J68" s="210">
        <v>2120.8410100000001</v>
      </c>
      <c r="K68" s="210">
        <v>2294.4473640000001</v>
      </c>
      <c r="L68" s="210">
        <v>1770.9569460000002</v>
      </c>
      <c r="M68" s="210">
        <v>1793.2331340000001</v>
      </c>
      <c r="N68" s="210">
        <v>3556.9781499999999</v>
      </c>
      <c r="O68" s="210">
        <v>5107.6572968399996</v>
      </c>
      <c r="P68" s="210">
        <v>5107.6572968399996</v>
      </c>
      <c r="Q68" s="210">
        <v>5107.6572968399996</v>
      </c>
      <c r="R68" s="210">
        <v>5107.6572968399996</v>
      </c>
      <c r="S68" s="210"/>
      <c r="T68" s="210"/>
      <c r="U68" s="210"/>
      <c r="V68" s="209"/>
      <c r="W68" s="209"/>
      <c r="X68" s="209"/>
      <c r="Y68" s="209"/>
    </row>
    <row r="69" spans="1:25" x14ac:dyDescent="0.2">
      <c r="A69" s="198">
        <v>211</v>
      </c>
      <c r="B69" s="199" t="s">
        <v>205</v>
      </c>
      <c r="C69" s="197">
        <v>6</v>
      </c>
      <c r="D69" s="210">
        <v>117565.95447</v>
      </c>
      <c r="E69" s="210">
        <v>117723.29881520927</v>
      </c>
      <c r="F69" s="210">
        <v>123831.52657052698</v>
      </c>
      <c r="G69" s="210">
        <v>64633.487742096106</v>
      </c>
      <c r="H69" s="210">
        <v>62900.689145644013</v>
      </c>
      <c r="I69" s="210">
        <v>4094.7275499999996</v>
      </c>
      <c r="J69" s="210">
        <v>4081.9972710000002</v>
      </c>
      <c r="K69" s="210">
        <v>4419.7122840000002</v>
      </c>
      <c r="L69" s="210">
        <v>3411.331326</v>
      </c>
      <c r="M69" s="210">
        <v>3454.2411539999998</v>
      </c>
      <c r="N69" s="210">
        <v>7080.4314199999999</v>
      </c>
      <c r="O69" s="210">
        <v>7068.4611333288003</v>
      </c>
      <c r="P69" s="210">
        <v>7068.4611333288003</v>
      </c>
      <c r="Q69" s="210">
        <v>7068.4611333288003</v>
      </c>
      <c r="R69" s="210">
        <v>7068.4611333288003</v>
      </c>
      <c r="S69" s="210"/>
      <c r="T69" s="210"/>
      <c r="U69" s="210"/>
      <c r="V69" s="209"/>
      <c r="W69" s="209"/>
      <c r="X69" s="209"/>
      <c r="Y69" s="209"/>
    </row>
    <row r="70" spans="1:25" x14ac:dyDescent="0.2">
      <c r="A70" s="198">
        <v>213</v>
      </c>
      <c r="B70" s="199" t="s">
        <v>206</v>
      </c>
      <c r="C70" s="197">
        <v>10</v>
      </c>
      <c r="D70" s="210">
        <v>14030.00599</v>
      </c>
      <c r="E70" s="210">
        <v>14011.021378824358</v>
      </c>
      <c r="F70" s="210">
        <v>14496.7489104908</v>
      </c>
      <c r="G70" s="210">
        <v>7566.3562776034823</v>
      </c>
      <c r="H70" s="210">
        <v>7423.0587811832711</v>
      </c>
      <c r="I70" s="210">
        <v>2828.2270099999996</v>
      </c>
      <c r="J70" s="210">
        <v>2620.7375359999996</v>
      </c>
      <c r="K70" s="210">
        <v>2841.2920800000002</v>
      </c>
      <c r="L70" s="210">
        <v>2193.0361200000002</v>
      </c>
      <c r="M70" s="210">
        <v>2220.6214799999998</v>
      </c>
      <c r="N70" s="210">
        <v>1826.3335</v>
      </c>
      <c r="O70" s="210">
        <v>1854.0519965640003</v>
      </c>
      <c r="P70" s="210">
        <v>1854.0519965640003</v>
      </c>
      <c r="Q70" s="210">
        <v>1854.0519965640003</v>
      </c>
      <c r="R70" s="210">
        <v>1854.0519965640003</v>
      </c>
      <c r="S70" s="210"/>
      <c r="T70" s="210"/>
      <c r="U70" s="210"/>
      <c r="V70" s="209"/>
      <c r="W70" s="209"/>
      <c r="X70" s="209"/>
      <c r="Y70" s="209"/>
    </row>
    <row r="71" spans="1:25" x14ac:dyDescent="0.2">
      <c r="A71" s="198">
        <v>214</v>
      </c>
      <c r="B71" s="199" t="s">
        <v>207</v>
      </c>
      <c r="C71" s="197">
        <v>4</v>
      </c>
      <c r="D71" s="210">
        <v>34114.652679999999</v>
      </c>
      <c r="E71" s="210">
        <v>35393.051435302965</v>
      </c>
      <c r="F71" s="210">
        <v>36274.404488816421</v>
      </c>
      <c r="G71" s="210">
        <v>19461.493478131299</v>
      </c>
      <c r="H71" s="210">
        <v>19179.637895731474</v>
      </c>
      <c r="I71" s="210">
        <v>2752.29963</v>
      </c>
      <c r="J71" s="210">
        <v>2613.6785409999998</v>
      </c>
      <c r="K71" s="210">
        <v>2830.3203140000001</v>
      </c>
      <c r="L71" s="210">
        <v>2184.5676210000001</v>
      </c>
      <c r="M71" s="210">
        <v>2212.0464590000001</v>
      </c>
      <c r="N71" s="210">
        <v>3001.1581099999999</v>
      </c>
      <c r="O71" s="210">
        <v>3460.8937420080001</v>
      </c>
      <c r="P71" s="210">
        <v>3460.8937420080001</v>
      </c>
      <c r="Q71" s="210">
        <v>3460.8937420080001</v>
      </c>
      <c r="R71" s="235">
        <v>3460.8937420080001</v>
      </c>
      <c r="S71" s="210"/>
      <c r="T71" s="210"/>
      <c r="U71" s="210"/>
      <c r="V71" s="209"/>
      <c r="W71" s="209"/>
      <c r="X71" s="209"/>
      <c r="Y71" s="209"/>
    </row>
    <row r="72" spans="1:25" x14ac:dyDescent="0.2">
      <c r="A72" s="198">
        <v>216</v>
      </c>
      <c r="B72" s="199" t="s">
        <v>208</v>
      </c>
      <c r="C72" s="197">
        <v>13</v>
      </c>
      <c r="D72" s="210">
        <v>3215.8396600000001</v>
      </c>
      <c r="E72" s="210">
        <v>3250.8388662940188</v>
      </c>
      <c r="F72" s="210">
        <v>3334.5440215924145</v>
      </c>
      <c r="G72" s="210">
        <v>1779.9140943259167</v>
      </c>
      <c r="H72" s="210">
        <v>1755.7038372732482</v>
      </c>
      <c r="I72" s="210">
        <v>570.26115000000004</v>
      </c>
      <c r="J72" s="210">
        <v>594.46465899999987</v>
      </c>
      <c r="K72" s="210">
        <v>644.15396599999997</v>
      </c>
      <c r="L72" s="210">
        <v>497.18679900000001</v>
      </c>
      <c r="M72" s="210">
        <v>503.44072099999994</v>
      </c>
      <c r="N72" s="210">
        <v>443.11426</v>
      </c>
      <c r="O72" s="210">
        <v>443.00989704</v>
      </c>
      <c r="P72" s="210">
        <v>443.00989704</v>
      </c>
      <c r="Q72" s="210">
        <v>443.00989704</v>
      </c>
      <c r="R72" s="210">
        <v>443.00989704</v>
      </c>
      <c r="S72" s="210"/>
      <c r="T72" s="210"/>
      <c r="U72" s="210"/>
      <c r="V72" s="209"/>
      <c r="W72" s="209"/>
      <c r="X72" s="209"/>
      <c r="Y72" s="209"/>
    </row>
    <row r="73" spans="1:25" x14ac:dyDescent="0.2">
      <c r="A73" s="198">
        <v>217</v>
      </c>
      <c r="B73" s="199" t="s">
        <v>209</v>
      </c>
      <c r="C73" s="197">
        <v>16</v>
      </c>
      <c r="D73" s="210">
        <v>15137.42655</v>
      </c>
      <c r="E73" s="210">
        <v>15992.865958309207</v>
      </c>
      <c r="F73" s="210">
        <v>16852.819478107776</v>
      </c>
      <c r="G73" s="210">
        <v>9044.9453576600954</v>
      </c>
      <c r="H73" s="210">
        <v>8896.4362275275362</v>
      </c>
      <c r="I73" s="210">
        <v>1209.61175</v>
      </c>
      <c r="J73" s="210">
        <v>972.40127500000006</v>
      </c>
      <c r="K73" s="210">
        <v>1051.2451920000001</v>
      </c>
      <c r="L73" s="210">
        <v>811.39798799999994</v>
      </c>
      <c r="M73" s="210">
        <v>821.60425200000009</v>
      </c>
      <c r="N73" s="210">
        <v>1276.0842299999999</v>
      </c>
      <c r="O73" s="210">
        <v>1265.8570018199998</v>
      </c>
      <c r="P73" s="210">
        <v>1265.8570018199998</v>
      </c>
      <c r="Q73" s="210">
        <v>1265.8570018199998</v>
      </c>
      <c r="R73" s="210">
        <v>1265.8570018199998</v>
      </c>
      <c r="S73" s="210"/>
      <c r="T73" s="210"/>
      <c r="U73" s="210"/>
      <c r="V73" s="209"/>
      <c r="W73" s="209"/>
      <c r="X73" s="209"/>
      <c r="Y73" s="209"/>
    </row>
    <row r="74" spans="1:25" x14ac:dyDescent="0.2">
      <c r="A74" s="198">
        <v>218</v>
      </c>
      <c r="B74" s="199" t="s">
        <v>210</v>
      </c>
      <c r="C74" s="197">
        <v>14</v>
      </c>
      <c r="D74" s="210">
        <v>3706.7920299999996</v>
      </c>
      <c r="E74" s="210">
        <v>3656.2980367337523</v>
      </c>
      <c r="F74" s="210">
        <v>3824.7045291788386</v>
      </c>
      <c r="G74" s="210">
        <v>2147.2214447785686</v>
      </c>
      <c r="H74" s="210">
        <v>2109.256676601598</v>
      </c>
      <c r="I74" s="210">
        <v>308.42905999999999</v>
      </c>
      <c r="J74" s="210">
        <v>281.59066100000001</v>
      </c>
      <c r="K74" s="210">
        <v>304.43380400000001</v>
      </c>
      <c r="L74" s="210">
        <v>234.975606</v>
      </c>
      <c r="M74" s="210">
        <v>237.931274</v>
      </c>
      <c r="N74" s="210">
        <v>227.15729000000002</v>
      </c>
      <c r="O74" s="210">
        <v>252.72530789999999</v>
      </c>
      <c r="P74" s="210">
        <v>252.72530789999999</v>
      </c>
      <c r="Q74" s="210">
        <v>252.72530789999999</v>
      </c>
      <c r="R74" s="210">
        <v>252.72530789999999</v>
      </c>
      <c r="S74" s="210"/>
      <c r="T74" s="210"/>
      <c r="U74" s="210"/>
      <c r="V74" s="209"/>
      <c r="W74" s="209"/>
      <c r="X74" s="209"/>
      <c r="Y74" s="209"/>
    </row>
    <row r="75" spans="1:25" x14ac:dyDescent="0.2">
      <c r="A75" s="198">
        <v>224</v>
      </c>
      <c r="B75" s="199" t="s">
        <v>211</v>
      </c>
      <c r="C75" s="197">
        <v>1</v>
      </c>
      <c r="D75" s="210">
        <v>27957.939039999997</v>
      </c>
      <c r="E75" s="210">
        <v>28186.912810350743</v>
      </c>
      <c r="F75" s="210">
        <v>29433.326092207124</v>
      </c>
      <c r="G75" s="210">
        <v>15285.727014500088</v>
      </c>
      <c r="H75" s="210">
        <v>14903.414256725981</v>
      </c>
      <c r="I75" s="210">
        <v>1346.5859499999999</v>
      </c>
      <c r="J75" s="210">
        <v>1256.6533010000001</v>
      </c>
      <c r="K75" s="210">
        <v>1357.8996759999998</v>
      </c>
      <c r="L75" s="210">
        <v>1048.087614</v>
      </c>
      <c r="M75" s="210">
        <v>1061.2711059999999</v>
      </c>
      <c r="N75" s="210">
        <v>2251.4720400000001</v>
      </c>
      <c r="O75" s="210">
        <v>2224.936269972</v>
      </c>
      <c r="P75" s="210">
        <v>2224.936269972</v>
      </c>
      <c r="Q75" s="210">
        <v>2224.936269972</v>
      </c>
      <c r="R75" s="210">
        <v>2224.936269972</v>
      </c>
      <c r="S75" s="210"/>
      <c r="T75" s="210"/>
      <c r="U75" s="210"/>
      <c r="V75" s="209"/>
      <c r="W75" s="209"/>
      <c r="X75" s="209"/>
      <c r="Y75" s="209"/>
    </row>
    <row r="76" spans="1:25" x14ac:dyDescent="0.2">
      <c r="A76" s="198">
        <v>226</v>
      </c>
      <c r="B76" s="199" t="s">
        <v>212</v>
      </c>
      <c r="C76" s="197">
        <v>13</v>
      </c>
      <c r="D76" s="210">
        <v>9803.4263599999995</v>
      </c>
      <c r="E76" s="210">
        <v>10156.292323064232</v>
      </c>
      <c r="F76" s="210">
        <v>10690.06309884626</v>
      </c>
      <c r="G76" s="210">
        <v>5630.2541351999116</v>
      </c>
      <c r="H76" s="210">
        <v>5541.7977147808988</v>
      </c>
      <c r="I76" s="210">
        <v>1364.96047</v>
      </c>
      <c r="J76" s="210">
        <v>1346.0118430000002</v>
      </c>
      <c r="K76" s="210">
        <v>1458.22559</v>
      </c>
      <c r="L76" s="210">
        <v>1125.523635</v>
      </c>
      <c r="M76" s="210">
        <v>1139.6811650000002</v>
      </c>
      <c r="N76" s="210">
        <v>961.83352000000002</v>
      </c>
      <c r="O76" s="210">
        <v>1089.0956936328</v>
      </c>
      <c r="P76" s="210">
        <v>1089.0956936328</v>
      </c>
      <c r="Q76" s="210">
        <v>1089.0956936328</v>
      </c>
      <c r="R76" s="210">
        <v>1089.0956936328</v>
      </c>
      <c r="S76" s="210"/>
      <c r="T76" s="210"/>
      <c r="U76" s="210"/>
      <c r="V76" s="209"/>
      <c r="W76" s="209"/>
      <c r="X76" s="209"/>
      <c r="Y76" s="209"/>
    </row>
    <row r="77" spans="1:25" x14ac:dyDescent="0.2">
      <c r="A77" s="198">
        <v>230</v>
      </c>
      <c r="B77" s="199" t="s">
        <v>213</v>
      </c>
      <c r="C77" s="197">
        <v>4</v>
      </c>
      <c r="D77" s="210">
        <v>5487.2057300000006</v>
      </c>
      <c r="E77" s="210">
        <v>5534.7199478931698</v>
      </c>
      <c r="F77" s="210">
        <v>5831.686033301381</v>
      </c>
      <c r="G77" s="210">
        <v>3044.8695249205616</v>
      </c>
      <c r="H77" s="210">
        <v>2977.6739458537604</v>
      </c>
      <c r="I77" s="210">
        <v>703.55146999999999</v>
      </c>
      <c r="J77" s="210">
        <v>620.70587100000012</v>
      </c>
      <c r="K77" s="210">
        <v>672.12464600000021</v>
      </c>
      <c r="L77" s="210">
        <v>518.77581900000007</v>
      </c>
      <c r="M77" s="210">
        <v>525.30130100000008</v>
      </c>
      <c r="N77" s="210">
        <v>536.05779000000007</v>
      </c>
      <c r="O77" s="210">
        <v>690.07806751440012</v>
      </c>
      <c r="P77" s="210">
        <v>690.07806751440012</v>
      </c>
      <c r="Q77" s="210">
        <v>690.07806751440012</v>
      </c>
      <c r="R77" s="210">
        <v>690.07806751440012</v>
      </c>
      <c r="S77" s="210"/>
      <c r="T77" s="210"/>
      <c r="U77" s="210"/>
      <c r="V77" s="209"/>
      <c r="W77" s="209"/>
      <c r="X77" s="209"/>
      <c r="Y77" s="209"/>
    </row>
    <row r="78" spans="1:25" x14ac:dyDescent="0.2">
      <c r="A78" s="198">
        <v>231</v>
      </c>
      <c r="B78" s="199" t="s">
        <v>214</v>
      </c>
      <c r="C78" s="197">
        <v>15</v>
      </c>
      <c r="D78" s="210">
        <v>4837.2482800000007</v>
      </c>
      <c r="E78" s="210">
        <v>5013.285538354442</v>
      </c>
      <c r="F78" s="210">
        <v>5084.6197702463032</v>
      </c>
      <c r="G78" s="210">
        <v>2795.9556992251105</v>
      </c>
      <c r="H78" s="210">
        <v>2742.9951181266588</v>
      </c>
      <c r="I78" s="210">
        <v>1204.7591399999999</v>
      </c>
      <c r="J78" s="210">
        <v>1083.1325299999999</v>
      </c>
      <c r="K78" s="210">
        <v>1176.5512839999999</v>
      </c>
      <c r="L78" s="210">
        <v>908.11482599999999</v>
      </c>
      <c r="M78" s="210">
        <v>919.53765399999997</v>
      </c>
      <c r="N78" s="210">
        <v>595.95262000000002</v>
      </c>
      <c r="O78" s="210">
        <v>602.79293092799992</v>
      </c>
      <c r="P78" s="210">
        <v>602.79293092799992</v>
      </c>
      <c r="Q78" s="210">
        <v>602.79293092799992</v>
      </c>
      <c r="R78" s="210">
        <v>602.79293092799992</v>
      </c>
      <c r="S78" s="210"/>
      <c r="T78" s="210"/>
      <c r="U78" s="210"/>
      <c r="V78" s="209"/>
      <c r="W78" s="209"/>
      <c r="X78" s="209"/>
      <c r="Y78" s="209"/>
    </row>
    <row r="79" spans="1:25" x14ac:dyDescent="0.2">
      <c r="A79" s="198">
        <v>232</v>
      </c>
      <c r="B79" s="199" t="s">
        <v>215</v>
      </c>
      <c r="C79" s="197">
        <v>14</v>
      </c>
      <c r="D79" s="210">
        <v>38423.13594</v>
      </c>
      <c r="E79" s="210">
        <v>38534.522187066163</v>
      </c>
      <c r="F79" s="210">
        <v>40211.884547153488</v>
      </c>
      <c r="G79" s="210">
        <v>22341.240764347258</v>
      </c>
      <c r="H79" s="210">
        <v>22039.254500815903</v>
      </c>
      <c r="I79" s="210">
        <v>4023.24863</v>
      </c>
      <c r="J79" s="210">
        <v>3978.1791320000002</v>
      </c>
      <c r="K79" s="210">
        <v>4307.7448979999999</v>
      </c>
      <c r="L79" s="210">
        <v>3324.9098969999995</v>
      </c>
      <c r="M79" s="210">
        <v>3366.7326629999998</v>
      </c>
      <c r="N79" s="210">
        <v>3421.0198100000002</v>
      </c>
      <c r="O79" s="210">
        <v>3496.5962852496004</v>
      </c>
      <c r="P79" s="210">
        <v>3496.5962852496004</v>
      </c>
      <c r="Q79" s="210">
        <v>3496.5962852496004</v>
      </c>
      <c r="R79" s="210">
        <v>3496.5962852496004</v>
      </c>
      <c r="S79" s="210"/>
      <c r="T79" s="210"/>
      <c r="U79" s="210"/>
      <c r="V79" s="209"/>
      <c r="W79" s="209"/>
      <c r="X79" s="209"/>
      <c r="Y79" s="209"/>
    </row>
    <row r="80" spans="1:25" x14ac:dyDescent="0.2">
      <c r="A80" s="198">
        <v>233</v>
      </c>
      <c r="B80" s="199" t="s">
        <v>216</v>
      </c>
      <c r="C80" s="197">
        <v>14</v>
      </c>
      <c r="D80" s="210">
        <v>47134.394489999999</v>
      </c>
      <c r="E80" s="210">
        <v>47085.132153375875</v>
      </c>
      <c r="F80" s="210">
        <v>49414.956815587975</v>
      </c>
      <c r="G80" s="210">
        <v>26964.749965057814</v>
      </c>
      <c r="H80" s="210">
        <v>26469.082577536839</v>
      </c>
      <c r="I80" s="210">
        <v>3913.0127200000002</v>
      </c>
      <c r="J80" s="210">
        <v>3364.4458610000001</v>
      </c>
      <c r="K80" s="210">
        <v>3643.8229659999997</v>
      </c>
      <c r="L80" s="210">
        <v>2812.4652989999995</v>
      </c>
      <c r="M80" s="210">
        <v>2847.8422210000003</v>
      </c>
      <c r="N80" s="210">
        <v>4063.9492599999999</v>
      </c>
      <c r="O80" s="210">
        <v>4079.3445084840009</v>
      </c>
      <c r="P80" s="210">
        <v>4079.3445084840009</v>
      </c>
      <c r="Q80" s="210">
        <v>4079.3445084840009</v>
      </c>
      <c r="R80" s="210">
        <v>4079.3445084840009</v>
      </c>
      <c r="S80" s="210"/>
      <c r="T80" s="210"/>
      <c r="U80" s="210"/>
      <c r="V80" s="209"/>
      <c r="W80" s="209"/>
      <c r="X80" s="209"/>
      <c r="Y80" s="209"/>
    </row>
    <row r="81" spans="1:25" x14ac:dyDescent="0.2">
      <c r="A81" s="198">
        <v>235</v>
      </c>
      <c r="B81" s="199" t="s">
        <v>217</v>
      </c>
      <c r="C81" s="197">
        <v>1</v>
      </c>
      <c r="D81" s="210">
        <v>62527.913070000002</v>
      </c>
      <c r="E81" s="210">
        <v>65870.543181868139</v>
      </c>
      <c r="F81" s="210">
        <v>67864.25062401827</v>
      </c>
      <c r="G81" s="210">
        <v>26417.844412006241</v>
      </c>
      <c r="H81" s="210">
        <v>24278.073042194734</v>
      </c>
      <c r="I81" s="210">
        <v>2080.62907</v>
      </c>
      <c r="J81" s="210">
        <v>1900.5765049999998</v>
      </c>
      <c r="K81" s="210">
        <v>2063.0294359999998</v>
      </c>
      <c r="L81" s="210">
        <v>1592.3382539999998</v>
      </c>
      <c r="M81" s="210">
        <v>1612.3676659999999</v>
      </c>
      <c r="N81" s="210">
        <v>4659.3122300000005</v>
      </c>
      <c r="O81" s="210">
        <v>4783.0257667056012</v>
      </c>
      <c r="P81" s="210">
        <v>4783.0257667056012</v>
      </c>
      <c r="Q81" s="210">
        <v>4783.0257667056012</v>
      </c>
      <c r="R81" s="210">
        <v>4783.0257667056012</v>
      </c>
      <c r="S81" s="210"/>
      <c r="T81" s="210"/>
      <c r="U81" s="210"/>
      <c r="V81" s="209"/>
      <c r="W81" s="209"/>
      <c r="X81" s="209"/>
      <c r="Y81" s="209"/>
    </row>
    <row r="82" spans="1:25" x14ac:dyDescent="0.2">
      <c r="A82" s="198">
        <v>236</v>
      </c>
      <c r="B82" s="199" t="s">
        <v>218</v>
      </c>
      <c r="C82" s="197">
        <v>16</v>
      </c>
      <c r="D82" s="210">
        <v>11738.22034</v>
      </c>
      <c r="E82" s="210">
        <v>12422.863794559093</v>
      </c>
      <c r="F82" s="210">
        <v>12852.908149883026</v>
      </c>
      <c r="G82" s="210">
        <v>7011.4134531527816</v>
      </c>
      <c r="H82" s="210">
        <v>6911.7503575302781</v>
      </c>
      <c r="I82" s="210">
        <v>1456.7468000000001</v>
      </c>
      <c r="J82" s="210">
        <v>1001.3152829999999</v>
      </c>
      <c r="K82" s="210">
        <v>1086.911826</v>
      </c>
      <c r="L82" s="210">
        <v>838.92708899999991</v>
      </c>
      <c r="M82" s="210">
        <v>849.47963099999981</v>
      </c>
      <c r="N82" s="210">
        <v>893.5574499999999</v>
      </c>
      <c r="O82" s="210">
        <v>937.41006088560016</v>
      </c>
      <c r="P82" s="210">
        <v>937.41006088560016</v>
      </c>
      <c r="Q82" s="210">
        <v>937.41006088560016</v>
      </c>
      <c r="R82" s="210">
        <v>937.41006088560016</v>
      </c>
      <c r="S82" s="210"/>
      <c r="T82" s="210"/>
      <c r="U82" s="210"/>
      <c r="V82" s="209"/>
      <c r="W82" s="209"/>
      <c r="X82" s="209"/>
      <c r="Y82" s="209"/>
    </row>
    <row r="83" spans="1:25" x14ac:dyDescent="0.2">
      <c r="A83" s="198">
        <v>239</v>
      </c>
      <c r="B83" s="199" t="s">
        <v>219</v>
      </c>
      <c r="C83" s="197">
        <v>11</v>
      </c>
      <c r="D83" s="210">
        <v>5995.02405</v>
      </c>
      <c r="E83" s="210">
        <v>5928.3826646927355</v>
      </c>
      <c r="F83" s="210">
        <v>6109.6096035065157</v>
      </c>
      <c r="G83" s="210">
        <v>3139.0698689419964</v>
      </c>
      <c r="H83" s="210">
        <v>3077.292630124598</v>
      </c>
      <c r="I83" s="210">
        <v>758.73169999999993</v>
      </c>
      <c r="J83" s="210">
        <v>634.65123900000003</v>
      </c>
      <c r="K83" s="210">
        <v>686.88804799999991</v>
      </c>
      <c r="L83" s="210">
        <v>530.17087200000003</v>
      </c>
      <c r="M83" s="210">
        <v>536.83968800000002</v>
      </c>
      <c r="N83" s="210">
        <v>561.08577000000002</v>
      </c>
      <c r="O83" s="210">
        <v>538.52881342800003</v>
      </c>
      <c r="P83" s="210">
        <v>538.52881342800003</v>
      </c>
      <c r="Q83" s="210">
        <v>538.52881342800003</v>
      </c>
      <c r="R83" s="210">
        <v>538.52881342800003</v>
      </c>
      <c r="S83" s="210"/>
      <c r="T83" s="210"/>
      <c r="U83" s="210"/>
      <c r="V83" s="209"/>
      <c r="W83" s="209"/>
      <c r="X83" s="209"/>
      <c r="Y83" s="209"/>
    </row>
    <row r="84" spans="1:25" x14ac:dyDescent="0.2">
      <c r="A84" s="198">
        <v>240</v>
      </c>
      <c r="B84" s="199" t="s">
        <v>220</v>
      </c>
      <c r="C84" s="197">
        <v>19</v>
      </c>
      <c r="D84" s="210">
        <v>73194.838279999996</v>
      </c>
      <c r="E84" s="210">
        <v>75053.441147819351</v>
      </c>
      <c r="F84" s="210">
        <v>77903.076661967949</v>
      </c>
      <c r="G84" s="210">
        <v>41346.300683427769</v>
      </c>
      <c r="H84" s="210">
        <v>40802.669665490284</v>
      </c>
      <c r="I84" s="210">
        <v>8112.11672</v>
      </c>
      <c r="J84" s="210">
        <v>7284.9026439999998</v>
      </c>
      <c r="K84" s="210">
        <v>7918.8979119999995</v>
      </c>
      <c r="L84" s="210">
        <v>6112.1590679999999</v>
      </c>
      <c r="M84" s="210">
        <v>6189.0415719999992</v>
      </c>
      <c r="N84" s="210">
        <v>6624.0687199999993</v>
      </c>
      <c r="O84" s="210">
        <v>6656.9472329616001</v>
      </c>
      <c r="P84" s="210">
        <v>6656.9472329616001</v>
      </c>
      <c r="Q84" s="210">
        <v>6656.9472329616001</v>
      </c>
      <c r="R84" s="210">
        <v>6656.9472329616001</v>
      </c>
      <c r="S84" s="210"/>
      <c r="T84" s="210"/>
      <c r="U84" s="210"/>
      <c r="V84" s="209"/>
      <c r="W84" s="209"/>
      <c r="X84" s="209"/>
      <c r="Y84" s="209"/>
    </row>
    <row r="85" spans="1:25" x14ac:dyDescent="0.2">
      <c r="A85" s="198">
        <v>320</v>
      </c>
      <c r="B85" s="199" t="s">
        <v>221</v>
      </c>
      <c r="C85" s="197">
        <v>19</v>
      </c>
      <c r="D85" s="210">
        <v>23513.797420000003</v>
      </c>
      <c r="E85" s="210">
        <v>24603.027010513382</v>
      </c>
      <c r="F85" s="210">
        <v>24921.344119049161</v>
      </c>
      <c r="G85" s="210">
        <v>13213.058277938173</v>
      </c>
      <c r="H85" s="210">
        <v>13055.825709888062</v>
      </c>
      <c r="I85" s="210">
        <v>1292.3490200000001</v>
      </c>
      <c r="J85" s="210">
        <v>1273.7598609999998</v>
      </c>
      <c r="K85" s="210">
        <v>1379.1405420000001</v>
      </c>
      <c r="L85" s="210">
        <v>1064.4822629999999</v>
      </c>
      <c r="M85" s="210">
        <v>1077.8719769999998</v>
      </c>
      <c r="N85" s="210">
        <v>4347.2221500000005</v>
      </c>
      <c r="O85" s="210">
        <v>4429.958684964</v>
      </c>
      <c r="P85" s="210">
        <v>4429.958684964</v>
      </c>
      <c r="Q85" s="210">
        <v>4429.958684964</v>
      </c>
      <c r="R85" s="210">
        <v>4429.958684964</v>
      </c>
      <c r="S85" s="210"/>
      <c r="T85" s="210"/>
      <c r="U85" s="210"/>
      <c r="V85" s="209"/>
      <c r="W85" s="209"/>
      <c r="X85" s="209"/>
      <c r="Y85" s="209"/>
    </row>
    <row r="86" spans="1:25" x14ac:dyDescent="0.2">
      <c r="A86" s="198">
        <v>241</v>
      </c>
      <c r="B86" s="199" t="s">
        <v>222</v>
      </c>
      <c r="C86" s="197">
        <v>19</v>
      </c>
      <c r="D86" s="210">
        <v>30084.341069999999</v>
      </c>
      <c r="E86" s="210">
        <v>31158.19788730704</v>
      </c>
      <c r="F86" s="210">
        <v>32333.947282537029</v>
      </c>
      <c r="G86" s="210">
        <v>16953.766152559667</v>
      </c>
      <c r="H86" s="210">
        <v>16578.424310307029</v>
      </c>
      <c r="I86" s="210">
        <v>924.78026</v>
      </c>
      <c r="J86" s="210">
        <v>1090.483279</v>
      </c>
      <c r="K86" s="210">
        <v>1180.7316420000002</v>
      </c>
      <c r="L86" s="210">
        <v>911.3414130000001</v>
      </c>
      <c r="M86" s="210">
        <v>922.80482700000016</v>
      </c>
      <c r="N86" s="210">
        <v>3811.89896</v>
      </c>
      <c r="O86" s="210">
        <v>3740.1933731904001</v>
      </c>
      <c r="P86" s="210">
        <v>3740.1933731904001</v>
      </c>
      <c r="Q86" s="210">
        <v>3740.1933731904001</v>
      </c>
      <c r="R86" s="210">
        <v>3740.1933731904001</v>
      </c>
      <c r="S86" s="210"/>
      <c r="T86" s="210"/>
      <c r="U86" s="210"/>
      <c r="V86" s="209"/>
      <c r="W86" s="209"/>
      <c r="X86" s="209"/>
      <c r="Y86" s="209"/>
    </row>
    <row r="87" spans="1:25" x14ac:dyDescent="0.2">
      <c r="A87" s="198">
        <v>322</v>
      </c>
      <c r="B87" s="236" t="s">
        <v>127</v>
      </c>
      <c r="C87" s="197">
        <v>2</v>
      </c>
      <c r="D87" s="210">
        <v>19154.459449999998</v>
      </c>
      <c r="E87" s="210">
        <v>18784.685547898607</v>
      </c>
      <c r="F87" s="210">
        <v>19661.144214335076</v>
      </c>
      <c r="G87" s="210">
        <v>9734.7264226548014</v>
      </c>
      <c r="H87" s="210">
        <v>9454.4913373817799</v>
      </c>
      <c r="I87" s="210">
        <v>1006.4892600000001</v>
      </c>
      <c r="J87" s="210">
        <v>1118.264367</v>
      </c>
      <c r="K87" s="210">
        <v>1211.0276499999998</v>
      </c>
      <c r="L87" s="210">
        <v>934.72522499999991</v>
      </c>
      <c r="M87" s="210">
        <v>946.48277499999995</v>
      </c>
      <c r="N87" s="210">
        <v>3220.8781899999999</v>
      </c>
      <c r="O87" s="210">
        <v>3247.5077660735997</v>
      </c>
      <c r="P87" s="210">
        <v>3247.5077660735997</v>
      </c>
      <c r="Q87" s="210">
        <v>3247.5077660735997</v>
      </c>
      <c r="R87" s="210">
        <v>3247.5077660735997</v>
      </c>
      <c r="S87" s="210"/>
      <c r="T87" s="210"/>
      <c r="U87" s="210"/>
      <c r="V87" s="209"/>
      <c r="W87" s="209"/>
      <c r="X87" s="209"/>
      <c r="Y87" s="209"/>
    </row>
    <row r="88" spans="1:25" x14ac:dyDescent="0.2">
      <c r="A88" s="198">
        <v>244</v>
      </c>
      <c r="B88" s="199" t="s">
        <v>223</v>
      </c>
      <c r="C88" s="197">
        <v>17</v>
      </c>
      <c r="D88" s="210">
        <v>60191.766189999995</v>
      </c>
      <c r="E88" s="210">
        <v>62284.474028800527</v>
      </c>
      <c r="F88" s="210">
        <v>65211.965620054398</v>
      </c>
      <c r="G88" s="210">
        <v>33737.981545815797</v>
      </c>
      <c r="H88" s="210">
        <v>32491.108898302726</v>
      </c>
      <c r="I88" s="210">
        <v>3445.0482400000001</v>
      </c>
      <c r="J88" s="210">
        <v>3758.7975499999993</v>
      </c>
      <c r="K88" s="210">
        <v>4083.4523039999995</v>
      </c>
      <c r="L88" s="210">
        <v>3151.7908560000001</v>
      </c>
      <c r="M88" s="210">
        <v>3191.4360239999996</v>
      </c>
      <c r="N88" s="210">
        <v>3609.4839400000001</v>
      </c>
      <c r="O88" s="210">
        <v>3617.5869438672003</v>
      </c>
      <c r="P88" s="210">
        <v>3617.5869438672003</v>
      </c>
      <c r="Q88" s="210">
        <v>3617.5869438672003</v>
      </c>
      <c r="R88" s="210">
        <v>3617.5869438672003</v>
      </c>
      <c r="S88" s="210"/>
      <c r="T88" s="210"/>
      <c r="U88" s="210"/>
      <c r="V88" s="209"/>
      <c r="W88" s="209"/>
      <c r="X88" s="209"/>
      <c r="Y88" s="209"/>
    </row>
    <row r="89" spans="1:25" x14ac:dyDescent="0.2">
      <c r="A89" s="198">
        <v>245</v>
      </c>
      <c r="B89" s="199" t="s">
        <v>224</v>
      </c>
      <c r="C89" s="197">
        <v>1</v>
      </c>
      <c r="D89" s="210">
        <v>135456.88462999999</v>
      </c>
      <c r="E89" s="210">
        <v>135193.41219891625</v>
      </c>
      <c r="F89" s="210">
        <v>142975.80524508358</v>
      </c>
      <c r="G89" s="210">
        <v>67979.523128436951</v>
      </c>
      <c r="H89" s="210">
        <v>64935.878260644633</v>
      </c>
      <c r="I89" s="210">
        <v>11635.172859999999</v>
      </c>
      <c r="J89" s="210">
        <v>9400.7467209999995</v>
      </c>
      <c r="K89" s="210">
        <v>10176.895842</v>
      </c>
      <c r="L89" s="210">
        <v>7854.9827130000003</v>
      </c>
      <c r="M89" s="210">
        <v>7953.7875270000004</v>
      </c>
      <c r="N89" s="210">
        <v>9733.9002400000008</v>
      </c>
      <c r="O89" s="210">
        <v>10166.689542715196</v>
      </c>
      <c r="P89" s="210">
        <v>10166.689542715196</v>
      </c>
      <c r="Q89" s="210">
        <v>10166.689542715196</v>
      </c>
      <c r="R89" s="210">
        <v>10166.689542715196</v>
      </c>
      <c r="S89" s="210"/>
      <c r="T89" s="210"/>
      <c r="U89" s="210"/>
      <c r="V89" s="209"/>
      <c r="W89" s="209"/>
      <c r="X89" s="209"/>
      <c r="Y89" s="209"/>
    </row>
    <row r="90" spans="1:25" x14ac:dyDescent="0.2">
      <c r="A90" s="198">
        <v>249</v>
      </c>
      <c r="B90" s="199" t="s">
        <v>225</v>
      </c>
      <c r="C90" s="197">
        <v>13</v>
      </c>
      <c r="D90" s="210">
        <v>28769.701379999999</v>
      </c>
      <c r="E90" s="210">
        <v>30578.834220350705</v>
      </c>
      <c r="F90" s="210">
        <v>31602.230460862069</v>
      </c>
      <c r="G90" s="210">
        <v>16777.766984896934</v>
      </c>
      <c r="H90" s="210">
        <v>16550.695966151463</v>
      </c>
      <c r="I90" s="210">
        <v>2595.19877</v>
      </c>
      <c r="J90" s="210">
        <v>2521.808665</v>
      </c>
      <c r="K90" s="210">
        <v>2730.3137000000002</v>
      </c>
      <c r="L90" s="210">
        <v>2107.3780499999998</v>
      </c>
      <c r="M90" s="210">
        <v>2133.8859499999999</v>
      </c>
      <c r="N90" s="210">
        <v>2449.2297200000003</v>
      </c>
      <c r="O90" s="210">
        <v>2459.1118476024003</v>
      </c>
      <c r="P90" s="210">
        <v>2459.1118476024003</v>
      </c>
      <c r="Q90" s="210">
        <v>2459.1118476024003</v>
      </c>
      <c r="R90" s="210">
        <v>2459.1118476024003</v>
      </c>
      <c r="S90" s="210"/>
      <c r="T90" s="210"/>
      <c r="U90" s="210"/>
      <c r="V90" s="209"/>
      <c r="W90" s="209"/>
      <c r="X90" s="209"/>
      <c r="Y90" s="209"/>
    </row>
    <row r="91" spans="1:25" x14ac:dyDescent="0.2">
      <c r="A91" s="198">
        <v>250</v>
      </c>
      <c r="B91" s="199" t="s">
        <v>226</v>
      </c>
      <c r="C91" s="197">
        <v>6</v>
      </c>
      <c r="D91" s="210">
        <v>4684.94175</v>
      </c>
      <c r="E91" s="210">
        <v>4809.8195537789634</v>
      </c>
      <c r="F91" s="210">
        <v>4880.5824887446079</v>
      </c>
      <c r="G91" s="210">
        <v>2662.2143061659308</v>
      </c>
      <c r="H91" s="210">
        <v>2636.7548277201454</v>
      </c>
      <c r="I91" s="210">
        <v>705.93521999999996</v>
      </c>
      <c r="J91" s="210">
        <v>669.60986300000002</v>
      </c>
      <c r="K91" s="210">
        <v>725.55053999999996</v>
      </c>
      <c r="L91" s="210">
        <v>560.01230999999996</v>
      </c>
      <c r="M91" s="210">
        <v>567.05649000000005</v>
      </c>
      <c r="N91" s="210">
        <v>492.25167999999996</v>
      </c>
      <c r="O91" s="210">
        <v>556.03898203920005</v>
      </c>
      <c r="P91" s="210">
        <v>556.03898203920005</v>
      </c>
      <c r="Q91" s="210">
        <v>556.03898203920005</v>
      </c>
      <c r="R91" s="210">
        <v>556.03898203920005</v>
      </c>
      <c r="S91" s="210"/>
      <c r="T91" s="210"/>
      <c r="U91" s="210"/>
      <c r="V91" s="209"/>
      <c r="W91" s="209"/>
      <c r="X91" s="209"/>
      <c r="Y91" s="209"/>
    </row>
    <row r="92" spans="1:25" x14ac:dyDescent="0.2">
      <c r="A92" s="198">
        <v>256</v>
      </c>
      <c r="B92" s="199" t="s">
        <v>227</v>
      </c>
      <c r="C92" s="197">
        <v>13</v>
      </c>
      <c r="D92" s="210">
        <v>3838.3721</v>
      </c>
      <c r="E92" s="210">
        <v>3781.3962595703274</v>
      </c>
      <c r="F92" s="210">
        <v>4034.1551873270223</v>
      </c>
      <c r="G92" s="210">
        <v>2057.217359892637</v>
      </c>
      <c r="H92" s="210">
        <v>2012.5473521436063</v>
      </c>
      <c r="I92" s="210">
        <v>578.43058999999994</v>
      </c>
      <c r="J92" s="210">
        <v>584.69041700000002</v>
      </c>
      <c r="K92" s="210">
        <v>633.91761999999994</v>
      </c>
      <c r="L92" s="210">
        <v>489.28593000000001</v>
      </c>
      <c r="M92" s="210">
        <v>495.44047</v>
      </c>
      <c r="N92" s="210">
        <v>364.85187000000002</v>
      </c>
      <c r="O92" s="210">
        <v>365.32765837200003</v>
      </c>
      <c r="P92" s="210">
        <v>365.32765837200003</v>
      </c>
      <c r="Q92" s="210">
        <v>365.32765837200003</v>
      </c>
      <c r="R92" s="210">
        <v>365.32765837200003</v>
      </c>
      <c r="S92" s="210"/>
      <c r="T92" s="210"/>
      <c r="U92" s="210"/>
      <c r="V92" s="209"/>
      <c r="W92" s="209"/>
      <c r="X92" s="209"/>
      <c r="Y92" s="209"/>
    </row>
    <row r="93" spans="1:25" x14ac:dyDescent="0.2">
      <c r="A93" s="198">
        <v>257</v>
      </c>
      <c r="B93" s="236" t="s">
        <v>228</v>
      </c>
      <c r="C93" s="197">
        <v>1</v>
      </c>
      <c r="D93" s="210">
        <v>171018.45166999998</v>
      </c>
      <c r="E93" s="210">
        <v>172991.07177944321</v>
      </c>
      <c r="F93" s="210">
        <v>182908.12815760451</v>
      </c>
      <c r="G93" s="210">
        <v>87567.642234879444</v>
      </c>
      <c r="H93" s="210">
        <v>83451.830058741543</v>
      </c>
      <c r="I93" s="210">
        <v>7264.7936200000004</v>
      </c>
      <c r="J93" s="210">
        <v>6743.5020770000001</v>
      </c>
      <c r="K93" s="210">
        <v>7282.2771600000005</v>
      </c>
      <c r="L93" s="210">
        <v>5620.7867399999996</v>
      </c>
      <c r="M93" s="210">
        <v>5691.4884599999996</v>
      </c>
      <c r="N93" s="210">
        <v>11436.16956</v>
      </c>
      <c r="O93" s="210">
        <v>11517.719823568797</v>
      </c>
      <c r="P93" s="210">
        <v>11517.719823568797</v>
      </c>
      <c r="Q93" s="210">
        <v>11517.719823568797</v>
      </c>
      <c r="R93" s="210">
        <v>11517.719823568797</v>
      </c>
      <c r="S93" s="210"/>
      <c r="T93" s="210"/>
      <c r="U93" s="210"/>
      <c r="V93" s="209"/>
      <c r="W93" s="209"/>
      <c r="X93" s="209"/>
      <c r="Y93" s="209"/>
    </row>
    <row r="94" spans="1:25" x14ac:dyDescent="0.2">
      <c r="A94" s="198">
        <v>260</v>
      </c>
      <c r="B94" s="199" t="s">
        <v>229</v>
      </c>
      <c r="C94" s="197">
        <v>12</v>
      </c>
      <c r="D94" s="210">
        <v>28980.180479999999</v>
      </c>
      <c r="E94" s="210">
        <v>27915.688426256547</v>
      </c>
      <c r="F94" s="210">
        <v>29532.504847535871</v>
      </c>
      <c r="G94" s="210">
        <v>15631.945374157256</v>
      </c>
      <c r="H94" s="210">
        <v>15435.92289077235</v>
      </c>
      <c r="I94" s="210">
        <v>2594.07942</v>
      </c>
      <c r="J94" s="210">
        <v>2173.0242920000001</v>
      </c>
      <c r="K94" s="210">
        <v>2354.799184</v>
      </c>
      <c r="L94" s="210">
        <v>1817.539176</v>
      </c>
      <c r="M94" s="210">
        <v>1840.4013039999998</v>
      </c>
      <c r="N94" s="210">
        <v>2747.5458399999998</v>
      </c>
      <c r="O94" s="210">
        <v>2842.8623637119999</v>
      </c>
      <c r="P94" s="210">
        <v>2842.8623637119999</v>
      </c>
      <c r="Q94" s="210">
        <v>2842.8623637119999</v>
      </c>
      <c r="R94" s="210">
        <v>2842.8623637119999</v>
      </c>
      <c r="S94" s="210"/>
      <c r="T94" s="210"/>
      <c r="U94" s="210"/>
      <c r="V94" s="209"/>
      <c r="W94" s="209"/>
      <c r="X94" s="209"/>
      <c r="Y94" s="209"/>
    </row>
    <row r="95" spans="1:25" x14ac:dyDescent="0.2">
      <c r="A95" s="198">
        <v>261</v>
      </c>
      <c r="B95" s="199" t="s">
        <v>230</v>
      </c>
      <c r="C95" s="197">
        <v>19</v>
      </c>
      <c r="D95" s="210">
        <v>19635.542359999999</v>
      </c>
      <c r="E95" s="210">
        <v>20088.179216637942</v>
      </c>
      <c r="F95" s="210">
        <v>20896.866176338732</v>
      </c>
      <c r="G95" s="210">
        <v>10776.203622835885</v>
      </c>
      <c r="H95" s="210">
        <v>10508.150162167252</v>
      </c>
      <c r="I95" s="210">
        <v>2402.2880800000003</v>
      </c>
      <c r="J95" s="210">
        <v>2182.7990080000004</v>
      </c>
      <c r="K95" s="210">
        <v>2366.0704740000001</v>
      </c>
      <c r="L95" s="210">
        <v>1826.2388610000003</v>
      </c>
      <c r="M95" s="210">
        <v>1849.2104190000002</v>
      </c>
      <c r="N95" s="210">
        <v>7106.0469699999994</v>
      </c>
      <c r="O95" s="210">
        <v>6889.0675045031994</v>
      </c>
      <c r="P95" s="210">
        <v>6889.0675045031994</v>
      </c>
      <c r="Q95" s="210">
        <v>6889.0675045031994</v>
      </c>
      <c r="R95" s="210">
        <v>6889.0675045031994</v>
      </c>
      <c r="S95" s="210"/>
      <c r="T95" s="210"/>
      <c r="U95" s="210"/>
      <c r="V95" s="209"/>
      <c r="W95" s="209"/>
      <c r="X95" s="209"/>
      <c r="Y95" s="209"/>
    </row>
    <row r="96" spans="1:25" x14ac:dyDescent="0.2">
      <c r="A96" s="198">
        <v>263</v>
      </c>
      <c r="B96" s="199" t="s">
        <v>231</v>
      </c>
      <c r="C96" s="197">
        <v>11</v>
      </c>
      <c r="D96" s="210">
        <v>20787.471920000004</v>
      </c>
      <c r="E96" s="210">
        <v>20571.527296182485</v>
      </c>
      <c r="F96" s="210">
        <v>21519.622197983645</v>
      </c>
      <c r="G96" s="210">
        <v>11160.127142120291</v>
      </c>
      <c r="H96" s="210">
        <v>10932.136002198176</v>
      </c>
      <c r="I96" s="210">
        <v>1985.7261699999999</v>
      </c>
      <c r="J96" s="210">
        <v>1861.0462620000001</v>
      </c>
      <c r="K96" s="210">
        <v>2013.218842</v>
      </c>
      <c r="L96" s="210">
        <v>1553.8922130000003</v>
      </c>
      <c r="M96" s="210">
        <v>1573.4380270000001</v>
      </c>
      <c r="N96" s="210">
        <v>1717.1331200000002</v>
      </c>
      <c r="O96" s="210">
        <v>1693.3590483312</v>
      </c>
      <c r="P96" s="210">
        <v>1693.3590483312</v>
      </c>
      <c r="Q96" s="210">
        <v>1693.3590483312</v>
      </c>
      <c r="R96" s="210">
        <v>1693.3590483312</v>
      </c>
      <c r="S96" s="210"/>
      <c r="T96" s="210"/>
      <c r="U96" s="210"/>
      <c r="V96" s="209"/>
      <c r="W96" s="209"/>
      <c r="X96" s="209"/>
      <c r="Y96" s="209"/>
    </row>
    <row r="97" spans="1:25" x14ac:dyDescent="0.2">
      <c r="A97" s="198">
        <v>265</v>
      </c>
      <c r="B97" s="199" t="s">
        <v>232</v>
      </c>
      <c r="C97" s="197">
        <v>13</v>
      </c>
      <c r="D97" s="210">
        <v>2518.0667100000001</v>
      </c>
      <c r="E97" s="210">
        <v>2580.5518748709133</v>
      </c>
      <c r="F97" s="210">
        <v>2663.730536218668</v>
      </c>
      <c r="G97" s="210">
        <v>1475.0360016835295</v>
      </c>
      <c r="H97" s="210">
        <v>1445.7739049384843</v>
      </c>
      <c r="I97" s="210">
        <v>619.32561999999996</v>
      </c>
      <c r="J97" s="210">
        <v>628.41217900000004</v>
      </c>
      <c r="K97" s="210">
        <v>681.29082199999993</v>
      </c>
      <c r="L97" s="210">
        <v>525.850683</v>
      </c>
      <c r="M97" s="210">
        <v>532.46515699999998</v>
      </c>
      <c r="N97" s="210">
        <v>378.79338000000001</v>
      </c>
      <c r="O97" s="210">
        <v>435.40257434400002</v>
      </c>
      <c r="P97" s="210">
        <v>435.40257434400002</v>
      </c>
      <c r="Q97" s="210">
        <v>435.40257434400002</v>
      </c>
      <c r="R97" s="210">
        <v>435.40257434400002</v>
      </c>
      <c r="S97" s="210"/>
      <c r="T97" s="210"/>
      <c r="U97" s="210"/>
      <c r="V97" s="209"/>
      <c r="W97" s="209"/>
      <c r="X97" s="209"/>
      <c r="Y97" s="209"/>
    </row>
    <row r="98" spans="1:25" x14ac:dyDescent="0.2">
      <c r="A98" s="198">
        <v>271</v>
      </c>
      <c r="B98" s="199" t="s">
        <v>233</v>
      </c>
      <c r="C98" s="197">
        <v>4</v>
      </c>
      <c r="D98" s="210">
        <v>22875.123940000001</v>
      </c>
      <c r="E98" s="210">
        <v>22946.297573553573</v>
      </c>
      <c r="F98" s="210">
        <v>23770.382671046285</v>
      </c>
      <c r="G98" s="210">
        <v>12809.958731104687</v>
      </c>
      <c r="H98" s="210">
        <v>12640.231772694251</v>
      </c>
      <c r="I98" s="210">
        <v>1652.7353700000001</v>
      </c>
      <c r="J98" s="210">
        <v>1237.718918</v>
      </c>
      <c r="K98" s="210">
        <v>1333.7268119999999</v>
      </c>
      <c r="L98" s="210">
        <v>1029.4299179999998</v>
      </c>
      <c r="M98" s="210">
        <v>1042.3787219999999</v>
      </c>
      <c r="N98" s="210">
        <v>2300.7796600000001</v>
      </c>
      <c r="O98" s="210">
        <v>2495.1367845696</v>
      </c>
      <c r="P98" s="210">
        <v>2495.1367845696</v>
      </c>
      <c r="Q98" s="210">
        <v>2495.1367845696</v>
      </c>
      <c r="R98" s="210">
        <v>2495.1367845696</v>
      </c>
      <c r="S98" s="210"/>
      <c r="T98" s="210"/>
      <c r="U98" s="210"/>
      <c r="V98" s="209"/>
      <c r="W98" s="209"/>
      <c r="X98" s="209"/>
      <c r="Y98" s="209"/>
    </row>
    <row r="99" spans="1:25" x14ac:dyDescent="0.2">
      <c r="A99" s="198">
        <v>272</v>
      </c>
      <c r="B99" s="237" t="s">
        <v>234</v>
      </c>
      <c r="C99" s="197">
        <v>16</v>
      </c>
      <c r="D99" s="210">
        <v>159223.45509</v>
      </c>
      <c r="E99" s="210">
        <v>162075.74528485871</v>
      </c>
      <c r="F99" s="210">
        <v>169441.6095218703</v>
      </c>
      <c r="G99" s="210">
        <v>92627.177440173866</v>
      </c>
      <c r="H99" s="210">
        <v>90646.707307198754</v>
      </c>
      <c r="I99" s="210">
        <v>16028.02318</v>
      </c>
      <c r="J99" s="210">
        <v>16027.113090999999</v>
      </c>
      <c r="K99" s="210">
        <v>17362.45147</v>
      </c>
      <c r="L99" s="210">
        <v>13401.115455000001</v>
      </c>
      <c r="M99" s="210">
        <v>13569.682945</v>
      </c>
      <c r="N99" s="210">
        <v>15457.07964</v>
      </c>
      <c r="O99" s="210">
        <v>15334.851163116002</v>
      </c>
      <c r="P99" s="210">
        <v>15334.851163116002</v>
      </c>
      <c r="Q99" s="210">
        <v>15334.851163116002</v>
      </c>
      <c r="R99" s="210">
        <v>15334.851163116002</v>
      </c>
      <c r="S99" s="210"/>
      <c r="T99" s="210"/>
      <c r="U99" s="210"/>
      <c r="V99" s="209"/>
      <c r="W99" s="209"/>
      <c r="X99" s="209"/>
      <c r="Y99" s="209"/>
    </row>
    <row r="100" spans="1:25" x14ac:dyDescent="0.2">
      <c r="A100" s="198">
        <v>273</v>
      </c>
      <c r="B100" s="199" t="s">
        <v>235</v>
      </c>
      <c r="C100" s="197">
        <v>19</v>
      </c>
      <c r="D100" s="210">
        <v>9989.8071500000005</v>
      </c>
      <c r="E100" s="210">
        <v>10754.810927907931</v>
      </c>
      <c r="F100" s="210">
        <v>10744.48028031887</v>
      </c>
      <c r="G100" s="210">
        <v>5609.0039003599422</v>
      </c>
      <c r="H100" s="210">
        <v>5476.1983612764343</v>
      </c>
      <c r="I100" s="210">
        <v>731.94803999999999</v>
      </c>
      <c r="J100" s="210">
        <v>801.30096900000001</v>
      </c>
      <c r="K100" s="210">
        <v>868.25250799999992</v>
      </c>
      <c r="L100" s="210">
        <v>670.15606200000002</v>
      </c>
      <c r="M100" s="210">
        <v>678.58569799999987</v>
      </c>
      <c r="N100" s="210">
        <v>3409.5943500000003</v>
      </c>
      <c r="O100" s="210">
        <v>3695.0538686735995</v>
      </c>
      <c r="P100" s="210">
        <v>3695.0538686735995</v>
      </c>
      <c r="Q100" s="210">
        <v>3695.0538686735995</v>
      </c>
      <c r="R100" s="210">
        <v>3695.0538686735995</v>
      </c>
      <c r="S100" s="210"/>
      <c r="T100" s="210"/>
      <c r="U100" s="210"/>
      <c r="V100" s="209"/>
      <c r="W100" s="209"/>
      <c r="X100" s="209"/>
      <c r="Y100" s="209"/>
    </row>
    <row r="101" spans="1:25" x14ac:dyDescent="0.2">
      <c r="A101" s="198">
        <v>275</v>
      </c>
      <c r="B101" s="199" t="s">
        <v>236</v>
      </c>
      <c r="C101" s="197">
        <v>13</v>
      </c>
      <c r="D101" s="210">
        <v>7240.6897399999998</v>
      </c>
      <c r="E101" s="210">
        <v>7447.73763123352</v>
      </c>
      <c r="F101" s="210">
        <v>7775.7489048060052</v>
      </c>
      <c r="G101" s="210">
        <v>4272.9224379609705</v>
      </c>
      <c r="H101" s="210">
        <v>4221.9183736820551</v>
      </c>
      <c r="I101" s="210">
        <v>807.94418000000007</v>
      </c>
      <c r="J101" s="210">
        <v>831.63252399999999</v>
      </c>
      <c r="K101" s="210">
        <v>901.40903199999991</v>
      </c>
      <c r="L101" s="210">
        <v>695.747748</v>
      </c>
      <c r="M101" s="210">
        <v>704.49929199999997</v>
      </c>
      <c r="N101" s="210">
        <v>765.24507999999992</v>
      </c>
      <c r="O101" s="210">
        <v>779.30974138800002</v>
      </c>
      <c r="P101" s="210">
        <v>779.30974138800002</v>
      </c>
      <c r="Q101" s="210">
        <v>779.30974138800002</v>
      </c>
      <c r="R101" s="210">
        <v>779.30974138800002</v>
      </c>
      <c r="S101" s="210"/>
      <c r="T101" s="210"/>
      <c r="U101" s="210"/>
      <c r="V101" s="209"/>
      <c r="W101" s="209"/>
      <c r="X101" s="209"/>
      <c r="Y101" s="209"/>
    </row>
    <row r="102" spans="1:25" x14ac:dyDescent="0.2">
      <c r="A102" s="198">
        <v>276</v>
      </c>
      <c r="B102" s="199" t="s">
        <v>237</v>
      </c>
      <c r="C102" s="197">
        <v>12</v>
      </c>
      <c r="D102" s="210">
        <v>46162.355869999999</v>
      </c>
      <c r="E102" s="210">
        <v>46745.2617502957</v>
      </c>
      <c r="F102" s="210">
        <v>49699.053476888505</v>
      </c>
      <c r="G102" s="210">
        <v>25758.974069471398</v>
      </c>
      <c r="H102" s="210">
        <v>24892.391704746307</v>
      </c>
      <c r="I102" s="210">
        <v>1873.19895</v>
      </c>
      <c r="J102" s="210">
        <v>1449.338667</v>
      </c>
      <c r="K102" s="210">
        <v>1569.3012020000001</v>
      </c>
      <c r="L102" s="210">
        <v>1211.2567530000001</v>
      </c>
      <c r="M102" s="210">
        <v>1226.4926870000002</v>
      </c>
      <c r="N102" s="210">
        <v>2721.1923700000002</v>
      </c>
      <c r="O102" s="210">
        <v>2765.8736956727994</v>
      </c>
      <c r="P102" s="210">
        <v>2765.8736956727994</v>
      </c>
      <c r="Q102" s="210">
        <v>2765.8736956727994</v>
      </c>
      <c r="R102" s="210">
        <v>2765.8736956727994</v>
      </c>
      <c r="S102" s="210"/>
      <c r="T102" s="210"/>
      <c r="U102" s="210"/>
      <c r="V102" s="209"/>
      <c r="W102" s="209"/>
      <c r="X102" s="209"/>
      <c r="Y102" s="209"/>
    </row>
    <row r="103" spans="1:25" x14ac:dyDescent="0.2">
      <c r="A103" s="198">
        <v>280</v>
      </c>
      <c r="B103" s="199" t="s">
        <v>238</v>
      </c>
      <c r="C103" s="197">
        <v>15</v>
      </c>
      <c r="D103" s="210">
        <v>5403.7271300000002</v>
      </c>
      <c r="E103" s="210">
        <v>5392.6095512716693</v>
      </c>
      <c r="F103" s="210">
        <v>5601.9675182884057</v>
      </c>
      <c r="G103" s="210">
        <v>3141.8369880907753</v>
      </c>
      <c r="H103" s="210">
        <v>3075.7243282278623</v>
      </c>
      <c r="I103" s="210">
        <v>974.50162</v>
      </c>
      <c r="J103" s="210">
        <v>867.03172499999994</v>
      </c>
      <c r="K103" s="210">
        <v>939.34537399999999</v>
      </c>
      <c r="L103" s="210">
        <v>725.02871099999993</v>
      </c>
      <c r="M103" s="210">
        <v>734.14856899999984</v>
      </c>
      <c r="N103" s="210">
        <v>708.59680000000003</v>
      </c>
      <c r="O103" s="210">
        <v>743.77684525680002</v>
      </c>
      <c r="P103" s="210">
        <v>743.77684525680002</v>
      </c>
      <c r="Q103" s="210">
        <v>743.77684525680002</v>
      </c>
      <c r="R103" s="210">
        <v>743.77684525680002</v>
      </c>
      <c r="S103" s="210"/>
      <c r="T103" s="210"/>
      <c r="U103" s="210"/>
      <c r="V103" s="209"/>
      <c r="W103" s="209"/>
      <c r="X103" s="209"/>
      <c r="Y103" s="209"/>
    </row>
    <row r="104" spans="1:25" x14ac:dyDescent="0.2">
      <c r="A104" s="198">
        <v>284</v>
      </c>
      <c r="B104" s="199" t="s">
        <v>239</v>
      </c>
      <c r="C104" s="197">
        <v>2</v>
      </c>
      <c r="D104" s="210">
        <v>6359.4108799999995</v>
      </c>
      <c r="E104" s="210">
        <v>5955.8866850202166</v>
      </c>
      <c r="F104" s="210">
        <v>6406.5666953438149</v>
      </c>
      <c r="G104" s="210">
        <v>3077.0829398432898</v>
      </c>
      <c r="H104" s="210">
        <v>2979.6640597734627</v>
      </c>
      <c r="I104" s="210">
        <v>543.47844999999995</v>
      </c>
      <c r="J104" s="210">
        <v>619.47912800000006</v>
      </c>
      <c r="K104" s="210">
        <v>672.01999799999999</v>
      </c>
      <c r="L104" s="210">
        <v>518.69504700000005</v>
      </c>
      <c r="M104" s="210">
        <v>525.21951299999989</v>
      </c>
      <c r="N104" s="210">
        <v>536.01035999999999</v>
      </c>
      <c r="O104" s="210">
        <v>522.44899056240001</v>
      </c>
      <c r="P104" s="210">
        <v>522.44899056240001</v>
      </c>
      <c r="Q104" s="210">
        <v>522.44899056240001</v>
      </c>
      <c r="R104" s="210">
        <v>522.44899056240001</v>
      </c>
      <c r="S104" s="210"/>
      <c r="T104" s="210"/>
      <c r="U104" s="210"/>
      <c r="V104" s="209"/>
      <c r="W104" s="209"/>
      <c r="X104" s="209"/>
      <c r="Y104" s="209"/>
    </row>
    <row r="105" spans="1:25" x14ac:dyDescent="0.2">
      <c r="A105" s="198">
        <v>285</v>
      </c>
      <c r="B105" s="199" t="s">
        <v>240</v>
      </c>
      <c r="C105" s="197">
        <v>8</v>
      </c>
      <c r="D105" s="210">
        <v>191006.38755000001</v>
      </c>
      <c r="E105" s="210">
        <v>193336.6563028465</v>
      </c>
      <c r="F105" s="210">
        <v>201079.10157879654</v>
      </c>
      <c r="G105" s="210">
        <v>105891.24756299963</v>
      </c>
      <c r="H105" s="210">
        <v>104153.27895241586</v>
      </c>
      <c r="I105" s="210">
        <v>10128.325919999999</v>
      </c>
      <c r="J105" s="210">
        <v>9821.6964740000003</v>
      </c>
      <c r="K105" s="210">
        <v>10627.50704</v>
      </c>
      <c r="L105" s="210">
        <v>8202.7845600000001</v>
      </c>
      <c r="M105" s="210">
        <v>8305.9642399999993</v>
      </c>
      <c r="N105" s="210">
        <v>15045.884800000002</v>
      </c>
      <c r="O105" s="210">
        <v>15072.601498800001</v>
      </c>
      <c r="P105" s="210">
        <v>15072.601498800001</v>
      </c>
      <c r="Q105" s="210">
        <v>15072.601498800001</v>
      </c>
      <c r="R105" s="210">
        <v>15072.601498800001</v>
      </c>
      <c r="S105" s="210"/>
      <c r="T105" s="210"/>
      <c r="U105" s="210"/>
      <c r="V105" s="209"/>
      <c r="W105" s="209"/>
      <c r="X105" s="209"/>
      <c r="Y105" s="209"/>
    </row>
    <row r="106" spans="1:25" x14ac:dyDescent="0.2">
      <c r="A106" s="198">
        <v>286</v>
      </c>
      <c r="B106" s="199" t="s">
        <v>241</v>
      </c>
      <c r="C106" s="197">
        <v>8</v>
      </c>
      <c r="D106" s="210">
        <v>289189.36488000001</v>
      </c>
      <c r="E106" s="210">
        <v>291520.39804149565</v>
      </c>
      <c r="F106" s="210">
        <v>303297.20139215357</v>
      </c>
      <c r="G106" s="210">
        <v>154154.83616865709</v>
      </c>
      <c r="H106" s="210">
        <v>150877.60704732174</v>
      </c>
      <c r="I106" s="210">
        <v>20631.094809999999</v>
      </c>
      <c r="J106" s="210">
        <v>20813.471135</v>
      </c>
      <c r="K106" s="210">
        <v>22548.715504</v>
      </c>
      <c r="L106" s="210">
        <v>17404.105656</v>
      </c>
      <c r="M106" s="210">
        <v>17623.025224000001</v>
      </c>
      <c r="N106" s="210">
        <v>28306.380239999999</v>
      </c>
      <c r="O106" s="210">
        <v>28022.120864303994</v>
      </c>
      <c r="P106" s="210">
        <v>28022.120864303994</v>
      </c>
      <c r="Q106" s="210">
        <v>28022.120864303994</v>
      </c>
      <c r="R106" s="210">
        <v>28022.120864303994</v>
      </c>
      <c r="S106" s="210"/>
      <c r="T106" s="210"/>
      <c r="U106" s="210"/>
      <c r="V106" s="209"/>
      <c r="W106" s="209"/>
      <c r="X106" s="209"/>
      <c r="Y106" s="209"/>
    </row>
    <row r="107" spans="1:25" x14ac:dyDescent="0.2">
      <c r="A107" s="198">
        <v>287</v>
      </c>
      <c r="B107" s="237" t="s">
        <v>242</v>
      </c>
      <c r="C107" s="197">
        <v>15</v>
      </c>
      <c r="D107" s="210">
        <v>20405.436329999997</v>
      </c>
      <c r="E107" s="210">
        <v>20258.134117151163</v>
      </c>
      <c r="F107" s="210">
        <v>20940.843547230899</v>
      </c>
      <c r="G107" s="210">
        <v>11295.88774481479</v>
      </c>
      <c r="H107" s="210">
        <v>11160.538707460168</v>
      </c>
      <c r="I107" s="210">
        <v>1573.4136799999999</v>
      </c>
      <c r="J107" s="210">
        <v>1563.832846</v>
      </c>
      <c r="K107" s="210">
        <v>1695.1840940000002</v>
      </c>
      <c r="L107" s="210">
        <v>1308.4187910000001</v>
      </c>
      <c r="M107" s="210">
        <v>1324.8768889999999</v>
      </c>
      <c r="N107" s="210">
        <v>2118.3498799999998</v>
      </c>
      <c r="O107" s="210">
        <v>2718.4738443624005</v>
      </c>
      <c r="P107" s="210">
        <v>2718.4738443624005</v>
      </c>
      <c r="Q107" s="210">
        <v>2718.4738443624005</v>
      </c>
      <c r="R107" s="210">
        <v>2718.4738443624005</v>
      </c>
      <c r="S107" s="210"/>
      <c r="T107" s="210"/>
      <c r="U107" s="210"/>
      <c r="V107" s="209"/>
      <c r="W107" s="209"/>
      <c r="X107" s="209"/>
      <c r="Y107" s="209"/>
    </row>
    <row r="108" spans="1:25" x14ac:dyDescent="0.2">
      <c r="A108" s="198">
        <v>288</v>
      </c>
      <c r="B108" s="199" t="s">
        <v>243</v>
      </c>
      <c r="C108" s="197">
        <v>15</v>
      </c>
      <c r="D108" s="210">
        <v>18707.031440000002</v>
      </c>
      <c r="E108" s="210">
        <v>20197.253683128958</v>
      </c>
      <c r="F108" s="210">
        <v>20907.550787896904</v>
      </c>
      <c r="G108" s="210">
        <v>11748.221578152741</v>
      </c>
      <c r="H108" s="210">
        <v>11464.586953498479</v>
      </c>
      <c r="I108" s="210">
        <v>2466.58853</v>
      </c>
      <c r="J108" s="210">
        <v>2396.0273490000004</v>
      </c>
      <c r="K108" s="210">
        <v>2600.6968520000005</v>
      </c>
      <c r="L108" s="210">
        <v>2007.3339779999999</v>
      </c>
      <c r="M108" s="210">
        <v>2032.5834620000003</v>
      </c>
      <c r="N108" s="210">
        <v>1584.5253400000001</v>
      </c>
      <c r="O108" s="210">
        <v>1803.9903978000002</v>
      </c>
      <c r="P108" s="210">
        <v>1803.9903978000002</v>
      </c>
      <c r="Q108" s="210">
        <v>1803.9903978000002</v>
      </c>
      <c r="R108" s="210">
        <v>1803.9903978000002</v>
      </c>
      <c r="S108" s="210"/>
      <c r="T108" s="210"/>
      <c r="U108" s="210"/>
      <c r="V108" s="209"/>
      <c r="W108" s="209"/>
      <c r="X108" s="209"/>
      <c r="Y108" s="209"/>
    </row>
    <row r="109" spans="1:25" x14ac:dyDescent="0.2">
      <c r="A109" s="198">
        <v>290</v>
      </c>
      <c r="B109" s="199" t="s">
        <v>244</v>
      </c>
      <c r="C109" s="197">
        <v>18</v>
      </c>
      <c r="D109" s="210">
        <v>23768.058590000001</v>
      </c>
      <c r="E109" s="210">
        <v>23679.31764719342</v>
      </c>
      <c r="F109" s="210">
        <v>24345.782667008883</v>
      </c>
      <c r="G109" s="210">
        <v>12923.361871963112</v>
      </c>
      <c r="H109" s="210">
        <v>12779.262520941533</v>
      </c>
      <c r="I109" s="210">
        <v>3190.2775499999998</v>
      </c>
      <c r="J109" s="210">
        <v>2921.689069</v>
      </c>
      <c r="K109" s="210">
        <v>3163.8726299999998</v>
      </c>
      <c r="L109" s="210">
        <v>2442.0181950000001</v>
      </c>
      <c r="M109" s="210">
        <v>2472.7354049999999</v>
      </c>
      <c r="N109" s="210">
        <v>2140.7584999999999</v>
      </c>
      <c r="O109" s="210">
        <v>2115.7563479568003</v>
      </c>
      <c r="P109" s="210">
        <v>2115.7563479568003</v>
      </c>
      <c r="Q109" s="210">
        <v>2115.7563479568003</v>
      </c>
      <c r="R109" s="210">
        <v>2115.7563479568003</v>
      </c>
      <c r="S109" s="210"/>
      <c r="T109" s="210"/>
      <c r="U109" s="210"/>
      <c r="V109" s="209"/>
      <c r="W109" s="209"/>
      <c r="X109" s="209"/>
      <c r="Y109" s="209"/>
    </row>
    <row r="110" spans="1:25" x14ac:dyDescent="0.2">
      <c r="A110" s="198">
        <v>291</v>
      </c>
      <c r="B110" s="199" t="s">
        <v>245</v>
      </c>
      <c r="C110" s="197">
        <v>13</v>
      </c>
      <c r="D110" s="210">
        <v>5720.3952599999993</v>
      </c>
      <c r="E110" s="210">
        <v>5979.8652672888302</v>
      </c>
      <c r="F110" s="210">
        <v>5980.3076273593861</v>
      </c>
      <c r="G110" s="210">
        <v>3084.6527135834531</v>
      </c>
      <c r="H110" s="210">
        <v>3027.8068811489334</v>
      </c>
      <c r="I110" s="210">
        <v>1005.6965</v>
      </c>
      <c r="J110" s="210">
        <v>1029.9149580000001</v>
      </c>
      <c r="K110" s="210">
        <v>1117.1425320000001</v>
      </c>
      <c r="L110" s="210">
        <v>862.26049799999987</v>
      </c>
      <c r="M110" s="210">
        <v>873.10654199999999</v>
      </c>
      <c r="N110" s="210">
        <v>1340.7714799999999</v>
      </c>
      <c r="O110" s="210">
        <v>1335.1669247040002</v>
      </c>
      <c r="P110" s="210">
        <v>1335.1669247040002</v>
      </c>
      <c r="Q110" s="210">
        <v>1335.1669247040002</v>
      </c>
      <c r="R110" s="210">
        <v>1335.1669247040002</v>
      </c>
      <c r="S110" s="210"/>
      <c r="T110" s="210"/>
      <c r="U110" s="210"/>
      <c r="V110" s="209"/>
      <c r="W110" s="209"/>
      <c r="X110" s="209"/>
      <c r="Y110" s="209"/>
    </row>
    <row r="111" spans="1:25" x14ac:dyDescent="0.2">
      <c r="A111" s="198">
        <v>297</v>
      </c>
      <c r="B111" s="199" t="s">
        <v>246</v>
      </c>
      <c r="C111" s="197">
        <v>11</v>
      </c>
      <c r="D111" s="210">
        <v>388774.47106999997</v>
      </c>
      <c r="E111" s="210">
        <v>389723.12590982777</v>
      </c>
      <c r="F111" s="210">
        <v>412417.65935074998</v>
      </c>
      <c r="G111" s="210">
        <v>212652.4103878384</v>
      </c>
      <c r="H111" s="210">
        <v>206216.95858571591</v>
      </c>
      <c r="I111" s="210">
        <v>25536.82243</v>
      </c>
      <c r="J111" s="210">
        <v>24452.113984</v>
      </c>
      <c r="K111" s="210">
        <v>26518.906329999998</v>
      </c>
      <c r="L111" s="210">
        <v>20468.476245000002</v>
      </c>
      <c r="M111" s="210">
        <v>20725.941354999999</v>
      </c>
      <c r="N111" s="210">
        <v>38433.516360000001</v>
      </c>
      <c r="O111" s="210">
        <v>38460.033508291192</v>
      </c>
      <c r="P111" s="210">
        <v>38460.033508291192</v>
      </c>
      <c r="Q111" s="210">
        <v>38460.033508291192</v>
      </c>
      <c r="R111" s="210">
        <v>38460.033508291192</v>
      </c>
      <c r="S111" s="210"/>
      <c r="T111" s="210"/>
      <c r="U111" s="210"/>
      <c r="V111" s="209"/>
      <c r="W111" s="209"/>
      <c r="X111" s="209"/>
      <c r="Y111" s="209"/>
    </row>
    <row r="112" spans="1:25" x14ac:dyDescent="0.2">
      <c r="A112" s="198">
        <v>300</v>
      </c>
      <c r="B112" s="199" t="s">
        <v>247</v>
      </c>
      <c r="C112" s="197">
        <v>14</v>
      </c>
      <c r="D112" s="210">
        <v>9699.9804399999994</v>
      </c>
      <c r="E112" s="210">
        <v>9545.80969670587</v>
      </c>
      <c r="F112" s="210">
        <v>9882.2533998260933</v>
      </c>
      <c r="G112" s="210">
        <v>5216.4475115455925</v>
      </c>
      <c r="H112" s="210">
        <v>5126.1837757261164</v>
      </c>
      <c r="I112" s="210">
        <v>755.04971999999998</v>
      </c>
      <c r="J112" s="210">
        <v>719.05370900000003</v>
      </c>
      <c r="K112" s="210">
        <v>779.22260399999993</v>
      </c>
      <c r="L112" s="210">
        <v>601.438806</v>
      </c>
      <c r="M112" s="210">
        <v>609.00407399999995</v>
      </c>
      <c r="N112" s="210">
        <v>848.89082999999994</v>
      </c>
      <c r="O112" s="210">
        <v>839.50681586880012</v>
      </c>
      <c r="P112" s="210">
        <v>839.50681586880012</v>
      </c>
      <c r="Q112" s="210">
        <v>839.50681586880012</v>
      </c>
      <c r="R112" s="210">
        <v>839.50681586880012</v>
      </c>
      <c r="S112" s="210"/>
      <c r="T112" s="210"/>
      <c r="U112" s="210"/>
      <c r="V112" s="209"/>
      <c r="W112" s="209"/>
      <c r="X112" s="209"/>
      <c r="Y112" s="209"/>
    </row>
    <row r="113" spans="1:25" x14ac:dyDescent="0.2">
      <c r="A113" s="198">
        <v>301</v>
      </c>
      <c r="B113" s="199" t="s">
        <v>248</v>
      </c>
      <c r="C113" s="197">
        <v>14</v>
      </c>
      <c r="D113" s="210">
        <v>57838.90812</v>
      </c>
      <c r="E113" s="210">
        <v>58593.150798077862</v>
      </c>
      <c r="F113" s="210">
        <v>61085.652136445249</v>
      </c>
      <c r="G113" s="210">
        <v>32214.324704448958</v>
      </c>
      <c r="H113" s="210">
        <v>31577.435437378834</v>
      </c>
      <c r="I113" s="210">
        <v>4317.6903400000001</v>
      </c>
      <c r="J113" s="210">
        <v>4116.3912369999998</v>
      </c>
      <c r="K113" s="210">
        <v>4451.5388720000001</v>
      </c>
      <c r="L113" s="210">
        <v>3435.8965080000003</v>
      </c>
      <c r="M113" s="210">
        <v>3479.1153320000003</v>
      </c>
      <c r="N113" s="210">
        <v>4335.6850400000003</v>
      </c>
      <c r="O113" s="210">
        <v>4392.0743362344001</v>
      </c>
      <c r="P113" s="210">
        <v>4392.0743362344001</v>
      </c>
      <c r="Q113" s="210">
        <v>4392.0743362344001</v>
      </c>
      <c r="R113" s="210">
        <v>4392.0743362344001</v>
      </c>
      <c r="S113" s="210"/>
      <c r="T113" s="210"/>
      <c r="U113" s="210"/>
      <c r="V113" s="209"/>
      <c r="W113" s="209"/>
      <c r="X113" s="209"/>
      <c r="Y113" s="209"/>
    </row>
    <row r="114" spans="1:25" x14ac:dyDescent="0.2">
      <c r="A114" s="198">
        <v>304</v>
      </c>
      <c r="B114" s="199" t="s">
        <v>249</v>
      </c>
      <c r="C114" s="197">
        <v>2</v>
      </c>
      <c r="D114" s="210">
        <v>2425.1845499999999</v>
      </c>
      <c r="E114" s="210">
        <v>2860.0694794546016</v>
      </c>
      <c r="F114" s="210">
        <v>2773.6462888812225</v>
      </c>
      <c r="G114" s="210">
        <v>1315.7882878835521</v>
      </c>
      <c r="H114" s="210">
        <v>1263.0793835226309</v>
      </c>
      <c r="I114" s="210">
        <v>201.19039999999998</v>
      </c>
      <c r="J114" s="210">
        <v>232.98742399999998</v>
      </c>
      <c r="K114" s="210">
        <v>252.84481199999996</v>
      </c>
      <c r="L114" s="210">
        <v>195.15691799999996</v>
      </c>
      <c r="M114" s="210">
        <v>197.61172199999999</v>
      </c>
      <c r="N114" s="210">
        <v>1402.4219399999999</v>
      </c>
      <c r="O114" s="210">
        <v>1413.2273077824</v>
      </c>
      <c r="P114" s="210">
        <v>1413.2273077824</v>
      </c>
      <c r="Q114" s="210">
        <v>1413.2273077824</v>
      </c>
      <c r="R114" s="210">
        <v>1413.2273077824</v>
      </c>
      <c r="S114" s="210"/>
      <c r="T114" s="210"/>
      <c r="U114" s="210"/>
      <c r="V114" s="209"/>
      <c r="W114" s="209"/>
      <c r="X114" s="209"/>
      <c r="Y114" s="209"/>
    </row>
    <row r="115" spans="1:25" x14ac:dyDescent="0.2">
      <c r="A115" s="198">
        <v>305</v>
      </c>
      <c r="B115" s="199" t="s">
        <v>250</v>
      </c>
      <c r="C115" s="197">
        <v>17</v>
      </c>
      <c r="D115" s="210">
        <v>41782.841500000002</v>
      </c>
      <c r="E115" s="210">
        <v>41565.116371390824</v>
      </c>
      <c r="F115" s="210">
        <v>43292.564842160929</v>
      </c>
      <c r="G115" s="210">
        <v>21727.009295904376</v>
      </c>
      <c r="H115" s="210">
        <v>21121.799815339436</v>
      </c>
      <c r="I115" s="210">
        <v>4066.8434300000004</v>
      </c>
      <c r="J115" s="210">
        <v>3949.0012139999999</v>
      </c>
      <c r="K115" s="210">
        <v>4276.8024619999997</v>
      </c>
      <c r="L115" s="210">
        <v>3301.0271429999998</v>
      </c>
      <c r="M115" s="210">
        <v>3342.549497</v>
      </c>
      <c r="N115" s="210">
        <v>6736.5134100000005</v>
      </c>
      <c r="O115" s="210">
        <v>7246.1457538080003</v>
      </c>
      <c r="P115" s="210">
        <v>7246.1457538080003</v>
      </c>
      <c r="Q115" s="210">
        <v>7246.1457538080003</v>
      </c>
      <c r="R115" s="210">
        <v>7246.1457538080003</v>
      </c>
      <c r="S115" s="210"/>
      <c r="T115" s="210"/>
      <c r="U115" s="210"/>
      <c r="V115" s="209"/>
      <c r="W115" s="209"/>
      <c r="X115" s="209"/>
      <c r="Y115" s="209"/>
    </row>
    <row r="116" spans="1:25" x14ac:dyDescent="0.2">
      <c r="A116" s="198">
        <v>312</v>
      </c>
      <c r="B116" s="199" t="s">
        <v>251</v>
      </c>
      <c r="C116" s="197">
        <v>13</v>
      </c>
      <c r="D116" s="210">
        <v>3422.66246</v>
      </c>
      <c r="E116" s="210">
        <v>3647.8814973820363</v>
      </c>
      <c r="F116" s="210">
        <v>3688.8460015163037</v>
      </c>
      <c r="G116" s="210">
        <v>1966.8464168118965</v>
      </c>
      <c r="H116" s="210">
        <v>1956.1617129611684</v>
      </c>
      <c r="I116" s="210">
        <v>577.0068</v>
      </c>
      <c r="J116" s="210">
        <v>624.64016199999992</v>
      </c>
      <c r="K116" s="210">
        <v>676.55199799999991</v>
      </c>
      <c r="L116" s="210">
        <v>522.19304699999998</v>
      </c>
      <c r="M116" s="210">
        <v>528.76151299999992</v>
      </c>
      <c r="N116" s="210">
        <v>320.68011999999999</v>
      </c>
      <c r="O116" s="210">
        <v>382.44053619600004</v>
      </c>
      <c r="P116" s="210">
        <v>382.44053619600004</v>
      </c>
      <c r="Q116" s="210">
        <v>382.44053619600004</v>
      </c>
      <c r="R116" s="210">
        <v>382.44053619600004</v>
      </c>
      <c r="S116" s="210"/>
      <c r="T116" s="210"/>
      <c r="U116" s="210"/>
      <c r="V116" s="209"/>
      <c r="W116" s="209"/>
      <c r="X116" s="209"/>
      <c r="Y116" s="209"/>
    </row>
    <row r="117" spans="1:25" x14ac:dyDescent="0.2">
      <c r="A117" s="198">
        <v>316</v>
      </c>
      <c r="B117" s="199" t="s">
        <v>252</v>
      </c>
      <c r="C117" s="197">
        <v>7</v>
      </c>
      <c r="D117" s="210">
        <v>14789.48171</v>
      </c>
      <c r="E117" s="210">
        <v>14300.761931729425</v>
      </c>
      <c r="F117" s="210">
        <v>14920.221618221734</v>
      </c>
      <c r="G117" s="210">
        <v>8138.2769334447266</v>
      </c>
      <c r="H117" s="210">
        <v>7976.8415005134557</v>
      </c>
      <c r="I117" s="210">
        <v>735.51596999999992</v>
      </c>
      <c r="J117" s="210">
        <v>611.5053620000001</v>
      </c>
      <c r="K117" s="210">
        <v>662.58416800000009</v>
      </c>
      <c r="L117" s="210">
        <v>511.41205200000007</v>
      </c>
      <c r="M117" s="210">
        <v>517.84490800000003</v>
      </c>
      <c r="N117" s="210">
        <v>1161.3065200000001</v>
      </c>
      <c r="O117" s="210">
        <v>1117.8068734800001</v>
      </c>
      <c r="P117" s="210">
        <v>1117.8068734800001</v>
      </c>
      <c r="Q117" s="210">
        <v>1117.8068734800001</v>
      </c>
      <c r="R117" s="210">
        <v>1117.8068734800001</v>
      </c>
      <c r="S117" s="210"/>
      <c r="T117" s="210"/>
      <c r="U117" s="210"/>
      <c r="V117" s="209"/>
      <c r="W117" s="209"/>
      <c r="X117" s="209"/>
      <c r="Y117" s="209"/>
    </row>
    <row r="118" spans="1:25" x14ac:dyDescent="0.2">
      <c r="A118" s="198">
        <v>317</v>
      </c>
      <c r="B118" s="199" t="s">
        <v>253</v>
      </c>
      <c r="C118" s="211">
        <v>17</v>
      </c>
      <c r="D118" s="210">
        <v>5780.5561699999998</v>
      </c>
      <c r="E118" s="210">
        <v>5942.0427157064605</v>
      </c>
      <c r="F118" s="210">
        <v>6206.6222582992732</v>
      </c>
      <c r="G118" s="210">
        <v>3366.2064511036742</v>
      </c>
      <c r="H118" s="210">
        <v>3328.5597461618336</v>
      </c>
      <c r="I118" s="210">
        <v>626.05260999999996</v>
      </c>
      <c r="J118" s="210">
        <v>597.62221899999986</v>
      </c>
      <c r="K118" s="210">
        <v>648.1079299999999</v>
      </c>
      <c r="L118" s="210">
        <v>500.23864499999996</v>
      </c>
      <c r="M118" s="210">
        <v>506.53095500000001</v>
      </c>
      <c r="N118" s="210">
        <v>470.24837000000002</v>
      </c>
      <c r="O118" s="210">
        <v>572.82450786000004</v>
      </c>
      <c r="P118" s="210">
        <v>572.82450786000004</v>
      </c>
      <c r="Q118" s="210">
        <v>572.82450786000004</v>
      </c>
      <c r="R118" s="210">
        <v>572.82450786000004</v>
      </c>
      <c r="S118" s="210"/>
      <c r="T118" s="210"/>
      <c r="U118" s="210"/>
      <c r="V118" s="209"/>
      <c r="W118" s="209"/>
      <c r="X118" s="209"/>
      <c r="Y118" s="209"/>
    </row>
    <row r="119" spans="1:25" x14ac:dyDescent="0.2">
      <c r="A119" s="198">
        <v>398</v>
      </c>
      <c r="B119" s="199" t="s">
        <v>254</v>
      </c>
      <c r="C119" s="197">
        <v>7</v>
      </c>
      <c r="D119" s="210">
        <v>390175.45143999998</v>
      </c>
      <c r="E119" s="210">
        <v>405011.84906529135</v>
      </c>
      <c r="F119" s="210">
        <v>423604.50421980215</v>
      </c>
      <c r="G119" s="210">
        <v>217923.60254800977</v>
      </c>
      <c r="H119" s="210">
        <v>213012.12159997673</v>
      </c>
      <c r="I119" s="210">
        <v>26717.540850000001</v>
      </c>
      <c r="J119" s="210">
        <v>27932.905597000001</v>
      </c>
      <c r="K119" s="210">
        <v>30266.323400000001</v>
      </c>
      <c r="L119" s="210">
        <v>23360.900099999999</v>
      </c>
      <c r="M119" s="210">
        <v>23654.747900000002</v>
      </c>
      <c r="N119" s="210">
        <v>35897.405030000002</v>
      </c>
      <c r="O119" s="210">
        <v>40745.474527404003</v>
      </c>
      <c r="P119" s="210">
        <v>40745.474527404003</v>
      </c>
      <c r="Q119" s="210">
        <v>40745.474527404003</v>
      </c>
      <c r="R119" s="210">
        <v>40745.474527404003</v>
      </c>
      <c r="S119" s="210"/>
      <c r="T119" s="210"/>
      <c r="U119" s="210"/>
      <c r="V119" s="209"/>
      <c r="W119" s="209"/>
      <c r="X119" s="209"/>
      <c r="Y119" s="209"/>
    </row>
    <row r="120" spans="1:25" x14ac:dyDescent="0.2">
      <c r="A120" s="198">
        <v>399</v>
      </c>
      <c r="B120" s="237" t="s">
        <v>255</v>
      </c>
      <c r="C120" s="197">
        <v>15</v>
      </c>
      <c r="D120" s="210">
        <v>27661.25691</v>
      </c>
      <c r="E120" s="210">
        <v>27746.218165969593</v>
      </c>
      <c r="F120" s="210">
        <v>29323.548054872666</v>
      </c>
      <c r="G120" s="210">
        <v>15782.798285987617</v>
      </c>
      <c r="H120" s="210">
        <v>15512.333647809015</v>
      </c>
      <c r="I120" s="210">
        <v>1132.7511000000002</v>
      </c>
      <c r="J120" s="210">
        <v>1013.692176</v>
      </c>
      <c r="K120" s="210">
        <v>1096.095924</v>
      </c>
      <c r="L120" s="210">
        <v>846.01578600000005</v>
      </c>
      <c r="M120" s="210">
        <v>856.65749399999993</v>
      </c>
      <c r="N120" s="210">
        <v>1217.8584799999999</v>
      </c>
      <c r="O120" s="210">
        <v>1219.7477482800002</v>
      </c>
      <c r="P120" s="210">
        <v>1219.7477482800002</v>
      </c>
      <c r="Q120" s="210">
        <v>1219.7477482800002</v>
      </c>
      <c r="R120" s="210">
        <v>1219.7477482800002</v>
      </c>
      <c r="S120" s="210"/>
      <c r="T120" s="210"/>
      <c r="U120" s="210"/>
      <c r="V120" s="209"/>
      <c r="W120" s="209"/>
      <c r="X120" s="209"/>
      <c r="Y120" s="209"/>
    </row>
    <row r="121" spans="1:25" x14ac:dyDescent="0.2">
      <c r="A121" s="198">
        <v>400</v>
      </c>
      <c r="B121" s="199" t="s">
        <v>256</v>
      </c>
      <c r="C121" s="197">
        <v>2</v>
      </c>
      <c r="D121" s="210">
        <v>25111.728739999999</v>
      </c>
      <c r="E121" s="210">
        <v>25899.679882079763</v>
      </c>
      <c r="F121" s="210">
        <v>26460.741422852687</v>
      </c>
      <c r="G121" s="210">
        <v>13735.901716349228</v>
      </c>
      <c r="H121" s="210">
        <v>13391.479398674284</v>
      </c>
      <c r="I121" s="210">
        <v>2074.18797</v>
      </c>
      <c r="J121" s="210">
        <v>2028.9713700000002</v>
      </c>
      <c r="K121" s="210">
        <v>2194.1758340000001</v>
      </c>
      <c r="L121" s="210">
        <v>1693.562901</v>
      </c>
      <c r="M121" s="210">
        <v>1714.865579</v>
      </c>
      <c r="N121" s="210">
        <v>2045.9182599999999</v>
      </c>
      <c r="O121" s="210">
        <v>2041.0851275424</v>
      </c>
      <c r="P121" s="210">
        <v>2041.0851275424</v>
      </c>
      <c r="Q121" s="210">
        <v>2041.0851275424</v>
      </c>
      <c r="R121" s="210">
        <v>2041.0851275424</v>
      </c>
      <c r="S121" s="210"/>
      <c r="T121" s="210"/>
      <c r="U121" s="210"/>
      <c r="V121" s="209"/>
      <c r="W121" s="209"/>
      <c r="X121" s="209"/>
      <c r="Y121" s="209"/>
    </row>
    <row r="122" spans="1:25" x14ac:dyDescent="0.2">
      <c r="A122" s="198">
        <v>407</v>
      </c>
      <c r="B122" s="199" t="s">
        <v>257</v>
      </c>
      <c r="C122" s="197">
        <v>1</v>
      </c>
      <c r="D122" s="210">
        <v>7595.0393400000003</v>
      </c>
      <c r="E122" s="210">
        <v>7673.6487336993669</v>
      </c>
      <c r="F122" s="210">
        <v>7859.837174976592</v>
      </c>
      <c r="G122" s="210">
        <v>4129.3381821126241</v>
      </c>
      <c r="H122" s="210">
        <v>4006.581421311012</v>
      </c>
      <c r="I122" s="210">
        <v>508.06006000000002</v>
      </c>
      <c r="J122" s="210">
        <v>563.69463799999994</v>
      </c>
      <c r="K122" s="210">
        <v>611.167598</v>
      </c>
      <c r="L122" s="210">
        <v>471.72644700000001</v>
      </c>
      <c r="M122" s="210">
        <v>477.66011299999997</v>
      </c>
      <c r="N122" s="210">
        <v>547.44997999999998</v>
      </c>
      <c r="O122" s="210">
        <v>536.29594080000004</v>
      </c>
      <c r="P122" s="210">
        <v>536.29594080000004</v>
      </c>
      <c r="Q122" s="210">
        <v>536.29594080000004</v>
      </c>
      <c r="R122" s="210">
        <v>536.29594080000004</v>
      </c>
      <c r="S122" s="210"/>
      <c r="T122" s="210"/>
      <c r="U122" s="210"/>
      <c r="V122" s="209"/>
      <c r="W122" s="209"/>
      <c r="X122" s="209"/>
      <c r="Y122" s="209"/>
    </row>
    <row r="123" spans="1:25" x14ac:dyDescent="0.2">
      <c r="A123" s="198">
        <v>402</v>
      </c>
      <c r="B123" s="199" t="s">
        <v>258</v>
      </c>
      <c r="C123" s="197">
        <v>11</v>
      </c>
      <c r="D123" s="210">
        <v>25412.969719999997</v>
      </c>
      <c r="E123" s="210">
        <v>25977.152082291752</v>
      </c>
      <c r="F123" s="210">
        <v>27837.771649413291</v>
      </c>
      <c r="G123" s="210">
        <v>14679.466646782756</v>
      </c>
      <c r="H123" s="210">
        <v>14421.625380770956</v>
      </c>
      <c r="I123" s="210">
        <v>1766.69769</v>
      </c>
      <c r="J123" s="210">
        <v>1596.2971540000001</v>
      </c>
      <c r="K123" s="210">
        <v>1728.4384680000001</v>
      </c>
      <c r="L123" s="210">
        <v>1334.0860020000002</v>
      </c>
      <c r="M123" s="210">
        <v>1350.8669580000001</v>
      </c>
      <c r="N123" s="210">
        <v>2218.9859900000001</v>
      </c>
      <c r="O123" s="210">
        <v>2210.3751061631997</v>
      </c>
      <c r="P123" s="210">
        <v>2210.3751061631997</v>
      </c>
      <c r="Q123" s="210">
        <v>2210.3751061631997</v>
      </c>
      <c r="R123" s="210">
        <v>2210.3751061631997</v>
      </c>
      <c r="S123" s="210"/>
      <c r="T123" s="210"/>
      <c r="U123" s="210"/>
      <c r="V123" s="209"/>
      <c r="W123" s="209"/>
      <c r="X123" s="209"/>
      <c r="Y123" s="209"/>
    </row>
    <row r="124" spans="1:25" x14ac:dyDescent="0.2">
      <c r="A124" s="198">
        <v>403</v>
      </c>
      <c r="B124" s="199" t="s">
        <v>259</v>
      </c>
      <c r="C124" s="197">
        <v>14</v>
      </c>
      <c r="D124" s="210">
        <v>8037.0839699999997</v>
      </c>
      <c r="E124" s="210">
        <v>7976.3725903426675</v>
      </c>
      <c r="F124" s="210">
        <v>8325.4928197216868</v>
      </c>
      <c r="G124" s="210">
        <v>4365.9911856089948</v>
      </c>
      <c r="H124" s="210">
        <v>4299.872004145609</v>
      </c>
      <c r="I124" s="210">
        <v>982.21715000000006</v>
      </c>
      <c r="J124" s="210">
        <v>752.40539500000011</v>
      </c>
      <c r="K124" s="210">
        <v>816.2459540000001</v>
      </c>
      <c r="L124" s="210">
        <v>630.01508100000001</v>
      </c>
      <c r="M124" s="210">
        <v>637.93979900000011</v>
      </c>
      <c r="N124" s="210">
        <v>886.44160999999997</v>
      </c>
      <c r="O124" s="210">
        <v>909.57974937600011</v>
      </c>
      <c r="P124" s="210">
        <v>909.57974937600011</v>
      </c>
      <c r="Q124" s="210">
        <v>909.57974937600011</v>
      </c>
      <c r="R124" s="210">
        <v>909.57974937600011</v>
      </c>
      <c r="S124" s="210"/>
      <c r="T124" s="210"/>
      <c r="U124" s="210"/>
      <c r="V124" s="209"/>
      <c r="W124" s="209"/>
      <c r="X124" s="209"/>
      <c r="Y124" s="209"/>
    </row>
    <row r="125" spans="1:25" x14ac:dyDescent="0.2">
      <c r="A125" s="198">
        <v>405</v>
      </c>
      <c r="B125" s="199" t="s">
        <v>260</v>
      </c>
      <c r="C125" s="197">
        <v>9</v>
      </c>
      <c r="D125" s="210">
        <v>244562.14805000002</v>
      </c>
      <c r="E125" s="210">
        <v>250178.83688664829</v>
      </c>
      <c r="F125" s="210">
        <v>259403.05867450064</v>
      </c>
      <c r="G125" s="210">
        <v>135640.38327354565</v>
      </c>
      <c r="H125" s="210">
        <v>132747.69670585351</v>
      </c>
      <c r="I125" s="210">
        <v>24744.674660000001</v>
      </c>
      <c r="J125" s="210">
        <v>22355.392384999999</v>
      </c>
      <c r="K125" s="210">
        <v>24260.613408000001</v>
      </c>
      <c r="L125" s="210">
        <v>18725.424911999999</v>
      </c>
      <c r="M125" s="210">
        <v>18960.964848</v>
      </c>
      <c r="N125" s="210">
        <v>24626.3357</v>
      </c>
      <c r="O125" s="210">
        <v>25710.271690776008</v>
      </c>
      <c r="P125" s="210">
        <v>25710.271690776008</v>
      </c>
      <c r="Q125" s="210">
        <v>25710.271690776008</v>
      </c>
      <c r="R125" s="210">
        <v>25710.271690776008</v>
      </c>
      <c r="S125" s="210"/>
      <c r="T125" s="210"/>
      <c r="U125" s="210"/>
      <c r="V125" s="209"/>
      <c r="W125" s="209"/>
      <c r="X125" s="209"/>
      <c r="Y125" s="209"/>
    </row>
    <row r="126" spans="1:25" x14ac:dyDescent="0.2">
      <c r="A126" s="198">
        <v>408</v>
      </c>
      <c r="B126" s="199" t="s">
        <v>261</v>
      </c>
      <c r="C126" s="211">
        <v>14</v>
      </c>
      <c r="D126" s="210">
        <v>43334.764799999997</v>
      </c>
      <c r="E126" s="210">
        <v>44368.14793858242</v>
      </c>
      <c r="F126" s="210">
        <v>46815.407116356691</v>
      </c>
      <c r="G126" s="210">
        <v>25344.699846068244</v>
      </c>
      <c r="H126" s="210">
        <v>24821.936758628315</v>
      </c>
      <c r="I126" s="210">
        <v>2467.9442799999997</v>
      </c>
      <c r="J126" s="210">
        <v>2481.1599109999997</v>
      </c>
      <c r="K126" s="210">
        <v>2684.5613060000001</v>
      </c>
      <c r="L126" s="210">
        <v>2072.0643089999999</v>
      </c>
      <c r="M126" s="210">
        <v>2098.1280109999998</v>
      </c>
      <c r="N126" s="210">
        <v>2884.59292</v>
      </c>
      <c r="O126" s="210">
        <v>3001.9588893360001</v>
      </c>
      <c r="P126" s="210">
        <v>3001.9588893360001</v>
      </c>
      <c r="Q126" s="210">
        <v>3001.9588893360001</v>
      </c>
      <c r="R126" s="210">
        <v>3001.9588893360001</v>
      </c>
      <c r="S126" s="210"/>
      <c r="T126" s="210"/>
      <c r="U126" s="210"/>
      <c r="V126" s="209"/>
      <c r="W126" s="209"/>
      <c r="X126" s="209"/>
      <c r="Y126" s="209"/>
    </row>
    <row r="127" spans="1:25" x14ac:dyDescent="0.2">
      <c r="A127" s="198">
        <v>410</v>
      </c>
      <c r="B127" s="199" t="s">
        <v>262</v>
      </c>
      <c r="C127" s="197">
        <v>13</v>
      </c>
      <c r="D127" s="210">
        <v>60611.823950000005</v>
      </c>
      <c r="E127" s="210">
        <v>61209.254961304752</v>
      </c>
      <c r="F127" s="210">
        <v>63843.746990483953</v>
      </c>
      <c r="G127" s="210">
        <v>34329.447777021895</v>
      </c>
      <c r="H127" s="210">
        <v>33654.206484138711</v>
      </c>
      <c r="I127" s="210">
        <v>2605.83889</v>
      </c>
      <c r="J127" s="210">
        <v>2617.176833</v>
      </c>
      <c r="K127" s="210">
        <v>2837.6998519999997</v>
      </c>
      <c r="L127" s="210">
        <v>2190.2634780000003</v>
      </c>
      <c r="M127" s="210">
        <v>2217.8139620000002</v>
      </c>
      <c r="N127" s="210">
        <v>4713.23866</v>
      </c>
      <c r="O127" s="210">
        <v>4701.6528285120003</v>
      </c>
      <c r="P127" s="210">
        <v>4701.6528285120003</v>
      </c>
      <c r="Q127" s="210">
        <v>4701.6528285120003</v>
      </c>
      <c r="R127" s="210">
        <v>4701.6528285120003</v>
      </c>
      <c r="S127" s="210"/>
      <c r="T127" s="210"/>
      <c r="U127" s="210"/>
      <c r="V127" s="209"/>
      <c r="W127" s="209"/>
      <c r="X127" s="209"/>
      <c r="Y127" s="209"/>
    </row>
    <row r="128" spans="1:25" x14ac:dyDescent="0.2">
      <c r="A128" s="198">
        <v>416</v>
      </c>
      <c r="B128" s="199" t="s">
        <v>263</v>
      </c>
      <c r="C128" s="197">
        <v>9</v>
      </c>
      <c r="D128" s="210">
        <v>9242.7945799999998</v>
      </c>
      <c r="E128" s="210">
        <v>9370.7476167979057</v>
      </c>
      <c r="F128" s="210">
        <v>9708.4568447798538</v>
      </c>
      <c r="G128" s="210">
        <v>5055.1050464132941</v>
      </c>
      <c r="H128" s="210">
        <v>4966.493234807549</v>
      </c>
      <c r="I128" s="210">
        <v>519.83398999999997</v>
      </c>
      <c r="J128" s="210">
        <v>421.070582</v>
      </c>
      <c r="K128" s="210">
        <v>456.426784</v>
      </c>
      <c r="L128" s="210">
        <v>352.29057600000004</v>
      </c>
      <c r="M128" s="210">
        <v>356.72190399999994</v>
      </c>
      <c r="N128" s="210">
        <v>814.70732999999996</v>
      </c>
      <c r="O128" s="210">
        <v>820.47371596800008</v>
      </c>
      <c r="P128" s="210">
        <v>820.47371596800008</v>
      </c>
      <c r="Q128" s="210">
        <v>820.47371596800008</v>
      </c>
      <c r="R128" s="210">
        <v>820.47371596800008</v>
      </c>
      <c r="S128" s="210"/>
      <c r="T128" s="210"/>
      <c r="U128" s="210"/>
      <c r="V128" s="209"/>
      <c r="W128" s="209"/>
      <c r="X128" s="209"/>
      <c r="Y128" s="209"/>
    </row>
    <row r="129" spans="1:25" x14ac:dyDescent="0.2">
      <c r="A129" s="198">
        <v>418</v>
      </c>
      <c r="B129" s="199" t="s">
        <v>264</v>
      </c>
      <c r="C129" s="197">
        <v>6</v>
      </c>
      <c r="D129" s="210">
        <v>83967.951950000002</v>
      </c>
      <c r="E129" s="210">
        <v>84504.407994553505</v>
      </c>
      <c r="F129" s="210">
        <v>89372.694492452516</v>
      </c>
      <c r="G129" s="210">
        <v>45718.459634299383</v>
      </c>
      <c r="H129" s="210">
        <v>44182.514480192251</v>
      </c>
      <c r="I129" s="210">
        <v>4684.0476699999999</v>
      </c>
      <c r="J129" s="210">
        <v>4233.6959849999994</v>
      </c>
      <c r="K129" s="210">
        <v>4593.012256</v>
      </c>
      <c r="L129" s="210">
        <v>3545.0919840000006</v>
      </c>
      <c r="M129" s="210">
        <v>3589.6843360000007</v>
      </c>
      <c r="N129" s="210">
        <v>5313.7476999999999</v>
      </c>
      <c r="O129" s="210">
        <v>5406.1281615480011</v>
      </c>
      <c r="P129" s="210">
        <v>5406.1281615480011</v>
      </c>
      <c r="Q129" s="210">
        <v>5406.1281615480011</v>
      </c>
      <c r="R129" s="210">
        <v>5406.1281615480011</v>
      </c>
      <c r="S129" s="210"/>
      <c r="T129" s="210"/>
      <c r="U129" s="210"/>
      <c r="V129" s="209"/>
      <c r="W129" s="209"/>
      <c r="X129" s="209"/>
      <c r="Y129" s="209"/>
    </row>
    <row r="130" spans="1:25" x14ac:dyDescent="0.2">
      <c r="A130" s="198">
        <v>420</v>
      </c>
      <c r="B130" s="199" t="s">
        <v>265</v>
      </c>
      <c r="C130" s="197">
        <v>11</v>
      </c>
      <c r="D130" s="210">
        <v>27957.1685</v>
      </c>
      <c r="E130" s="210">
        <v>30267.959110067841</v>
      </c>
      <c r="F130" s="210">
        <v>30944.200845065465</v>
      </c>
      <c r="G130" s="210">
        <v>15970.783209709851</v>
      </c>
      <c r="H130" s="210">
        <v>15722.506345375696</v>
      </c>
      <c r="I130" s="210">
        <v>2820.9386199999999</v>
      </c>
      <c r="J130" s="210">
        <v>2629.9517950000004</v>
      </c>
      <c r="K130" s="210">
        <v>2851.7556440000003</v>
      </c>
      <c r="L130" s="210">
        <v>2201.1123660000003</v>
      </c>
      <c r="M130" s="210">
        <v>2228.7993140000003</v>
      </c>
      <c r="N130" s="210">
        <v>2419.77511</v>
      </c>
      <c r="O130" s="210">
        <v>2422.55707308</v>
      </c>
      <c r="P130" s="210">
        <v>2422.55707308</v>
      </c>
      <c r="Q130" s="210">
        <v>2422.55707308</v>
      </c>
      <c r="R130" s="210">
        <v>2422.55707308</v>
      </c>
      <c r="S130" s="210"/>
      <c r="T130" s="210"/>
      <c r="U130" s="210"/>
      <c r="V130" s="209"/>
      <c r="W130" s="209"/>
      <c r="X130" s="209"/>
      <c r="Y130" s="209"/>
    </row>
    <row r="131" spans="1:25" x14ac:dyDescent="0.2">
      <c r="A131" s="198">
        <v>421</v>
      </c>
      <c r="B131" s="199" t="s">
        <v>266</v>
      </c>
      <c r="C131" s="197">
        <v>16</v>
      </c>
      <c r="D131" s="210">
        <v>1885.7200500000001</v>
      </c>
      <c r="E131" s="210">
        <v>1902.4871789179178</v>
      </c>
      <c r="F131" s="210">
        <v>1996.9185960725856</v>
      </c>
      <c r="G131" s="210">
        <v>1074.4185845436009</v>
      </c>
      <c r="H131" s="210">
        <v>1042.8670458408985</v>
      </c>
      <c r="I131" s="210">
        <v>404.89283</v>
      </c>
      <c r="J131" s="210">
        <v>387.78402900000003</v>
      </c>
      <c r="K131" s="210">
        <v>420.15018400000002</v>
      </c>
      <c r="L131" s="210">
        <v>324.29067600000002</v>
      </c>
      <c r="M131" s="210">
        <v>328.36980400000004</v>
      </c>
      <c r="N131" s="210">
        <v>278.47229999999996</v>
      </c>
      <c r="O131" s="210">
        <v>273.16082457599992</v>
      </c>
      <c r="P131" s="210">
        <v>273.16082457599992</v>
      </c>
      <c r="Q131" s="210">
        <v>273.16082457599992</v>
      </c>
      <c r="R131" s="210">
        <v>273.16082457599992</v>
      </c>
      <c r="S131" s="210"/>
      <c r="T131" s="210"/>
      <c r="U131" s="210"/>
      <c r="V131" s="209"/>
      <c r="W131" s="209"/>
      <c r="X131" s="209"/>
      <c r="Y131" s="209"/>
    </row>
    <row r="132" spans="1:25" x14ac:dyDescent="0.2">
      <c r="A132" s="198">
        <v>422</v>
      </c>
      <c r="B132" s="199" t="s">
        <v>267</v>
      </c>
      <c r="C132" s="197">
        <v>12</v>
      </c>
      <c r="D132" s="210">
        <v>32294.475210000001</v>
      </c>
      <c r="E132" s="210">
        <v>31939.514349958088</v>
      </c>
      <c r="F132" s="210">
        <v>33115.188738533354</v>
      </c>
      <c r="G132" s="210">
        <v>16932.682806130517</v>
      </c>
      <c r="H132" s="210">
        <v>16758.056754143421</v>
      </c>
      <c r="I132" s="210">
        <v>5053.8045499999998</v>
      </c>
      <c r="J132" s="210">
        <v>4528.0794319999995</v>
      </c>
      <c r="K132" s="210">
        <v>4908.12201</v>
      </c>
      <c r="L132" s="210">
        <v>3788.3077649999996</v>
      </c>
      <c r="M132" s="210">
        <v>3835.9594349999998</v>
      </c>
      <c r="N132" s="210">
        <v>3282.3464100000001</v>
      </c>
      <c r="O132" s="210">
        <v>3271.7382949343996</v>
      </c>
      <c r="P132" s="210">
        <v>3271.7382949343996</v>
      </c>
      <c r="Q132" s="210">
        <v>3271.7382949343996</v>
      </c>
      <c r="R132" s="210">
        <v>3271.7382949343996</v>
      </c>
      <c r="S132" s="210"/>
      <c r="T132" s="210"/>
      <c r="U132" s="210"/>
      <c r="V132" s="209"/>
      <c r="W132" s="209"/>
      <c r="X132" s="209"/>
      <c r="Y132" s="209"/>
    </row>
    <row r="133" spans="1:25" x14ac:dyDescent="0.2">
      <c r="A133" s="198">
        <v>423</v>
      </c>
      <c r="B133" s="199" t="s">
        <v>268</v>
      </c>
      <c r="C133" s="197">
        <v>2</v>
      </c>
      <c r="D133" s="210">
        <v>68995.61834999999</v>
      </c>
      <c r="E133" s="210">
        <v>70175.186813028558</v>
      </c>
      <c r="F133" s="210">
        <v>74386.028448105659</v>
      </c>
      <c r="G133" s="210">
        <v>36035.611426062176</v>
      </c>
      <c r="H133" s="210">
        <v>34431.614376147532</v>
      </c>
      <c r="I133" s="210">
        <v>3393.2646600000003</v>
      </c>
      <c r="J133" s="210">
        <v>3683.1076429999994</v>
      </c>
      <c r="K133" s="210">
        <v>3991.2382580000003</v>
      </c>
      <c r="L133" s="210">
        <v>3080.615937</v>
      </c>
      <c r="M133" s="210">
        <v>3119.3658229999996</v>
      </c>
      <c r="N133" s="210">
        <v>3566.5522999999998</v>
      </c>
      <c r="O133" s="210">
        <v>3527.7897189455998</v>
      </c>
      <c r="P133" s="210">
        <v>3527.7897189455998</v>
      </c>
      <c r="Q133" s="210">
        <v>3527.7897189455998</v>
      </c>
      <c r="R133" s="210">
        <v>3527.7897189455998</v>
      </c>
      <c r="S133" s="210"/>
      <c r="T133" s="210"/>
      <c r="U133" s="210"/>
      <c r="V133" s="209"/>
      <c r="W133" s="209"/>
      <c r="X133" s="209"/>
      <c r="Y133" s="209"/>
    </row>
    <row r="134" spans="1:25" x14ac:dyDescent="0.2">
      <c r="A134" s="198">
        <v>425</v>
      </c>
      <c r="B134" s="199" t="s">
        <v>269</v>
      </c>
      <c r="C134" s="197">
        <v>17</v>
      </c>
      <c r="D134" s="210">
        <v>29444.623010000003</v>
      </c>
      <c r="E134" s="210">
        <v>30847.739536862784</v>
      </c>
      <c r="F134" s="210">
        <v>32440.153412121326</v>
      </c>
      <c r="G134" s="210">
        <v>17837.959976902283</v>
      </c>
      <c r="H134" s="210">
        <v>17275.952680271781</v>
      </c>
      <c r="I134" s="210">
        <v>752.48910999999998</v>
      </c>
      <c r="J134" s="210">
        <v>707.29418899999985</v>
      </c>
      <c r="K134" s="210">
        <v>767.32692799999984</v>
      </c>
      <c r="L134" s="210">
        <v>592.25719200000003</v>
      </c>
      <c r="M134" s="210">
        <v>599.70696799999996</v>
      </c>
      <c r="N134" s="210">
        <v>1187.0600099999999</v>
      </c>
      <c r="O134" s="210">
        <v>1245.3857466575998</v>
      </c>
      <c r="P134" s="210">
        <v>1245.3857466575998</v>
      </c>
      <c r="Q134" s="210">
        <v>1245.3857466575998</v>
      </c>
      <c r="R134" s="210">
        <v>1245.3857466575998</v>
      </c>
      <c r="S134" s="210"/>
      <c r="T134" s="210"/>
      <c r="U134" s="210"/>
      <c r="V134" s="209"/>
      <c r="W134" s="209"/>
      <c r="X134" s="209"/>
      <c r="Y134" s="209"/>
    </row>
    <row r="135" spans="1:25" x14ac:dyDescent="0.2">
      <c r="A135" s="198">
        <v>426</v>
      </c>
      <c r="B135" s="199" t="s">
        <v>270</v>
      </c>
      <c r="C135" s="197">
        <v>12</v>
      </c>
      <c r="D135" s="210">
        <v>36071.229549999996</v>
      </c>
      <c r="E135" s="210">
        <v>36638.513608034315</v>
      </c>
      <c r="F135" s="210">
        <v>38502.769701841549</v>
      </c>
      <c r="G135" s="210">
        <v>20743.07363814006</v>
      </c>
      <c r="H135" s="210">
        <v>20359.306238794132</v>
      </c>
      <c r="I135" s="210">
        <v>1532.9718500000001</v>
      </c>
      <c r="J135" s="210">
        <v>1335.4797110000002</v>
      </c>
      <c r="K135" s="210">
        <v>1447.3792780000003</v>
      </c>
      <c r="L135" s="210">
        <v>1117.151967</v>
      </c>
      <c r="M135" s="210">
        <v>1131.204193</v>
      </c>
      <c r="N135" s="210">
        <v>2419.39</v>
      </c>
      <c r="O135" s="210">
        <v>2376.1885331784006</v>
      </c>
      <c r="P135" s="210">
        <v>2376.1885331784006</v>
      </c>
      <c r="Q135" s="210">
        <v>2376.1885331784006</v>
      </c>
      <c r="R135" s="210">
        <v>2376.1885331784006</v>
      </c>
      <c r="S135" s="210"/>
      <c r="T135" s="210"/>
      <c r="U135" s="210"/>
      <c r="V135" s="209"/>
      <c r="W135" s="209"/>
      <c r="X135" s="209"/>
      <c r="Y135" s="209"/>
    </row>
    <row r="136" spans="1:25" x14ac:dyDescent="0.2">
      <c r="A136" s="198">
        <v>444</v>
      </c>
      <c r="B136" s="199" t="s">
        <v>271</v>
      </c>
      <c r="C136" s="197">
        <v>1</v>
      </c>
      <c r="D136" s="210">
        <v>170621.23627000002</v>
      </c>
      <c r="E136" s="210">
        <v>171790.87098792841</v>
      </c>
      <c r="F136" s="210">
        <v>180350.9889574984</v>
      </c>
      <c r="G136" s="210">
        <v>91590.682226889927</v>
      </c>
      <c r="H136" s="210">
        <v>88857.427139568346</v>
      </c>
      <c r="I136" s="210">
        <v>6612.9911199999997</v>
      </c>
      <c r="J136" s="210">
        <v>7004.5385430000006</v>
      </c>
      <c r="K136" s="210">
        <v>7592.6349059999993</v>
      </c>
      <c r="L136" s="210">
        <v>5860.3347089999997</v>
      </c>
      <c r="M136" s="210">
        <v>5934.0496109999995</v>
      </c>
      <c r="N136" s="210">
        <v>12615.873079999999</v>
      </c>
      <c r="O136" s="210">
        <v>13409.451680968801</v>
      </c>
      <c r="P136" s="210">
        <v>13409.451680968801</v>
      </c>
      <c r="Q136" s="210">
        <v>13409.451680968801</v>
      </c>
      <c r="R136" s="210">
        <v>13409.451680968801</v>
      </c>
      <c r="S136" s="210"/>
      <c r="T136" s="210"/>
      <c r="U136" s="210"/>
      <c r="V136" s="209"/>
      <c r="W136" s="209"/>
      <c r="X136" s="209"/>
      <c r="Y136" s="209"/>
    </row>
    <row r="137" spans="1:25" x14ac:dyDescent="0.2">
      <c r="A137" s="198">
        <v>430</v>
      </c>
      <c r="B137" s="199" t="s">
        <v>272</v>
      </c>
      <c r="C137" s="197">
        <v>2</v>
      </c>
      <c r="D137" s="210">
        <v>45769.437669999999</v>
      </c>
      <c r="E137" s="210">
        <v>46870.520260087374</v>
      </c>
      <c r="F137" s="210">
        <v>48245.178366924723</v>
      </c>
      <c r="G137" s="210">
        <v>24816.349789394179</v>
      </c>
      <c r="H137" s="210">
        <v>24198.754868556018</v>
      </c>
      <c r="I137" s="210">
        <v>3594.8457599999997</v>
      </c>
      <c r="J137" s="210">
        <v>3333.3119499999998</v>
      </c>
      <c r="K137" s="210">
        <v>3609.9534760000001</v>
      </c>
      <c r="L137" s="210">
        <v>2786.3233140000002</v>
      </c>
      <c r="M137" s="210">
        <v>2821.3714059999998</v>
      </c>
      <c r="N137" s="210">
        <v>4149.3594800000001</v>
      </c>
      <c r="O137" s="210">
        <v>4118.2553316719986</v>
      </c>
      <c r="P137" s="210">
        <v>4118.2553316719986</v>
      </c>
      <c r="Q137" s="210">
        <v>4118.2553316719986</v>
      </c>
      <c r="R137" s="210">
        <v>4118.2553316719986</v>
      </c>
      <c r="S137" s="210"/>
      <c r="T137" s="210"/>
      <c r="U137" s="210"/>
      <c r="V137" s="209"/>
      <c r="W137" s="209"/>
      <c r="X137" s="209"/>
      <c r="Y137" s="209"/>
    </row>
    <row r="138" spans="1:25" x14ac:dyDescent="0.2">
      <c r="A138" s="198">
        <v>433</v>
      </c>
      <c r="B138" s="199" t="s">
        <v>273</v>
      </c>
      <c r="C138" s="211">
        <v>5</v>
      </c>
      <c r="D138" s="210">
        <v>25504.035969999997</v>
      </c>
      <c r="E138" s="210">
        <v>25552.073816795633</v>
      </c>
      <c r="F138" s="210">
        <v>26765.177766997676</v>
      </c>
      <c r="G138" s="210">
        <v>14443.319233015858</v>
      </c>
      <c r="H138" s="210">
        <v>14128.241835505252</v>
      </c>
      <c r="I138" s="210">
        <v>1684.53513</v>
      </c>
      <c r="J138" s="210">
        <v>1478.8500649999999</v>
      </c>
      <c r="K138" s="210">
        <v>1602.95192</v>
      </c>
      <c r="L138" s="210">
        <v>1237.2298799999999</v>
      </c>
      <c r="M138" s="210">
        <v>1252.7925199999997</v>
      </c>
      <c r="N138" s="210">
        <v>2028.63338</v>
      </c>
      <c r="O138" s="210">
        <v>2029.1482891752</v>
      </c>
      <c r="P138" s="210">
        <v>2029.1482891752</v>
      </c>
      <c r="Q138" s="210">
        <v>2029.1482891752</v>
      </c>
      <c r="R138" s="210">
        <v>2029.1482891752</v>
      </c>
      <c r="S138" s="210"/>
      <c r="T138" s="210"/>
      <c r="U138" s="210"/>
      <c r="V138" s="209"/>
      <c r="W138" s="209"/>
      <c r="X138" s="209"/>
      <c r="Y138" s="209"/>
    </row>
    <row r="139" spans="1:25" x14ac:dyDescent="0.2">
      <c r="A139" s="198">
        <v>434</v>
      </c>
      <c r="B139" s="199" t="s">
        <v>274</v>
      </c>
      <c r="C139" s="197">
        <v>1</v>
      </c>
      <c r="D139" s="210">
        <v>47748.576139999997</v>
      </c>
      <c r="E139" s="210">
        <v>48042.652252716885</v>
      </c>
      <c r="F139" s="210">
        <v>50403.536238153436</v>
      </c>
      <c r="G139" s="210">
        <v>24630.790635611273</v>
      </c>
      <c r="H139" s="210">
        <v>23849.138116202412</v>
      </c>
      <c r="I139" s="210">
        <v>9950.1106199999995</v>
      </c>
      <c r="J139" s="210">
        <v>6404.5990030000003</v>
      </c>
      <c r="K139" s="210">
        <v>6918.1340500000006</v>
      </c>
      <c r="L139" s="210">
        <v>5339.7248250000002</v>
      </c>
      <c r="M139" s="210">
        <v>5406.8911749999997</v>
      </c>
      <c r="N139" s="210">
        <v>8252.5864999999994</v>
      </c>
      <c r="O139" s="210">
        <v>7908.6168175920011</v>
      </c>
      <c r="P139" s="210">
        <v>7908.6168175920011</v>
      </c>
      <c r="Q139" s="210">
        <v>7908.6168175920011</v>
      </c>
      <c r="R139" s="210">
        <v>7908.6168175920011</v>
      </c>
      <c r="S139" s="210"/>
      <c r="T139" s="210"/>
      <c r="U139" s="210"/>
      <c r="V139" s="209"/>
      <c r="W139" s="209"/>
      <c r="X139" s="209"/>
      <c r="Y139" s="209"/>
    </row>
    <row r="140" spans="1:25" x14ac:dyDescent="0.2">
      <c r="A140" s="198">
        <v>435</v>
      </c>
      <c r="B140" s="199" t="s">
        <v>275</v>
      </c>
      <c r="C140" s="197">
        <v>13</v>
      </c>
      <c r="D140" s="210">
        <v>1655.46325</v>
      </c>
      <c r="E140" s="210">
        <v>1654.9486945800911</v>
      </c>
      <c r="F140" s="210">
        <v>1737.5238912925129</v>
      </c>
      <c r="G140" s="210">
        <v>765.37671965352365</v>
      </c>
      <c r="H140" s="210">
        <v>742.23925691427348</v>
      </c>
      <c r="I140" s="210">
        <v>286.41287</v>
      </c>
      <c r="J140" s="210">
        <v>292.51372900000001</v>
      </c>
      <c r="K140" s="210">
        <v>317.087354</v>
      </c>
      <c r="L140" s="210">
        <v>244.74218100000002</v>
      </c>
      <c r="M140" s="210">
        <v>247.82069899999999</v>
      </c>
      <c r="N140" s="210">
        <v>494.48649</v>
      </c>
      <c r="O140" s="210">
        <v>580.34310475200004</v>
      </c>
      <c r="P140" s="210">
        <v>580.34310475200004</v>
      </c>
      <c r="Q140" s="210">
        <v>580.34310475200004</v>
      </c>
      <c r="R140" s="210">
        <v>580.34310475200004</v>
      </c>
      <c r="S140" s="210"/>
      <c r="T140" s="210"/>
      <c r="U140" s="210"/>
      <c r="V140" s="209"/>
      <c r="W140" s="209"/>
      <c r="X140" s="209"/>
      <c r="Y140" s="209"/>
    </row>
    <row r="141" spans="1:25" x14ac:dyDescent="0.2">
      <c r="A141" s="198">
        <v>436</v>
      </c>
      <c r="B141" s="199" t="s">
        <v>276</v>
      </c>
      <c r="C141" s="197">
        <v>17</v>
      </c>
      <c r="D141" s="210">
        <v>5348.9697000000006</v>
      </c>
      <c r="E141" s="210">
        <v>5427.6234489906992</v>
      </c>
      <c r="F141" s="210">
        <v>5781.7254658990396</v>
      </c>
      <c r="G141" s="210">
        <v>3028.8185906023991</v>
      </c>
      <c r="H141" s="210">
        <v>2962.5538196946513</v>
      </c>
      <c r="I141" s="210">
        <v>164.39530999999999</v>
      </c>
      <c r="J141" s="210">
        <v>161.639343</v>
      </c>
      <c r="K141" s="210">
        <v>175.36100200000004</v>
      </c>
      <c r="L141" s="210">
        <v>135.35145300000002</v>
      </c>
      <c r="M141" s="210">
        <v>137.05398700000001</v>
      </c>
      <c r="N141" s="210">
        <v>287.68020000000001</v>
      </c>
      <c r="O141" s="210">
        <v>292.537644828</v>
      </c>
      <c r="P141" s="210">
        <v>292.537644828</v>
      </c>
      <c r="Q141" s="210">
        <v>292.537644828</v>
      </c>
      <c r="R141" s="210">
        <v>292.537644828</v>
      </c>
      <c r="S141" s="210"/>
      <c r="T141" s="210"/>
      <c r="U141" s="210"/>
      <c r="V141" s="209"/>
      <c r="W141" s="209"/>
      <c r="X141" s="209"/>
      <c r="Y141" s="209"/>
    </row>
    <row r="142" spans="1:25" x14ac:dyDescent="0.2">
      <c r="A142" s="198">
        <v>440</v>
      </c>
      <c r="B142" s="199" t="s">
        <v>277</v>
      </c>
      <c r="C142" s="197">
        <v>15</v>
      </c>
      <c r="D142" s="210">
        <v>13596.19823</v>
      </c>
      <c r="E142" s="210">
        <v>14263.533957587963</v>
      </c>
      <c r="F142" s="210">
        <v>15207.571630192475</v>
      </c>
      <c r="G142" s="210">
        <v>7684.2375641873969</v>
      </c>
      <c r="H142" s="210">
        <v>7300.4148447520292</v>
      </c>
      <c r="I142" s="210">
        <v>362.07903000000005</v>
      </c>
      <c r="J142" s="210">
        <v>365.29090000000002</v>
      </c>
      <c r="K142" s="210">
        <v>395.37044400000002</v>
      </c>
      <c r="L142" s="210">
        <v>305.16456599999998</v>
      </c>
      <c r="M142" s="210">
        <v>309.00311399999998</v>
      </c>
      <c r="N142" s="210">
        <v>1026.35139</v>
      </c>
      <c r="O142" s="210">
        <v>1048.9477538616002</v>
      </c>
      <c r="P142" s="210">
        <v>1048.9477538616002</v>
      </c>
      <c r="Q142" s="210">
        <v>1048.9477538616002</v>
      </c>
      <c r="R142" s="210">
        <v>1048.9477538616002</v>
      </c>
      <c r="S142" s="210"/>
      <c r="T142" s="210"/>
      <c r="U142" s="210"/>
      <c r="V142" s="209"/>
      <c r="W142" s="209"/>
      <c r="X142" s="209"/>
      <c r="Y142" s="209"/>
    </row>
    <row r="143" spans="1:25" x14ac:dyDescent="0.2">
      <c r="A143" s="198">
        <v>441</v>
      </c>
      <c r="B143" s="199" t="s">
        <v>278</v>
      </c>
      <c r="C143" s="197">
        <v>9</v>
      </c>
      <c r="D143" s="210">
        <v>13559.216259999999</v>
      </c>
      <c r="E143" s="210">
        <v>13826.417504563144</v>
      </c>
      <c r="F143" s="210">
        <v>14493.826562636299</v>
      </c>
      <c r="G143" s="210">
        <v>7329.5628866138313</v>
      </c>
      <c r="H143" s="210">
        <v>7165.6223867124945</v>
      </c>
      <c r="I143" s="210">
        <v>2201.5585599999999</v>
      </c>
      <c r="J143" s="210">
        <v>1992.1138379999998</v>
      </c>
      <c r="K143" s="210">
        <v>2160.3355959999999</v>
      </c>
      <c r="L143" s="210">
        <v>1667.4434939999999</v>
      </c>
      <c r="M143" s="210">
        <v>1688.4176260000002</v>
      </c>
      <c r="N143" s="210">
        <v>1503.1321599999999</v>
      </c>
      <c r="O143" s="210">
        <v>1495.7157713520003</v>
      </c>
      <c r="P143" s="210">
        <v>1495.7157713520003</v>
      </c>
      <c r="Q143" s="210">
        <v>1495.7157713520003</v>
      </c>
      <c r="R143" s="210">
        <v>1495.7157713520003</v>
      </c>
      <c r="S143" s="210"/>
      <c r="T143" s="210"/>
      <c r="U143" s="210"/>
      <c r="V143" s="209"/>
      <c r="W143" s="209"/>
      <c r="X143" s="209"/>
      <c r="Y143" s="209"/>
    </row>
    <row r="144" spans="1:25" x14ac:dyDescent="0.2">
      <c r="A144" s="198">
        <v>475</v>
      </c>
      <c r="B144" s="199" t="s">
        <v>280</v>
      </c>
      <c r="C144" s="197">
        <v>15</v>
      </c>
      <c r="D144" s="210">
        <v>17026.977749999998</v>
      </c>
      <c r="E144" s="210">
        <v>17323.02102609057</v>
      </c>
      <c r="F144" s="210">
        <v>18202.298935322033</v>
      </c>
      <c r="G144" s="210">
        <v>10032.328551866942</v>
      </c>
      <c r="H144" s="210">
        <v>9805.1255420523976</v>
      </c>
      <c r="I144" s="210">
        <v>1075.21354</v>
      </c>
      <c r="J144" s="210">
        <v>1120.050158</v>
      </c>
      <c r="K144" s="210">
        <v>1214.4179980000001</v>
      </c>
      <c r="L144" s="210">
        <v>937.34204699999987</v>
      </c>
      <c r="M144" s="210">
        <v>949.1325129999999</v>
      </c>
      <c r="N144" s="210">
        <v>1387.2890300000001</v>
      </c>
      <c r="O144" s="210">
        <v>1398.7054914768</v>
      </c>
      <c r="P144" s="210">
        <v>1398.7054914768</v>
      </c>
      <c r="Q144" s="210">
        <v>1398.7054914768</v>
      </c>
      <c r="R144" s="210">
        <v>1398.7054914768</v>
      </c>
      <c r="S144" s="210"/>
      <c r="T144" s="210"/>
      <c r="U144" s="210"/>
      <c r="V144" s="209"/>
      <c r="W144" s="209"/>
      <c r="X144" s="209"/>
      <c r="Y144" s="209"/>
    </row>
    <row r="145" spans="1:25" x14ac:dyDescent="0.2">
      <c r="A145" s="198">
        <v>480</v>
      </c>
      <c r="B145" s="199" t="s">
        <v>281</v>
      </c>
      <c r="C145" s="197">
        <v>2</v>
      </c>
      <c r="D145" s="210">
        <v>5950.9563099999996</v>
      </c>
      <c r="E145" s="210">
        <v>5744.9299495580963</v>
      </c>
      <c r="F145" s="210">
        <v>6146.0565274787814</v>
      </c>
      <c r="G145" s="210">
        <v>3212.8229310933702</v>
      </c>
      <c r="H145" s="210">
        <v>3132.5661052784267</v>
      </c>
      <c r="I145" s="210">
        <v>330.49745000000001</v>
      </c>
      <c r="J145" s="210">
        <v>313.71989500000001</v>
      </c>
      <c r="K145" s="210">
        <v>339.29538999999994</v>
      </c>
      <c r="L145" s="210">
        <v>261.88333500000005</v>
      </c>
      <c r="M145" s="210">
        <v>265.17746499999998</v>
      </c>
      <c r="N145" s="210">
        <v>349.61786000000001</v>
      </c>
      <c r="O145" s="210">
        <v>355.706628384</v>
      </c>
      <c r="P145" s="210">
        <v>355.706628384</v>
      </c>
      <c r="Q145" s="210">
        <v>355.706628384</v>
      </c>
      <c r="R145" s="210">
        <v>355.706628384</v>
      </c>
      <c r="S145" s="210"/>
      <c r="T145" s="210"/>
      <c r="U145" s="210"/>
      <c r="V145" s="209"/>
      <c r="W145" s="209"/>
      <c r="X145" s="209"/>
      <c r="Y145" s="209"/>
    </row>
    <row r="146" spans="1:25" x14ac:dyDescent="0.2">
      <c r="A146" s="198">
        <v>481</v>
      </c>
      <c r="B146" s="199" t="s">
        <v>282</v>
      </c>
      <c r="C146" s="197">
        <v>2</v>
      </c>
      <c r="D146" s="210">
        <v>36933.103880000002</v>
      </c>
      <c r="E146" s="210">
        <v>37342.017922060484</v>
      </c>
      <c r="F146" s="210">
        <v>39226.486006054096</v>
      </c>
      <c r="G146" s="210">
        <v>20326.723690248291</v>
      </c>
      <c r="H146" s="210">
        <v>19645.584553746525</v>
      </c>
      <c r="I146" s="210">
        <v>1646.9233400000001</v>
      </c>
      <c r="J146" s="210">
        <v>2404.2416639999997</v>
      </c>
      <c r="K146" s="210">
        <v>2609.1482079999996</v>
      </c>
      <c r="L146" s="210">
        <v>2013.8571119999999</v>
      </c>
      <c r="M146" s="210">
        <v>2039.1886480000003</v>
      </c>
      <c r="N146" s="210">
        <v>1863.8319899999999</v>
      </c>
      <c r="O146" s="210">
        <v>1892.2028149536</v>
      </c>
      <c r="P146" s="210">
        <v>1892.2028149536</v>
      </c>
      <c r="Q146" s="210">
        <v>1892.2028149536</v>
      </c>
      <c r="R146" s="210">
        <v>1892.2028149536</v>
      </c>
      <c r="S146" s="210"/>
      <c r="T146" s="210"/>
      <c r="U146" s="210"/>
      <c r="V146" s="209"/>
      <c r="W146" s="209"/>
      <c r="X146" s="209"/>
      <c r="Y146" s="209"/>
    </row>
    <row r="147" spans="1:25" x14ac:dyDescent="0.2">
      <c r="A147" s="198">
        <v>483</v>
      </c>
      <c r="B147" s="199" t="s">
        <v>283</v>
      </c>
      <c r="C147" s="197">
        <v>17</v>
      </c>
      <c r="D147" s="210">
        <v>2267.62275</v>
      </c>
      <c r="E147" s="210">
        <v>2227.1634528956351</v>
      </c>
      <c r="F147" s="210">
        <v>2422.3638097082658</v>
      </c>
      <c r="G147" s="210">
        <v>1315.9718852574888</v>
      </c>
      <c r="H147" s="210">
        <v>1300.5644536886609</v>
      </c>
      <c r="I147" s="210">
        <v>136.155</v>
      </c>
      <c r="J147" s="210">
        <v>121.73221599999999</v>
      </c>
      <c r="K147" s="210">
        <v>131.93352400000001</v>
      </c>
      <c r="L147" s="210">
        <v>101.83218600000001</v>
      </c>
      <c r="M147" s="210">
        <v>103.113094</v>
      </c>
      <c r="N147" s="210">
        <v>202.45713000000001</v>
      </c>
      <c r="O147" s="210">
        <v>329.58247909919999</v>
      </c>
      <c r="P147" s="210">
        <v>329.58247909919999</v>
      </c>
      <c r="Q147" s="210">
        <v>329.58247909919999</v>
      </c>
      <c r="R147" s="210">
        <v>329.58247909919999</v>
      </c>
      <c r="S147" s="210"/>
      <c r="T147" s="210"/>
      <c r="U147" s="210"/>
      <c r="V147" s="209"/>
      <c r="W147" s="209"/>
      <c r="X147" s="209"/>
      <c r="Y147" s="209"/>
    </row>
    <row r="148" spans="1:25" x14ac:dyDescent="0.2">
      <c r="A148" s="198">
        <v>484</v>
      </c>
      <c r="B148" s="199" t="s">
        <v>284</v>
      </c>
      <c r="C148" s="197">
        <v>4</v>
      </c>
      <c r="D148" s="210">
        <v>7977.1304900000005</v>
      </c>
      <c r="E148" s="210">
        <v>7951.596100924241</v>
      </c>
      <c r="F148" s="210">
        <v>8128.6812017014963</v>
      </c>
      <c r="G148" s="210">
        <v>3931.5878971585375</v>
      </c>
      <c r="H148" s="210">
        <v>3831.267755890377</v>
      </c>
      <c r="I148" s="210">
        <v>788.76071000000002</v>
      </c>
      <c r="J148" s="210">
        <v>845.19643699999995</v>
      </c>
      <c r="K148" s="210">
        <v>916.80320599999993</v>
      </c>
      <c r="L148" s="210">
        <v>707.62965899999995</v>
      </c>
      <c r="M148" s="210">
        <v>716.53066100000001</v>
      </c>
      <c r="N148" s="210">
        <v>991.85788000000002</v>
      </c>
      <c r="O148" s="210">
        <v>991.86230346719981</v>
      </c>
      <c r="P148" s="210">
        <v>991.86230346719981</v>
      </c>
      <c r="Q148" s="210">
        <v>991.86230346719981</v>
      </c>
      <c r="R148" s="210">
        <v>991.86230346719981</v>
      </c>
      <c r="S148" s="210"/>
      <c r="T148" s="210"/>
      <c r="U148" s="210"/>
      <c r="V148" s="209"/>
      <c r="W148" s="209"/>
      <c r="X148" s="209"/>
      <c r="Y148" s="209"/>
    </row>
    <row r="149" spans="1:25" x14ac:dyDescent="0.2">
      <c r="A149" s="198">
        <v>489</v>
      </c>
      <c r="B149" s="199" t="s">
        <v>285</v>
      </c>
      <c r="C149" s="211">
        <v>8</v>
      </c>
      <c r="D149" s="210">
        <v>4667.1405800000002</v>
      </c>
      <c r="E149" s="210">
        <v>4528.9015992399654</v>
      </c>
      <c r="F149" s="210">
        <v>4733.9415094041378</v>
      </c>
      <c r="G149" s="210">
        <v>2365.9841445745637</v>
      </c>
      <c r="H149" s="210">
        <v>2310.2609643683659</v>
      </c>
      <c r="I149" s="210">
        <v>834.12248</v>
      </c>
      <c r="J149" s="210">
        <v>791.59489199999996</v>
      </c>
      <c r="K149" s="210">
        <v>858.43516600000009</v>
      </c>
      <c r="L149" s="210">
        <v>662.57859899999994</v>
      </c>
      <c r="M149" s="210">
        <v>670.9129210000001</v>
      </c>
      <c r="N149" s="210">
        <v>495.04477000000003</v>
      </c>
      <c r="O149" s="210">
        <v>504.93137376000004</v>
      </c>
      <c r="P149" s="210">
        <v>504.93137376000004</v>
      </c>
      <c r="Q149" s="210">
        <v>504.93137376000004</v>
      </c>
      <c r="R149" s="210">
        <v>504.93137376000004</v>
      </c>
      <c r="S149" s="210"/>
      <c r="T149" s="210"/>
      <c r="U149" s="210"/>
      <c r="V149" s="209"/>
      <c r="W149" s="209"/>
      <c r="X149" s="209"/>
      <c r="Y149" s="209"/>
    </row>
    <row r="150" spans="1:25" x14ac:dyDescent="0.2">
      <c r="A150" s="198">
        <v>491</v>
      </c>
      <c r="B150" s="199" t="s">
        <v>286</v>
      </c>
      <c r="C150" s="197">
        <v>10</v>
      </c>
      <c r="D150" s="210">
        <v>169358.38080000001</v>
      </c>
      <c r="E150" s="210">
        <v>173366.63007964846</v>
      </c>
      <c r="F150" s="210">
        <v>180334.56383139815</v>
      </c>
      <c r="G150" s="210">
        <v>92115.594287366213</v>
      </c>
      <c r="H150" s="210">
        <v>89787.769743454322</v>
      </c>
      <c r="I150" s="210">
        <v>13293.10576</v>
      </c>
      <c r="J150" s="210">
        <v>13610.844017000001</v>
      </c>
      <c r="K150" s="210">
        <v>14771.047278</v>
      </c>
      <c r="L150" s="210">
        <v>11400.953966999999</v>
      </c>
      <c r="M150" s="210">
        <v>11544.362193000001</v>
      </c>
      <c r="N150" s="210">
        <v>18947.333200000001</v>
      </c>
      <c r="O150" s="210">
        <v>19188.927898519196</v>
      </c>
      <c r="P150" s="210">
        <v>19188.927898519196</v>
      </c>
      <c r="Q150" s="210">
        <v>19188.927898519196</v>
      </c>
      <c r="R150" s="210">
        <v>19188.927898519196</v>
      </c>
      <c r="S150" s="210"/>
      <c r="T150" s="210"/>
      <c r="U150" s="210"/>
      <c r="V150" s="209"/>
      <c r="W150" s="209"/>
      <c r="X150" s="209"/>
      <c r="Y150" s="209"/>
    </row>
    <row r="151" spans="1:25" x14ac:dyDescent="0.2">
      <c r="A151" s="198">
        <v>494</v>
      </c>
      <c r="B151" s="199" t="s">
        <v>287</v>
      </c>
      <c r="C151" s="197">
        <v>17</v>
      </c>
      <c r="D151" s="210">
        <v>24970.072600000003</v>
      </c>
      <c r="E151" s="210">
        <v>26090.592648307342</v>
      </c>
      <c r="F151" s="210">
        <v>27305.473289960111</v>
      </c>
      <c r="G151" s="210">
        <v>14329.766470814862</v>
      </c>
      <c r="H151" s="210">
        <v>13993.06642883908</v>
      </c>
      <c r="I151" s="210">
        <v>1204.75899</v>
      </c>
      <c r="J151" s="210">
        <v>760.70608099999993</v>
      </c>
      <c r="K151" s="210">
        <v>818.40813000000003</v>
      </c>
      <c r="L151" s="210">
        <v>631.68394499999999</v>
      </c>
      <c r="M151" s="210">
        <v>639.62965499999996</v>
      </c>
      <c r="N151" s="210">
        <v>3661.9097099999999</v>
      </c>
      <c r="O151" s="210">
        <v>3636.4712360064</v>
      </c>
      <c r="P151" s="210">
        <v>3636.4712360064</v>
      </c>
      <c r="Q151" s="210">
        <v>3636.4712360064</v>
      </c>
      <c r="R151" s="210">
        <v>3636.4712360064</v>
      </c>
      <c r="S151" s="210"/>
      <c r="T151" s="210"/>
      <c r="U151" s="210"/>
      <c r="V151" s="209"/>
      <c r="W151" s="209"/>
      <c r="X151" s="209"/>
      <c r="Y151" s="209"/>
    </row>
    <row r="152" spans="1:25" x14ac:dyDescent="0.2">
      <c r="A152" s="198">
        <v>495</v>
      </c>
      <c r="B152" s="199" t="s">
        <v>288</v>
      </c>
      <c r="C152" s="197">
        <v>13</v>
      </c>
      <c r="D152" s="210">
        <v>3973.2375000000002</v>
      </c>
      <c r="E152" s="210">
        <v>4044.4188507984391</v>
      </c>
      <c r="F152" s="210">
        <v>4176.3960570366753</v>
      </c>
      <c r="G152" s="210">
        <v>2305.2333468501802</v>
      </c>
      <c r="H152" s="210">
        <v>2280.5969913783115</v>
      </c>
      <c r="I152" s="210">
        <v>1080.6575399999999</v>
      </c>
      <c r="J152" s="210">
        <v>1108.390412</v>
      </c>
      <c r="K152" s="210">
        <v>1201.6183940000001</v>
      </c>
      <c r="L152" s="210">
        <v>927.46274100000005</v>
      </c>
      <c r="M152" s="210">
        <v>939.12893900000017</v>
      </c>
      <c r="N152" s="210">
        <v>403.81428000000005</v>
      </c>
      <c r="O152" s="210">
        <v>398.78419366800006</v>
      </c>
      <c r="P152" s="210">
        <v>398.78419366800006</v>
      </c>
      <c r="Q152" s="210">
        <v>398.78419366800006</v>
      </c>
      <c r="R152" s="210">
        <v>398.78419366800006</v>
      </c>
      <c r="S152" s="210"/>
      <c r="T152" s="210"/>
      <c r="U152" s="210"/>
      <c r="V152" s="209"/>
      <c r="W152" s="209"/>
      <c r="X152" s="209"/>
      <c r="Y152" s="209"/>
    </row>
    <row r="153" spans="1:25" x14ac:dyDescent="0.2">
      <c r="A153" s="198">
        <v>498</v>
      </c>
      <c r="B153" s="199" t="s">
        <v>289</v>
      </c>
      <c r="C153" s="197">
        <v>19</v>
      </c>
      <c r="D153" s="210">
        <v>7044.0880800000004</v>
      </c>
      <c r="E153" s="210">
        <v>7422.5002854582917</v>
      </c>
      <c r="F153" s="210">
        <v>7507.4010078334059</v>
      </c>
      <c r="G153" s="210">
        <v>4183.5600526958633</v>
      </c>
      <c r="H153" s="210">
        <v>4095.9738459433838</v>
      </c>
      <c r="I153" s="210">
        <v>728.14525000000003</v>
      </c>
      <c r="J153" s="210">
        <v>721.72262000000001</v>
      </c>
      <c r="K153" s="210">
        <v>782.39170799999999</v>
      </c>
      <c r="L153" s="210">
        <v>603.884862</v>
      </c>
      <c r="M153" s="210">
        <v>611.48089799999991</v>
      </c>
      <c r="N153" s="210">
        <v>965.8595600000001</v>
      </c>
      <c r="O153" s="210">
        <v>941.5437839760001</v>
      </c>
      <c r="P153" s="210">
        <v>941.5437839760001</v>
      </c>
      <c r="Q153" s="210">
        <v>941.5437839760001</v>
      </c>
      <c r="R153" s="210">
        <v>941.5437839760001</v>
      </c>
      <c r="S153" s="210"/>
      <c r="T153" s="210"/>
      <c r="U153" s="210"/>
      <c r="V153" s="209"/>
      <c r="W153" s="209"/>
      <c r="X153" s="209"/>
      <c r="Y153" s="209"/>
    </row>
    <row r="154" spans="1:25" x14ac:dyDescent="0.2">
      <c r="A154" s="198">
        <v>499</v>
      </c>
      <c r="B154" s="199" t="s">
        <v>290</v>
      </c>
      <c r="C154" s="197">
        <v>15</v>
      </c>
      <c r="D154" s="210">
        <v>69596.135299999994</v>
      </c>
      <c r="E154" s="210">
        <v>69947.12500761004</v>
      </c>
      <c r="F154" s="210">
        <v>73772.156378158848</v>
      </c>
      <c r="G154" s="210">
        <v>38392.653352697547</v>
      </c>
      <c r="H154" s="210">
        <v>37268.124960140558</v>
      </c>
      <c r="I154" s="210">
        <v>2650.0315000000001</v>
      </c>
      <c r="J154" s="210">
        <v>2429.4754040000003</v>
      </c>
      <c r="K154" s="210">
        <v>2629.3304400000006</v>
      </c>
      <c r="L154" s="210">
        <v>2029.4346600000001</v>
      </c>
      <c r="M154" s="210">
        <v>2054.9621400000001</v>
      </c>
      <c r="N154" s="210">
        <v>4578.7266500000005</v>
      </c>
      <c r="O154" s="210">
        <v>4552.9041108480005</v>
      </c>
      <c r="P154" s="210">
        <v>4552.9041108480005</v>
      </c>
      <c r="Q154" s="210">
        <v>4552.9041108480005</v>
      </c>
      <c r="R154" s="210">
        <v>4552.9041108480005</v>
      </c>
      <c r="S154" s="210"/>
      <c r="T154" s="210"/>
      <c r="U154" s="210"/>
      <c r="V154" s="209"/>
      <c r="W154" s="209"/>
      <c r="X154" s="209"/>
      <c r="Y154" s="209"/>
    </row>
    <row r="155" spans="1:25" x14ac:dyDescent="0.2">
      <c r="A155" s="198">
        <v>500</v>
      </c>
      <c r="B155" s="199" t="s">
        <v>291</v>
      </c>
      <c r="C155" s="211">
        <v>13</v>
      </c>
      <c r="D155" s="210">
        <v>34204.221680000002</v>
      </c>
      <c r="E155" s="210">
        <v>35942.341061427862</v>
      </c>
      <c r="F155" s="210">
        <v>36989.489304260336</v>
      </c>
      <c r="G155" s="210">
        <v>17961.56715471618</v>
      </c>
      <c r="H155" s="210">
        <v>17220.798883696447</v>
      </c>
      <c r="I155" s="210">
        <v>2316.3331200000002</v>
      </c>
      <c r="J155" s="210">
        <v>2174.8812210000001</v>
      </c>
      <c r="K155" s="210">
        <v>2358.7819880000002</v>
      </c>
      <c r="L155" s="210">
        <v>1820.6132820000003</v>
      </c>
      <c r="M155" s="210">
        <v>1843.5140780000002</v>
      </c>
      <c r="N155" s="210">
        <v>2133.9066400000002</v>
      </c>
      <c r="O155" s="210">
        <v>2216.0421316080001</v>
      </c>
      <c r="P155" s="210">
        <v>2216.0421316080001</v>
      </c>
      <c r="Q155" s="210">
        <v>2216.0421316080001</v>
      </c>
      <c r="R155" s="210">
        <v>2216.0421316080001</v>
      </c>
      <c r="S155" s="210"/>
      <c r="T155" s="210"/>
      <c r="U155" s="210"/>
      <c r="V155" s="209"/>
      <c r="W155" s="209"/>
      <c r="X155" s="209"/>
      <c r="Y155" s="209"/>
    </row>
    <row r="156" spans="1:25" x14ac:dyDescent="0.2">
      <c r="A156" s="198">
        <v>503</v>
      </c>
      <c r="B156" s="199" t="s">
        <v>292</v>
      </c>
      <c r="C156" s="197">
        <v>2</v>
      </c>
      <c r="D156" s="210">
        <v>25159.873449999999</v>
      </c>
      <c r="E156" s="210">
        <v>25514.333257570685</v>
      </c>
      <c r="F156" s="210">
        <v>26379.342278131353</v>
      </c>
      <c r="G156" s="210">
        <v>13919.23502310068</v>
      </c>
      <c r="H156" s="210">
        <v>13574.165256099917</v>
      </c>
      <c r="I156" s="210">
        <v>1113.3808300000001</v>
      </c>
      <c r="J156" s="210">
        <v>1004.687963</v>
      </c>
      <c r="K156" s="210">
        <v>1088.3736020000001</v>
      </c>
      <c r="L156" s="210">
        <v>840.0553530000002</v>
      </c>
      <c r="M156" s="210">
        <v>850.62208700000019</v>
      </c>
      <c r="N156" s="210">
        <v>1586.66058</v>
      </c>
      <c r="O156" s="210">
        <v>1584.9068469599997</v>
      </c>
      <c r="P156" s="210">
        <v>1584.9068469599997</v>
      </c>
      <c r="Q156" s="210">
        <v>1584.9068469599997</v>
      </c>
      <c r="R156" s="210">
        <v>1584.9068469599997</v>
      </c>
      <c r="S156" s="210"/>
      <c r="T156" s="210"/>
      <c r="U156" s="210"/>
      <c r="V156" s="209"/>
      <c r="W156" s="209"/>
      <c r="X156" s="209"/>
      <c r="Y156" s="209"/>
    </row>
    <row r="157" spans="1:25" x14ac:dyDescent="0.2">
      <c r="A157" s="198">
        <v>504</v>
      </c>
      <c r="B157" s="199" t="s">
        <v>293</v>
      </c>
      <c r="C157" s="197">
        <v>1</v>
      </c>
      <c r="D157" s="210">
        <v>5514.8320700000004</v>
      </c>
      <c r="E157" s="210">
        <v>5743.7414730429537</v>
      </c>
      <c r="F157" s="210">
        <v>5977.838651993814</v>
      </c>
      <c r="G157" s="210">
        <v>3279.6402128391492</v>
      </c>
      <c r="H157" s="210">
        <v>3221.412341922382</v>
      </c>
      <c r="I157" s="210">
        <v>463.33703000000003</v>
      </c>
      <c r="J157" s="210">
        <v>445.59004300000004</v>
      </c>
      <c r="K157" s="210">
        <v>482.94681200000002</v>
      </c>
      <c r="L157" s="210">
        <v>372.75991800000003</v>
      </c>
      <c r="M157" s="210">
        <v>377.44872199999998</v>
      </c>
      <c r="N157" s="210">
        <v>399.92536000000001</v>
      </c>
      <c r="O157" s="210">
        <v>394.568696832</v>
      </c>
      <c r="P157" s="210">
        <v>394.568696832</v>
      </c>
      <c r="Q157" s="210">
        <v>394.568696832</v>
      </c>
      <c r="R157" s="210">
        <v>394.568696832</v>
      </c>
      <c r="S157" s="210"/>
      <c r="T157" s="210"/>
      <c r="U157" s="210"/>
      <c r="V157" s="209"/>
      <c r="W157" s="209"/>
      <c r="X157" s="209"/>
      <c r="Y157" s="209"/>
    </row>
    <row r="158" spans="1:25" x14ac:dyDescent="0.2">
      <c r="A158" s="198">
        <v>505</v>
      </c>
      <c r="B158" s="199" t="s">
        <v>294</v>
      </c>
      <c r="C158" s="197">
        <v>1</v>
      </c>
      <c r="D158" s="210">
        <v>71548.658660000001</v>
      </c>
      <c r="E158" s="210">
        <v>71825.512979578314</v>
      </c>
      <c r="F158" s="210">
        <v>76510.825979564368</v>
      </c>
      <c r="G158" s="210">
        <v>39256.454309812012</v>
      </c>
      <c r="H158" s="210">
        <v>37918.502531463528</v>
      </c>
      <c r="I158" s="210">
        <v>2876.5525200000002</v>
      </c>
      <c r="J158" s="210">
        <v>2861.4686549999992</v>
      </c>
      <c r="K158" s="210">
        <v>3101.7337599999996</v>
      </c>
      <c r="L158" s="210">
        <v>2394.0566399999998</v>
      </c>
      <c r="M158" s="210">
        <v>2424.17056</v>
      </c>
      <c r="N158" s="210">
        <v>6885.1703600000001</v>
      </c>
      <c r="O158" s="210">
        <v>6779.4120802320003</v>
      </c>
      <c r="P158" s="210">
        <v>6779.4120802320003</v>
      </c>
      <c r="Q158" s="210">
        <v>6779.4120802320003</v>
      </c>
      <c r="R158" s="210">
        <v>6779.4120802320003</v>
      </c>
      <c r="S158" s="210"/>
      <c r="T158" s="210"/>
      <c r="U158" s="210"/>
      <c r="V158" s="209"/>
      <c r="W158" s="209"/>
      <c r="X158" s="209"/>
      <c r="Y158" s="209"/>
    </row>
    <row r="159" spans="1:25" x14ac:dyDescent="0.2">
      <c r="A159" s="198">
        <v>508</v>
      </c>
      <c r="B159" s="199" t="s">
        <v>295</v>
      </c>
      <c r="C159" s="197">
        <v>6</v>
      </c>
      <c r="D159" s="210">
        <v>35687.24553</v>
      </c>
      <c r="E159" s="210">
        <v>35301.997600019917</v>
      </c>
      <c r="F159" s="210">
        <v>36447.110565618044</v>
      </c>
      <c r="G159" s="210">
        <v>19524.787847782725</v>
      </c>
      <c r="H159" s="210">
        <v>19291.095322172019</v>
      </c>
      <c r="I159" s="210">
        <v>1771.51496</v>
      </c>
      <c r="J159" s="210">
        <v>2156.9007930000002</v>
      </c>
      <c r="K159" s="210">
        <v>2334.4472080000005</v>
      </c>
      <c r="L159" s="210">
        <v>1801.8306120000002</v>
      </c>
      <c r="M159" s="210">
        <v>1824.495148</v>
      </c>
      <c r="N159" s="210">
        <v>3181.6765699999996</v>
      </c>
      <c r="O159" s="210">
        <v>3147.9769597679997</v>
      </c>
      <c r="P159" s="210">
        <v>3147.9769597679997</v>
      </c>
      <c r="Q159" s="210">
        <v>3147.9769597679997</v>
      </c>
      <c r="R159" s="210">
        <v>3147.9769597679997</v>
      </c>
      <c r="S159" s="210"/>
      <c r="T159" s="210"/>
      <c r="U159" s="210"/>
      <c r="V159" s="209"/>
      <c r="W159" s="209"/>
      <c r="X159" s="209"/>
      <c r="Y159" s="209"/>
    </row>
    <row r="160" spans="1:25" x14ac:dyDescent="0.2">
      <c r="A160" s="198">
        <v>507</v>
      </c>
      <c r="B160" s="199" t="s">
        <v>296</v>
      </c>
      <c r="C160" s="197">
        <v>10</v>
      </c>
      <c r="D160" s="210">
        <v>16105.32085</v>
      </c>
      <c r="E160" s="210">
        <v>16269.111130937339</v>
      </c>
      <c r="F160" s="210">
        <v>16662.30141271331</v>
      </c>
      <c r="G160" s="210">
        <v>8138.9872745426119</v>
      </c>
      <c r="H160" s="210">
        <v>7927.056583827798</v>
      </c>
      <c r="I160" s="210">
        <v>2345.9521800000002</v>
      </c>
      <c r="J160" s="210">
        <v>2287.2177219999999</v>
      </c>
      <c r="K160" s="210">
        <v>2479.3356599999997</v>
      </c>
      <c r="L160" s="210">
        <v>1913.6619899999998</v>
      </c>
      <c r="M160" s="210">
        <v>1937.7332099999996</v>
      </c>
      <c r="N160" s="210">
        <v>2567.5928900000004</v>
      </c>
      <c r="O160" s="210">
        <v>2806.3182337080002</v>
      </c>
      <c r="P160" s="210">
        <v>2806.3182337080002</v>
      </c>
      <c r="Q160" s="210">
        <v>2806.3182337080002</v>
      </c>
      <c r="R160" s="210">
        <v>2806.3182337080002</v>
      </c>
      <c r="S160" s="210"/>
      <c r="T160" s="210"/>
      <c r="U160" s="210"/>
      <c r="V160" s="209"/>
      <c r="W160" s="209"/>
      <c r="X160" s="209"/>
      <c r="Y160" s="209"/>
    </row>
    <row r="161" spans="1:25" x14ac:dyDescent="0.2">
      <c r="A161" s="198">
        <v>529</v>
      </c>
      <c r="B161" s="199" t="s">
        <v>297</v>
      </c>
      <c r="C161" s="197">
        <v>2</v>
      </c>
      <c r="D161" s="210">
        <v>71893.900680000006</v>
      </c>
      <c r="E161" s="210">
        <v>75676.714946581269</v>
      </c>
      <c r="F161" s="210">
        <v>77605.541872722664</v>
      </c>
      <c r="G161" s="210">
        <v>36246.883363278866</v>
      </c>
      <c r="H161" s="210">
        <v>34500.517764084943</v>
      </c>
      <c r="I161" s="210">
        <v>7868.2313899999999</v>
      </c>
      <c r="J161" s="210">
        <v>10079.557018</v>
      </c>
      <c r="K161" s="210">
        <v>10942.171628</v>
      </c>
      <c r="L161" s="210">
        <v>8445.656742000001</v>
      </c>
      <c r="M161" s="210">
        <v>8551.8914179999992</v>
      </c>
      <c r="N161" s="210">
        <v>6545.5617899999997</v>
      </c>
      <c r="O161" s="210">
        <v>6603.6331689120007</v>
      </c>
      <c r="P161" s="210">
        <v>6603.6331689120007</v>
      </c>
      <c r="Q161" s="210">
        <v>6603.6331689120007</v>
      </c>
      <c r="R161" s="210">
        <v>6603.6331689120007</v>
      </c>
      <c r="S161" s="210"/>
      <c r="T161" s="210"/>
      <c r="U161" s="210"/>
      <c r="V161" s="209"/>
      <c r="W161" s="209"/>
      <c r="X161" s="209"/>
      <c r="Y161" s="209"/>
    </row>
    <row r="162" spans="1:25" x14ac:dyDescent="0.2">
      <c r="A162" s="198">
        <v>531</v>
      </c>
      <c r="B162" s="199" t="s">
        <v>298</v>
      </c>
      <c r="C162" s="197">
        <v>4</v>
      </c>
      <c r="D162" s="210">
        <v>16885.4575</v>
      </c>
      <c r="E162" s="210">
        <v>17793.282321967956</v>
      </c>
      <c r="F162" s="210">
        <v>18445.6674252048</v>
      </c>
      <c r="G162" s="210">
        <v>9629.8188362649271</v>
      </c>
      <c r="H162" s="210">
        <v>9467.6206865265085</v>
      </c>
      <c r="I162" s="210">
        <v>693.74287000000004</v>
      </c>
      <c r="J162" s="210">
        <v>575.66151500000001</v>
      </c>
      <c r="K162" s="210">
        <v>621.29929600000003</v>
      </c>
      <c r="L162" s="210">
        <v>479.54654400000004</v>
      </c>
      <c r="M162" s="210">
        <v>485.57857600000006</v>
      </c>
      <c r="N162" s="210">
        <v>1340.0297700000001</v>
      </c>
      <c r="O162" s="210">
        <v>1313.1503005919999</v>
      </c>
      <c r="P162" s="210">
        <v>1313.1503005919999</v>
      </c>
      <c r="Q162" s="210">
        <v>1313.1503005919999</v>
      </c>
      <c r="R162" s="210">
        <v>1313.1503005919999</v>
      </c>
      <c r="S162" s="210"/>
      <c r="T162" s="210"/>
      <c r="U162" s="210"/>
      <c r="V162" s="209"/>
      <c r="W162" s="209"/>
      <c r="X162" s="209"/>
      <c r="Y162" s="209"/>
    </row>
    <row r="163" spans="1:25" x14ac:dyDescent="0.2">
      <c r="A163" s="198">
        <v>535</v>
      </c>
      <c r="B163" s="199" t="s">
        <v>299</v>
      </c>
      <c r="C163" s="197">
        <v>17</v>
      </c>
      <c r="D163" s="210">
        <v>27412.305079999998</v>
      </c>
      <c r="E163" s="210">
        <v>28177.208763237497</v>
      </c>
      <c r="F163" s="210">
        <v>29263.59393892693</v>
      </c>
      <c r="G163" s="210">
        <v>15863.360887075039</v>
      </c>
      <c r="H163" s="210">
        <v>15612.605033384183</v>
      </c>
      <c r="I163" s="210">
        <v>1231.7588600000001</v>
      </c>
      <c r="J163" s="210">
        <v>1157.4139230000001</v>
      </c>
      <c r="K163" s="210">
        <v>1253.488576</v>
      </c>
      <c r="L163" s="210">
        <v>967.49846400000001</v>
      </c>
      <c r="M163" s="210">
        <v>979.66825600000004</v>
      </c>
      <c r="N163" s="210">
        <v>2334.2230800000002</v>
      </c>
      <c r="O163" s="210">
        <v>2446.881579156</v>
      </c>
      <c r="P163" s="210">
        <v>2446.881579156</v>
      </c>
      <c r="Q163" s="210">
        <v>2446.881579156</v>
      </c>
      <c r="R163" s="210">
        <v>2446.881579156</v>
      </c>
      <c r="S163" s="210"/>
      <c r="T163" s="210"/>
      <c r="U163" s="210"/>
      <c r="V163" s="209"/>
      <c r="W163" s="209"/>
      <c r="X163" s="209"/>
      <c r="Y163" s="209"/>
    </row>
    <row r="164" spans="1:25" x14ac:dyDescent="0.2">
      <c r="A164" s="198">
        <v>536</v>
      </c>
      <c r="B164" s="199" t="s">
        <v>300</v>
      </c>
      <c r="C164" s="197">
        <v>6</v>
      </c>
      <c r="D164" s="210">
        <v>114222.08299</v>
      </c>
      <c r="E164" s="210">
        <v>120770.85474266743</v>
      </c>
      <c r="F164" s="210">
        <v>126379.33418283054</v>
      </c>
      <c r="G164" s="210">
        <v>63998.861372089043</v>
      </c>
      <c r="H164" s="210">
        <v>62198.909457550901</v>
      </c>
      <c r="I164" s="210">
        <v>7239.76991</v>
      </c>
      <c r="J164" s="210">
        <v>9263.4713460000021</v>
      </c>
      <c r="K164" s="210">
        <v>10058.501874000001</v>
      </c>
      <c r="L164" s="210">
        <v>7763.6009610000001</v>
      </c>
      <c r="M164" s="210">
        <v>7861.2563190000001</v>
      </c>
      <c r="N164" s="210">
        <v>8614.2804800000013</v>
      </c>
      <c r="O164" s="210">
        <v>8841.5918100119998</v>
      </c>
      <c r="P164" s="210">
        <v>8841.5918100119998</v>
      </c>
      <c r="Q164" s="210">
        <v>8841.5918100119998</v>
      </c>
      <c r="R164" s="210">
        <v>8841.5918100119998</v>
      </c>
      <c r="S164" s="210"/>
      <c r="T164" s="210"/>
      <c r="U164" s="210"/>
      <c r="V164" s="209"/>
      <c r="W164" s="209"/>
      <c r="X164" s="209"/>
      <c r="Y164" s="209"/>
    </row>
    <row r="165" spans="1:25" x14ac:dyDescent="0.2">
      <c r="A165" s="198">
        <v>538</v>
      </c>
      <c r="B165" s="199" t="s">
        <v>301</v>
      </c>
      <c r="C165" s="197">
        <v>2</v>
      </c>
      <c r="D165" s="210">
        <v>16097.820599999999</v>
      </c>
      <c r="E165" s="210">
        <v>17028.685149419947</v>
      </c>
      <c r="F165" s="210">
        <v>17781.499294541129</v>
      </c>
      <c r="G165" s="210">
        <v>9592.2727503379156</v>
      </c>
      <c r="H165" s="210">
        <v>9348.8771278951317</v>
      </c>
      <c r="I165" s="210">
        <v>462.21415999999999</v>
      </c>
      <c r="J165" s="210">
        <v>458.93018900000004</v>
      </c>
      <c r="K165" s="210">
        <v>497.05925400000001</v>
      </c>
      <c r="L165" s="210">
        <v>383.65253099999995</v>
      </c>
      <c r="M165" s="210">
        <v>388.47834899999998</v>
      </c>
      <c r="N165" s="210">
        <v>852.56156999999996</v>
      </c>
      <c r="O165" s="210">
        <v>851.24782790400013</v>
      </c>
      <c r="P165" s="210">
        <v>851.24782790400013</v>
      </c>
      <c r="Q165" s="210">
        <v>851.24782790400013</v>
      </c>
      <c r="R165" s="210">
        <v>851.24782790400013</v>
      </c>
      <c r="S165" s="210"/>
      <c r="T165" s="210"/>
      <c r="U165" s="210"/>
      <c r="V165" s="209"/>
      <c r="W165" s="209"/>
      <c r="X165" s="209"/>
      <c r="Y165" s="209"/>
    </row>
    <row r="166" spans="1:25" x14ac:dyDescent="0.2">
      <c r="A166" s="198">
        <v>541</v>
      </c>
      <c r="B166" s="199" t="s">
        <v>302</v>
      </c>
      <c r="C166" s="197">
        <v>12</v>
      </c>
      <c r="D166" s="210">
        <v>19706.26224</v>
      </c>
      <c r="E166" s="210">
        <v>19875.534053688589</v>
      </c>
      <c r="F166" s="210">
        <v>20689.423275281344</v>
      </c>
      <c r="G166" s="210">
        <v>10510.223269144361</v>
      </c>
      <c r="H166" s="210">
        <v>10347.841451333832</v>
      </c>
      <c r="I166" s="210">
        <v>2881.04495</v>
      </c>
      <c r="J166" s="210">
        <v>2607.9726379999997</v>
      </c>
      <c r="K166" s="210">
        <v>2827.158214</v>
      </c>
      <c r="L166" s="210">
        <v>2182.1269709999997</v>
      </c>
      <c r="M166" s="210">
        <v>2209.5751089999994</v>
      </c>
      <c r="N166" s="210">
        <v>1652.3687399999999</v>
      </c>
      <c r="O166" s="210">
        <v>1660.7561965032</v>
      </c>
      <c r="P166" s="210">
        <v>1660.7561965032</v>
      </c>
      <c r="Q166" s="210">
        <v>1660.7561965032</v>
      </c>
      <c r="R166" s="210">
        <v>1660.7561965032</v>
      </c>
      <c r="S166" s="210"/>
      <c r="T166" s="210"/>
      <c r="U166" s="210"/>
      <c r="V166" s="209"/>
      <c r="W166" s="209"/>
      <c r="X166" s="209"/>
      <c r="Y166" s="209"/>
    </row>
    <row r="167" spans="1:25" x14ac:dyDescent="0.2">
      <c r="A167" s="198">
        <v>543</v>
      </c>
      <c r="B167" s="199" t="s">
        <v>303</v>
      </c>
      <c r="C167" s="197">
        <v>1</v>
      </c>
      <c r="D167" s="210">
        <v>165825.21943999999</v>
      </c>
      <c r="E167" s="210">
        <v>168835.48778141674</v>
      </c>
      <c r="F167" s="210">
        <v>178706.13536300504</v>
      </c>
      <c r="G167" s="210">
        <v>86311.908723427128</v>
      </c>
      <c r="H167" s="210">
        <v>82184.722694058757</v>
      </c>
      <c r="I167" s="210">
        <v>7810.3067099999998</v>
      </c>
      <c r="J167" s="210">
        <v>7737.9631610000006</v>
      </c>
      <c r="K167" s="210">
        <v>8391.1798980000021</v>
      </c>
      <c r="L167" s="210">
        <v>6476.6873970000015</v>
      </c>
      <c r="M167" s="210">
        <v>6558.1551630000004</v>
      </c>
      <c r="N167" s="210">
        <v>8972.2028300000002</v>
      </c>
      <c r="O167" s="210">
        <v>9370.9856228352</v>
      </c>
      <c r="P167" s="210">
        <v>9370.9856228352</v>
      </c>
      <c r="Q167" s="210">
        <v>9370.9856228352</v>
      </c>
      <c r="R167" s="210">
        <v>9370.9856228352</v>
      </c>
      <c r="S167" s="210"/>
      <c r="T167" s="210"/>
      <c r="U167" s="210"/>
      <c r="V167" s="209"/>
      <c r="W167" s="209"/>
      <c r="X167" s="209"/>
      <c r="Y167" s="209"/>
    </row>
    <row r="168" spans="1:25" x14ac:dyDescent="0.2">
      <c r="A168" s="198">
        <v>545</v>
      </c>
      <c r="B168" s="199" t="s">
        <v>304</v>
      </c>
      <c r="C168" s="197">
        <v>15</v>
      </c>
      <c r="D168" s="210">
        <v>26287.722949999999</v>
      </c>
      <c r="E168" s="210">
        <v>26787.405749517598</v>
      </c>
      <c r="F168" s="210">
        <v>27851.09811390769</v>
      </c>
      <c r="G168" s="210">
        <v>15389.866297176133</v>
      </c>
      <c r="H168" s="210">
        <v>15020.267521536474</v>
      </c>
      <c r="I168" s="210">
        <v>2618.9780000000001</v>
      </c>
      <c r="J168" s="210">
        <v>2558.1146180000001</v>
      </c>
      <c r="K168" s="210">
        <v>2773.1680860000006</v>
      </c>
      <c r="L168" s="210">
        <v>2140.4549790000001</v>
      </c>
      <c r="M168" s="210">
        <v>2167.3789409999999</v>
      </c>
      <c r="N168" s="210">
        <v>2909.8216299999999</v>
      </c>
      <c r="O168" s="210">
        <v>2975.5729992000001</v>
      </c>
      <c r="P168" s="210">
        <v>2975.5729992000001</v>
      </c>
      <c r="Q168" s="210">
        <v>2975.5729992000001</v>
      </c>
      <c r="R168" s="210">
        <v>2975.5729992000001</v>
      </c>
      <c r="S168" s="210"/>
      <c r="T168" s="210"/>
      <c r="U168" s="210"/>
      <c r="V168" s="209"/>
      <c r="W168" s="209"/>
      <c r="X168" s="209"/>
      <c r="Y168" s="209"/>
    </row>
    <row r="169" spans="1:25" x14ac:dyDescent="0.2">
      <c r="A169" s="198">
        <v>560</v>
      </c>
      <c r="B169" s="199" t="s">
        <v>305</v>
      </c>
      <c r="C169" s="197">
        <v>7</v>
      </c>
      <c r="D169" s="210">
        <v>48767.957999999999</v>
      </c>
      <c r="E169" s="210">
        <v>49456.4990545275</v>
      </c>
      <c r="F169" s="210">
        <v>51420.880627852843</v>
      </c>
      <c r="G169" s="210">
        <v>26737.750467668033</v>
      </c>
      <c r="H169" s="210">
        <v>26103.864995753331</v>
      </c>
      <c r="I169" s="210">
        <v>2691.32123</v>
      </c>
      <c r="J169" s="210">
        <v>2407.0747919999999</v>
      </c>
      <c r="K169" s="210">
        <v>2604.6751240000003</v>
      </c>
      <c r="L169" s="210">
        <v>2010.4045860000001</v>
      </c>
      <c r="M169" s="210">
        <v>2035.6926940000001</v>
      </c>
      <c r="N169" s="210">
        <v>4380.4495499999994</v>
      </c>
      <c r="O169" s="210">
        <v>4305.3852743759999</v>
      </c>
      <c r="P169" s="210">
        <v>4305.3852743759999</v>
      </c>
      <c r="Q169" s="210">
        <v>4305.3852743759999</v>
      </c>
      <c r="R169" s="210">
        <v>4305.3852743759999</v>
      </c>
      <c r="S169" s="210"/>
      <c r="T169" s="210"/>
      <c r="U169" s="210"/>
      <c r="V169" s="209"/>
      <c r="W169" s="209"/>
      <c r="X169" s="209"/>
      <c r="Y169" s="209"/>
    </row>
    <row r="170" spans="1:25" x14ac:dyDescent="0.2">
      <c r="A170" s="198">
        <v>561</v>
      </c>
      <c r="B170" s="199" t="s">
        <v>306</v>
      </c>
      <c r="C170" s="197">
        <v>2</v>
      </c>
      <c r="D170" s="210">
        <v>3458.2363399999999</v>
      </c>
      <c r="E170" s="210">
        <v>3454.2097259034886</v>
      </c>
      <c r="F170" s="210">
        <v>3600.2853367171015</v>
      </c>
      <c r="G170" s="210">
        <v>1803.706746193418</v>
      </c>
      <c r="H170" s="210">
        <v>1740.1467803006856</v>
      </c>
      <c r="I170" s="210">
        <v>387.94514000000004</v>
      </c>
      <c r="J170" s="210">
        <v>362.92500699999994</v>
      </c>
      <c r="K170" s="210">
        <v>393.27583600000003</v>
      </c>
      <c r="L170" s="210">
        <v>303.54785399999997</v>
      </c>
      <c r="M170" s="210">
        <v>307.36606599999999</v>
      </c>
      <c r="N170" s="210">
        <v>327.06822999999997</v>
      </c>
      <c r="O170" s="210">
        <v>318.14979903599999</v>
      </c>
      <c r="P170" s="210">
        <v>318.14979903599999</v>
      </c>
      <c r="Q170" s="210">
        <v>318.14979903599999</v>
      </c>
      <c r="R170" s="210">
        <v>318.14979903599999</v>
      </c>
      <c r="S170" s="210"/>
      <c r="T170" s="210"/>
      <c r="U170" s="210"/>
      <c r="V170" s="209"/>
      <c r="W170" s="209"/>
      <c r="X170" s="209"/>
      <c r="Y170" s="209"/>
    </row>
    <row r="171" spans="1:25" x14ac:dyDescent="0.2">
      <c r="A171" s="198">
        <v>562</v>
      </c>
      <c r="B171" s="237" t="s">
        <v>307</v>
      </c>
      <c r="C171" s="197">
        <v>6</v>
      </c>
      <c r="D171" s="210">
        <v>28773.740329999997</v>
      </c>
      <c r="E171" s="210">
        <v>28877.33784562815</v>
      </c>
      <c r="F171" s="210">
        <v>30010.960877392808</v>
      </c>
      <c r="G171" s="210">
        <v>16636.827095321452</v>
      </c>
      <c r="H171" s="210">
        <v>16357.655258163708</v>
      </c>
      <c r="I171" s="210">
        <v>1971.6158400000002</v>
      </c>
      <c r="J171" s="210">
        <v>1933.3091939999997</v>
      </c>
      <c r="K171" s="210">
        <v>2095.9645099999998</v>
      </c>
      <c r="L171" s="210">
        <v>1617.7590149999999</v>
      </c>
      <c r="M171" s="210">
        <v>1638.108185</v>
      </c>
      <c r="N171" s="210">
        <v>3022.2186799999999</v>
      </c>
      <c r="O171" s="210">
        <v>2977.2407222520001</v>
      </c>
      <c r="P171" s="210">
        <v>2977.2407222520001</v>
      </c>
      <c r="Q171" s="210">
        <v>2977.2407222520001</v>
      </c>
      <c r="R171" s="210">
        <v>2977.2407222520001</v>
      </c>
      <c r="S171" s="210"/>
      <c r="T171" s="210"/>
      <c r="U171" s="210"/>
      <c r="V171" s="209"/>
      <c r="W171" s="209"/>
      <c r="X171" s="209"/>
      <c r="Y171" s="209"/>
    </row>
    <row r="172" spans="1:25" x14ac:dyDescent="0.2">
      <c r="A172" s="198">
        <v>563</v>
      </c>
      <c r="B172" s="199" t="s">
        <v>308</v>
      </c>
      <c r="C172" s="197">
        <v>17</v>
      </c>
      <c r="D172" s="210">
        <v>21435.77922</v>
      </c>
      <c r="E172" s="210">
        <v>21754.686664569119</v>
      </c>
      <c r="F172" s="210">
        <v>22477.345959979575</v>
      </c>
      <c r="G172" s="210">
        <v>12098.005838279831</v>
      </c>
      <c r="H172" s="210">
        <v>11890.480652142856</v>
      </c>
      <c r="I172" s="210">
        <v>1278.5369499999999</v>
      </c>
      <c r="J172" s="210">
        <v>1147.8893290000001</v>
      </c>
      <c r="K172" s="210">
        <v>1241.6732400000001</v>
      </c>
      <c r="L172" s="210">
        <v>958.37886000000015</v>
      </c>
      <c r="M172" s="210">
        <v>970.43394000000001</v>
      </c>
      <c r="N172" s="210">
        <v>1901.73713</v>
      </c>
      <c r="O172" s="210">
        <v>2022.2148890879998</v>
      </c>
      <c r="P172" s="210">
        <v>2022.2148890879998</v>
      </c>
      <c r="Q172" s="210">
        <v>2022.2148890879998</v>
      </c>
      <c r="R172" s="210">
        <v>2022.2148890879998</v>
      </c>
      <c r="S172" s="210"/>
      <c r="T172" s="210"/>
      <c r="U172" s="210"/>
      <c r="V172" s="209"/>
      <c r="W172" s="209"/>
      <c r="X172" s="209"/>
      <c r="Y172" s="209"/>
    </row>
    <row r="173" spans="1:25" x14ac:dyDescent="0.2">
      <c r="A173" s="198">
        <v>564</v>
      </c>
      <c r="B173" s="199" t="s">
        <v>309</v>
      </c>
      <c r="C173" s="197">
        <v>17</v>
      </c>
      <c r="D173" s="210">
        <v>665846.24416</v>
      </c>
      <c r="E173" s="210">
        <v>677908.6261596072</v>
      </c>
      <c r="F173" s="210">
        <v>715764.28300303512</v>
      </c>
      <c r="G173" s="210">
        <v>359938.70320594247</v>
      </c>
      <c r="H173" s="210">
        <v>346817.59325276833</v>
      </c>
      <c r="I173" s="210">
        <v>42612.019639999999</v>
      </c>
      <c r="J173" s="210">
        <v>45800.972078000006</v>
      </c>
      <c r="K173" s="210">
        <v>49636.464260000008</v>
      </c>
      <c r="L173" s="210">
        <v>38311.639889999991</v>
      </c>
      <c r="M173" s="210">
        <v>38793.547310000002</v>
      </c>
      <c r="N173" s="210">
        <v>56087.361619999996</v>
      </c>
      <c r="O173" s="210">
        <v>57023.261212411184</v>
      </c>
      <c r="P173" s="210">
        <v>57023.261212411184</v>
      </c>
      <c r="Q173" s="210">
        <v>57023.261212411184</v>
      </c>
      <c r="R173" s="210">
        <v>57023.261212411184</v>
      </c>
      <c r="S173" s="210"/>
      <c r="T173" s="210"/>
      <c r="U173" s="210"/>
      <c r="V173" s="209"/>
      <c r="W173" s="209"/>
      <c r="X173" s="209"/>
      <c r="Y173" s="209"/>
    </row>
    <row r="174" spans="1:25" x14ac:dyDescent="0.2">
      <c r="A174" s="198">
        <v>309</v>
      </c>
      <c r="B174" s="236" t="s">
        <v>310</v>
      </c>
      <c r="C174" s="197">
        <v>12</v>
      </c>
      <c r="D174" s="210">
        <v>19165.561280000002</v>
      </c>
      <c r="E174" s="210">
        <v>18879.055522049828</v>
      </c>
      <c r="F174" s="210">
        <v>19624.631157188396</v>
      </c>
      <c r="G174" s="210">
        <v>10555.863484150525</v>
      </c>
      <c r="H174" s="210">
        <v>10465.478184532532</v>
      </c>
      <c r="I174" s="210">
        <v>1435.6551000000002</v>
      </c>
      <c r="J174" s="210">
        <v>1269.557746</v>
      </c>
      <c r="K174" s="210">
        <v>1372.5839739999999</v>
      </c>
      <c r="L174" s="210">
        <v>1059.421611</v>
      </c>
      <c r="M174" s="210">
        <v>1072.7476689999999</v>
      </c>
      <c r="N174" s="210">
        <v>1763.5146100000002</v>
      </c>
      <c r="O174" s="210">
        <v>1742.4986993160001</v>
      </c>
      <c r="P174" s="210">
        <v>1742.4986993160001</v>
      </c>
      <c r="Q174" s="210">
        <v>1742.4986993160001</v>
      </c>
      <c r="R174" s="210">
        <v>1742.4986993160001</v>
      </c>
      <c r="S174" s="210"/>
      <c r="T174" s="210"/>
      <c r="U174" s="210"/>
      <c r="V174" s="209"/>
      <c r="W174" s="209"/>
      <c r="X174" s="209"/>
      <c r="Y174" s="209"/>
    </row>
    <row r="175" spans="1:25" x14ac:dyDescent="0.2">
      <c r="A175" s="198">
        <v>576</v>
      </c>
      <c r="B175" s="199" t="s">
        <v>311</v>
      </c>
      <c r="C175" s="197">
        <v>7</v>
      </c>
      <c r="D175" s="210">
        <v>7978.5055999999995</v>
      </c>
      <c r="E175" s="210">
        <v>8239.2567491431309</v>
      </c>
      <c r="F175" s="210">
        <v>8384.8958595201329</v>
      </c>
      <c r="G175" s="210">
        <v>4421.122839112395</v>
      </c>
      <c r="H175" s="210">
        <v>4342.491507035963</v>
      </c>
      <c r="I175" s="210">
        <v>1271.4629600000001</v>
      </c>
      <c r="J175" s="210">
        <v>1193.7654090000001</v>
      </c>
      <c r="K175" s="210">
        <v>1293.8604559999999</v>
      </c>
      <c r="L175" s="210">
        <v>998.65928400000007</v>
      </c>
      <c r="M175" s="210">
        <v>1011.2210360000001</v>
      </c>
      <c r="N175" s="210">
        <v>1464.82079</v>
      </c>
      <c r="O175" s="210">
        <v>1463.9436712656</v>
      </c>
      <c r="P175" s="210">
        <v>1463.9436712656</v>
      </c>
      <c r="Q175" s="210">
        <v>1463.9436712656</v>
      </c>
      <c r="R175" s="210">
        <v>1463.9436712656</v>
      </c>
      <c r="S175" s="210"/>
      <c r="T175" s="210"/>
      <c r="U175" s="210"/>
      <c r="V175" s="209"/>
      <c r="W175" s="209"/>
      <c r="X175" s="209"/>
      <c r="Y175" s="209"/>
    </row>
    <row r="176" spans="1:25" x14ac:dyDescent="0.2">
      <c r="A176" s="198">
        <v>577</v>
      </c>
      <c r="B176" s="199" t="s">
        <v>312</v>
      </c>
      <c r="C176" s="197">
        <v>2</v>
      </c>
      <c r="D176" s="210">
        <v>38295.588450000003</v>
      </c>
      <c r="E176" s="210">
        <v>38746.858059572871</v>
      </c>
      <c r="F176" s="210">
        <v>40626.706787960531</v>
      </c>
      <c r="G176" s="210">
        <v>21106.842683129475</v>
      </c>
      <c r="H176" s="210">
        <v>20488.551526573894</v>
      </c>
      <c r="I176" s="210">
        <v>1494.15814</v>
      </c>
      <c r="J176" s="210">
        <v>1317.104032</v>
      </c>
      <c r="K176" s="210">
        <v>1423.8792099999998</v>
      </c>
      <c r="L176" s="210">
        <v>1099.013565</v>
      </c>
      <c r="M176" s="210">
        <v>1112.8376350000001</v>
      </c>
      <c r="N176" s="210">
        <v>2301.5924500000001</v>
      </c>
      <c r="O176" s="210">
        <v>2437.8348627360001</v>
      </c>
      <c r="P176" s="210">
        <v>2437.8348627360001</v>
      </c>
      <c r="Q176" s="210">
        <v>2437.8348627360001</v>
      </c>
      <c r="R176" s="210">
        <v>2437.8348627360001</v>
      </c>
      <c r="S176" s="210"/>
      <c r="T176" s="210"/>
      <c r="U176" s="210"/>
      <c r="V176" s="209"/>
      <c r="W176" s="209"/>
      <c r="X176" s="209"/>
      <c r="Y176" s="209"/>
    </row>
    <row r="177" spans="1:25" x14ac:dyDescent="0.2">
      <c r="A177" s="198">
        <v>578</v>
      </c>
      <c r="B177" s="237" t="s">
        <v>313</v>
      </c>
      <c r="C177" s="197">
        <v>18</v>
      </c>
      <c r="D177" s="210">
        <v>9355.8975399999999</v>
      </c>
      <c r="E177" s="210">
        <v>9289.3526991262734</v>
      </c>
      <c r="F177" s="210">
        <v>9606.6923319057623</v>
      </c>
      <c r="G177" s="210">
        <v>5267.4299741400355</v>
      </c>
      <c r="H177" s="210">
        <v>5205.6246781752716</v>
      </c>
      <c r="I177" s="210">
        <v>672.88525000000004</v>
      </c>
      <c r="J177" s="210">
        <v>607.36387900000011</v>
      </c>
      <c r="K177" s="210">
        <v>657.45476800000017</v>
      </c>
      <c r="L177" s="210">
        <v>507.45295199999998</v>
      </c>
      <c r="M177" s="210">
        <v>513.83600799999999</v>
      </c>
      <c r="N177" s="210">
        <v>1287.84989</v>
      </c>
      <c r="O177" s="210">
        <v>1264.528154592</v>
      </c>
      <c r="P177" s="210">
        <v>1264.528154592</v>
      </c>
      <c r="Q177" s="210">
        <v>1264.528154592</v>
      </c>
      <c r="R177" s="210">
        <v>1264.528154592</v>
      </c>
      <c r="S177" s="210"/>
      <c r="T177" s="210"/>
      <c r="U177" s="210"/>
      <c r="V177" s="209"/>
      <c r="W177" s="209"/>
      <c r="X177" s="209"/>
      <c r="Y177" s="209"/>
    </row>
    <row r="178" spans="1:25" x14ac:dyDescent="0.2">
      <c r="A178" s="198">
        <v>445</v>
      </c>
      <c r="B178" s="199" t="s">
        <v>128</v>
      </c>
      <c r="C178" s="197">
        <v>2</v>
      </c>
      <c r="D178" s="210">
        <v>54789.26513</v>
      </c>
      <c r="E178" s="210">
        <v>55690.686352577839</v>
      </c>
      <c r="F178" s="210">
        <v>57621.500350546361</v>
      </c>
      <c r="G178" s="210">
        <v>28220.104462055548</v>
      </c>
      <c r="H178" s="210">
        <v>27236.269270938279</v>
      </c>
      <c r="I178" s="210">
        <v>2254.31277</v>
      </c>
      <c r="J178" s="210">
        <v>2361.82339</v>
      </c>
      <c r="K178" s="210">
        <v>2548.51458</v>
      </c>
      <c r="L178" s="210">
        <v>1967.05737</v>
      </c>
      <c r="M178" s="210">
        <v>1991.8002299999998</v>
      </c>
      <c r="N178" s="210">
        <v>9189.9608499999995</v>
      </c>
      <c r="O178" s="210">
        <v>9185.1182282928003</v>
      </c>
      <c r="P178" s="210">
        <v>9185.1182282928003</v>
      </c>
      <c r="Q178" s="210">
        <v>9185.1182282928003</v>
      </c>
      <c r="R178" s="210">
        <v>9185.1182282928003</v>
      </c>
      <c r="S178" s="210"/>
      <c r="T178" s="210"/>
      <c r="U178" s="210"/>
      <c r="V178" s="209"/>
      <c r="W178" s="209"/>
      <c r="X178" s="209"/>
      <c r="Y178" s="209"/>
    </row>
    <row r="179" spans="1:25" x14ac:dyDescent="0.2">
      <c r="A179" s="198">
        <v>580</v>
      </c>
      <c r="B179" s="199" t="s">
        <v>314</v>
      </c>
      <c r="C179" s="197">
        <v>9</v>
      </c>
      <c r="D179" s="210">
        <v>12734.162900000001</v>
      </c>
      <c r="E179" s="210">
        <v>12496.985021109243</v>
      </c>
      <c r="F179" s="210">
        <v>12997.755848272991</v>
      </c>
      <c r="G179" s="210">
        <v>6181.5891475872313</v>
      </c>
      <c r="H179" s="210">
        <v>6017.4937280153699</v>
      </c>
      <c r="I179" s="210">
        <v>1747.5066399999998</v>
      </c>
      <c r="J179" s="210">
        <v>1442.566963</v>
      </c>
      <c r="K179" s="210">
        <v>1564.6441600000001</v>
      </c>
      <c r="L179" s="210">
        <v>1207.6622400000001</v>
      </c>
      <c r="M179" s="210">
        <v>1222.8529599999999</v>
      </c>
      <c r="N179" s="210">
        <v>1332.454</v>
      </c>
      <c r="O179" s="210">
        <v>1360.2372609599997</v>
      </c>
      <c r="P179" s="210">
        <v>1360.2372609599997</v>
      </c>
      <c r="Q179" s="210">
        <v>1360.2372609599997</v>
      </c>
      <c r="R179" s="210">
        <v>1360.2372609599997</v>
      </c>
      <c r="S179" s="210"/>
      <c r="T179" s="210"/>
      <c r="U179" s="210"/>
      <c r="V179" s="209"/>
      <c r="W179" s="209"/>
      <c r="X179" s="209"/>
      <c r="Y179" s="209"/>
    </row>
    <row r="180" spans="1:25" x14ac:dyDescent="0.2">
      <c r="A180" s="198">
        <v>581</v>
      </c>
      <c r="B180" s="199" t="s">
        <v>315</v>
      </c>
      <c r="C180" s="197">
        <v>6</v>
      </c>
      <c r="D180" s="210">
        <v>18015.019420000001</v>
      </c>
      <c r="E180" s="210">
        <v>18905.040671234157</v>
      </c>
      <c r="F180" s="210">
        <v>20091.755422163096</v>
      </c>
      <c r="G180" s="210">
        <v>10883.000854404769</v>
      </c>
      <c r="H180" s="210">
        <v>10779.973107803535</v>
      </c>
      <c r="I180" s="210">
        <v>2180.8150900000001</v>
      </c>
      <c r="J180" s="210">
        <v>2081.1693610000002</v>
      </c>
      <c r="K180" s="210">
        <v>2253.4787020000003</v>
      </c>
      <c r="L180" s="210">
        <v>1739.335503</v>
      </c>
      <c r="M180" s="210">
        <v>1761.2139370000002</v>
      </c>
      <c r="N180" s="210">
        <v>1868.0352800000001</v>
      </c>
      <c r="O180" s="210">
        <v>1906.9952579256001</v>
      </c>
      <c r="P180" s="210">
        <v>1906.9952579256001</v>
      </c>
      <c r="Q180" s="210">
        <v>1906.9952579256001</v>
      </c>
      <c r="R180" s="210">
        <v>1906.9952579256001</v>
      </c>
      <c r="S180" s="210"/>
      <c r="T180" s="210"/>
      <c r="U180" s="210"/>
      <c r="V180" s="209"/>
      <c r="W180" s="209"/>
      <c r="X180" s="209"/>
      <c r="Y180" s="209"/>
    </row>
    <row r="181" spans="1:25" x14ac:dyDescent="0.2">
      <c r="A181" s="198">
        <v>599</v>
      </c>
      <c r="B181" s="199" t="s">
        <v>129</v>
      </c>
      <c r="C181" s="197">
        <v>15</v>
      </c>
      <c r="D181" s="210">
        <v>30169.19296</v>
      </c>
      <c r="E181" s="210">
        <v>30814.15385699493</v>
      </c>
      <c r="F181" s="210">
        <v>32441.212996172959</v>
      </c>
      <c r="G181" s="210">
        <v>17270.608867099123</v>
      </c>
      <c r="H181" s="210">
        <v>16635.377777485675</v>
      </c>
      <c r="I181" s="210">
        <v>3209.7008900000001</v>
      </c>
      <c r="J181" s="210">
        <v>2724.5949439999999</v>
      </c>
      <c r="K181" s="210">
        <v>2954.3912299999997</v>
      </c>
      <c r="L181" s="210">
        <v>2280.331095</v>
      </c>
      <c r="M181" s="210">
        <v>2309.0145049999996</v>
      </c>
      <c r="N181" s="210">
        <v>2183.7284500000001</v>
      </c>
      <c r="O181" s="210">
        <v>2192.1265373592</v>
      </c>
      <c r="P181" s="210">
        <v>2192.1265373592</v>
      </c>
      <c r="Q181" s="210">
        <v>2192.1265373592</v>
      </c>
      <c r="R181" s="210">
        <v>2192.1265373592</v>
      </c>
      <c r="S181" s="210"/>
      <c r="T181" s="210"/>
      <c r="U181" s="210"/>
      <c r="V181" s="209"/>
      <c r="W181" s="209"/>
      <c r="X181" s="209"/>
      <c r="Y181" s="209"/>
    </row>
    <row r="182" spans="1:25" x14ac:dyDescent="0.2">
      <c r="A182" s="198">
        <v>583</v>
      </c>
      <c r="B182" s="199" t="s">
        <v>316</v>
      </c>
      <c r="C182" s="197">
        <v>19</v>
      </c>
      <c r="D182" s="210">
        <v>2883.4213</v>
      </c>
      <c r="E182" s="210">
        <v>2911.1268730333986</v>
      </c>
      <c r="F182" s="210">
        <v>3009.9654300697671</v>
      </c>
      <c r="G182" s="210">
        <v>1694.0808697902933</v>
      </c>
      <c r="H182" s="210">
        <v>1679.2287798448319</v>
      </c>
      <c r="I182" s="210">
        <v>342.74261999999999</v>
      </c>
      <c r="J182" s="210">
        <v>357.29513499999996</v>
      </c>
      <c r="K182" s="210">
        <v>387.02455999999995</v>
      </c>
      <c r="L182" s="210">
        <v>298.72284000000002</v>
      </c>
      <c r="M182" s="210">
        <v>302.48036000000002</v>
      </c>
      <c r="N182" s="210">
        <v>1750.7433100000001</v>
      </c>
      <c r="O182" s="210">
        <v>1973.3264534999998</v>
      </c>
      <c r="P182" s="210">
        <v>1973.3264534999998</v>
      </c>
      <c r="Q182" s="210">
        <v>1973.3264534999998</v>
      </c>
      <c r="R182" s="210">
        <v>1973.3264534999998</v>
      </c>
      <c r="S182" s="210"/>
      <c r="T182" s="210"/>
      <c r="U182" s="210"/>
      <c r="V182" s="209"/>
      <c r="W182" s="209"/>
      <c r="X182" s="209"/>
      <c r="Y182" s="209"/>
    </row>
    <row r="183" spans="1:25" x14ac:dyDescent="0.2">
      <c r="A183" s="198">
        <v>854</v>
      </c>
      <c r="B183" s="199" t="s">
        <v>317</v>
      </c>
      <c r="C183" s="197">
        <v>19</v>
      </c>
      <c r="D183" s="210">
        <v>9553.7059200000003</v>
      </c>
      <c r="E183" s="210">
        <v>10298.272122670742</v>
      </c>
      <c r="F183" s="210">
        <v>10561.885051818241</v>
      </c>
      <c r="G183" s="210">
        <v>5544.5122287331596</v>
      </c>
      <c r="H183" s="210">
        <v>5449.0912039081722</v>
      </c>
      <c r="I183" s="210">
        <v>790.90445999999997</v>
      </c>
      <c r="J183" s="210">
        <v>788.29800799999998</v>
      </c>
      <c r="K183" s="210">
        <v>852.34374600000001</v>
      </c>
      <c r="L183" s="210">
        <v>657.87696899999992</v>
      </c>
      <c r="M183" s="210">
        <v>666.15215100000012</v>
      </c>
      <c r="N183" s="210">
        <v>745.52422999999999</v>
      </c>
      <c r="O183" s="210">
        <v>734.90157125520011</v>
      </c>
      <c r="P183" s="210">
        <v>734.90157125520011</v>
      </c>
      <c r="Q183" s="210">
        <v>734.90157125520011</v>
      </c>
      <c r="R183" s="210">
        <v>734.90157125520011</v>
      </c>
      <c r="S183" s="210"/>
      <c r="T183" s="210"/>
      <c r="U183" s="210"/>
      <c r="V183" s="209"/>
      <c r="W183" s="209"/>
      <c r="X183" s="209"/>
      <c r="Y183" s="209"/>
    </row>
    <row r="184" spans="1:25" x14ac:dyDescent="0.2">
      <c r="A184" s="198">
        <v>584</v>
      </c>
      <c r="B184" s="199" t="s">
        <v>318</v>
      </c>
      <c r="C184" s="197">
        <v>16</v>
      </c>
      <c r="D184" s="210">
        <v>6568.9061799999999</v>
      </c>
      <c r="E184" s="210">
        <v>6584.2089389153334</v>
      </c>
      <c r="F184" s="210">
        <v>6856.5190346641248</v>
      </c>
      <c r="G184" s="210">
        <v>3704.9464031054245</v>
      </c>
      <c r="H184" s="210">
        <v>3651.791758000853</v>
      </c>
      <c r="I184" s="210">
        <v>650.13243</v>
      </c>
      <c r="J184" s="210">
        <v>630.84413400000005</v>
      </c>
      <c r="K184" s="210">
        <v>683.25668000000007</v>
      </c>
      <c r="L184" s="210">
        <v>527.36802</v>
      </c>
      <c r="M184" s="210">
        <v>534.00157999999999</v>
      </c>
      <c r="N184" s="210">
        <v>582.60734000000002</v>
      </c>
      <c r="O184" s="210">
        <v>733.02396395520009</v>
      </c>
      <c r="P184" s="210">
        <v>733.02396395520009</v>
      </c>
      <c r="Q184" s="210">
        <v>733.02396395520009</v>
      </c>
      <c r="R184" s="210">
        <v>733.02396395520009</v>
      </c>
      <c r="S184" s="210"/>
      <c r="T184" s="210"/>
      <c r="U184" s="210"/>
      <c r="V184" s="209"/>
      <c r="W184" s="209"/>
      <c r="X184" s="209"/>
      <c r="Y184" s="209"/>
    </row>
    <row r="185" spans="1:25" x14ac:dyDescent="0.2">
      <c r="A185" s="198">
        <v>588</v>
      </c>
      <c r="B185" s="199" t="s">
        <v>319</v>
      </c>
      <c r="C185" s="197">
        <v>10</v>
      </c>
      <c r="D185" s="210">
        <v>4125.61348</v>
      </c>
      <c r="E185" s="210">
        <v>4000.2127496802291</v>
      </c>
      <c r="F185" s="210">
        <v>4329.0229375730887</v>
      </c>
      <c r="G185" s="210">
        <v>2321.5082304546718</v>
      </c>
      <c r="H185" s="210">
        <v>2288.0439251015914</v>
      </c>
      <c r="I185" s="210">
        <v>841.29856999999993</v>
      </c>
      <c r="J185" s="210">
        <v>813.64333499999998</v>
      </c>
      <c r="K185" s="210">
        <v>882.48958000000005</v>
      </c>
      <c r="L185" s="210">
        <v>681.14486999999997</v>
      </c>
      <c r="M185" s="210">
        <v>689.71272999999997</v>
      </c>
      <c r="N185" s="210">
        <v>812.99468000000002</v>
      </c>
      <c r="O185" s="210">
        <v>813.77501591999999</v>
      </c>
      <c r="P185" s="210">
        <v>813.77501591999999</v>
      </c>
      <c r="Q185" s="210">
        <v>813.77501591999999</v>
      </c>
      <c r="R185" s="210">
        <v>813.77501591999999</v>
      </c>
      <c r="S185" s="210"/>
      <c r="T185" s="210"/>
      <c r="U185" s="210"/>
      <c r="V185" s="209"/>
      <c r="W185" s="209"/>
      <c r="X185" s="209"/>
      <c r="Y185" s="209"/>
    </row>
    <row r="186" spans="1:25" x14ac:dyDescent="0.2">
      <c r="A186" s="198">
        <v>592</v>
      </c>
      <c r="B186" s="199" t="s">
        <v>320</v>
      </c>
      <c r="C186" s="197">
        <v>13</v>
      </c>
      <c r="D186" s="210">
        <v>11046.083929999999</v>
      </c>
      <c r="E186" s="210">
        <v>11374.205784483829</v>
      </c>
      <c r="F186" s="210">
        <v>11816.744464649068</v>
      </c>
      <c r="G186" s="210">
        <v>6411.830906840828</v>
      </c>
      <c r="H186" s="210">
        <v>6327.8014131374166</v>
      </c>
      <c r="I186" s="210">
        <v>1081.2243600000002</v>
      </c>
      <c r="J186" s="210">
        <v>1193.1470310000002</v>
      </c>
      <c r="K186" s="210">
        <v>1295.7418540000001</v>
      </c>
      <c r="L186" s="210">
        <v>1000.1114309999999</v>
      </c>
      <c r="M186" s="210">
        <v>1012.691449</v>
      </c>
      <c r="N186" s="210">
        <v>881.90606000000002</v>
      </c>
      <c r="O186" s="210">
        <v>933.4847575560002</v>
      </c>
      <c r="P186" s="210">
        <v>933.4847575560002</v>
      </c>
      <c r="Q186" s="210">
        <v>933.4847575560002</v>
      </c>
      <c r="R186" s="210">
        <v>933.4847575560002</v>
      </c>
      <c r="S186" s="210"/>
      <c r="T186" s="210"/>
      <c r="U186" s="210"/>
      <c r="V186" s="209"/>
      <c r="W186" s="209"/>
      <c r="X186" s="209"/>
      <c r="Y186" s="209"/>
    </row>
    <row r="187" spans="1:25" x14ac:dyDescent="0.2">
      <c r="A187" s="198">
        <v>593</v>
      </c>
      <c r="B187" s="199" t="s">
        <v>321</v>
      </c>
      <c r="C187" s="197">
        <v>10</v>
      </c>
      <c r="D187" s="210">
        <v>58000.089070000002</v>
      </c>
      <c r="E187" s="210">
        <v>58827.039503181484</v>
      </c>
      <c r="F187" s="210">
        <v>60339.0024309562</v>
      </c>
      <c r="G187" s="210">
        <v>32912.274907777748</v>
      </c>
      <c r="H187" s="210">
        <v>32525.799972330107</v>
      </c>
      <c r="I187" s="210">
        <v>4818.1155899999994</v>
      </c>
      <c r="J187" s="210">
        <v>4588.191765999999</v>
      </c>
      <c r="K187" s="210">
        <v>4969.053719999999</v>
      </c>
      <c r="L187" s="210">
        <v>3835.3375799999999</v>
      </c>
      <c r="M187" s="210">
        <v>3883.5808199999997</v>
      </c>
      <c r="N187" s="210">
        <v>4151.7706600000001</v>
      </c>
      <c r="O187" s="210">
        <v>4229.9622667440008</v>
      </c>
      <c r="P187" s="210">
        <v>4229.9622667440008</v>
      </c>
      <c r="Q187" s="210">
        <v>4229.9622667440008</v>
      </c>
      <c r="R187" s="210">
        <v>4229.9622667440008</v>
      </c>
      <c r="S187" s="210"/>
      <c r="T187" s="210"/>
      <c r="U187" s="210"/>
      <c r="V187" s="209"/>
      <c r="W187" s="209"/>
      <c r="X187" s="209"/>
      <c r="Y187" s="209"/>
    </row>
    <row r="188" spans="1:25" x14ac:dyDescent="0.2">
      <c r="A188" s="198">
        <v>595</v>
      </c>
      <c r="B188" s="199" t="s">
        <v>322</v>
      </c>
      <c r="C188" s="197">
        <v>11</v>
      </c>
      <c r="D188" s="210">
        <v>10347.824460000002</v>
      </c>
      <c r="E188" s="210">
        <v>10925.634530044385</v>
      </c>
      <c r="F188" s="210">
        <v>11437.423744322063</v>
      </c>
      <c r="G188" s="210">
        <v>6264.9045805374162</v>
      </c>
      <c r="H188" s="210">
        <v>6188.2074645961247</v>
      </c>
      <c r="I188" s="210">
        <v>1534.2822800000001</v>
      </c>
      <c r="J188" s="210">
        <v>1469.865464</v>
      </c>
      <c r="K188" s="210">
        <v>1592.2458939999997</v>
      </c>
      <c r="L188" s="210">
        <v>1228.9664909999999</v>
      </c>
      <c r="M188" s="210">
        <v>1244.425189</v>
      </c>
      <c r="N188" s="210">
        <v>1178.2240400000001</v>
      </c>
      <c r="O188" s="210">
        <v>1168.5977441639998</v>
      </c>
      <c r="P188" s="210">
        <v>1168.5977441639998</v>
      </c>
      <c r="Q188" s="210">
        <v>1168.5977441639998</v>
      </c>
      <c r="R188" s="210">
        <v>1168.5977441639998</v>
      </c>
      <c r="S188" s="210"/>
      <c r="T188" s="210"/>
      <c r="U188" s="210"/>
      <c r="V188" s="209"/>
      <c r="W188" s="209"/>
      <c r="X188" s="209"/>
      <c r="Y188" s="209"/>
    </row>
    <row r="189" spans="1:25" x14ac:dyDescent="0.2">
      <c r="A189" s="198">
        <v>598</v>
      </c>
      <c r="B189" s="199" t="s">
        <v>323</v>
      </c>
      <c r="C189" s="197">
        <v>15</v>
      </c>
      <c r="D189" s="210">
        <v>66694.296650000004</v>
      </c>
      <c r="E189" s="210">
        <v>68689.789935565554</v>
      </c>
      <c r="F189" s="210">
        <v>70827.521335912068</v>
      </c>
      <c r="G189" s="210">
        <v>37676.699036686048</v>
      </c>
      <c r="H189" s="210">
        <v>36874.004861883543</v>
      </c>
      <c r="I189" s="210">
        <v>5922.0047000000004</v>
      </c>
      <c r="J189" s="210">
        <v>6428.9670779999997</v>
      </c>
      <c r="K189" s="210">
        <v>6976.2800220000008</v>
      </c>
      <c r="L189" s="210">
        <v>5384.6044829999992</v>
      </c>
      <c r="M189" s="210">
        <v>5452.3353570000008</v>
      </c>
      <c r="N189" s="210">
        <v>5118.64318</v>
      </c>
      <c r="O189" s="210">
        <v>5816.3620168559992</v>
      </c>
      <c r="P189" s="210">
        <v>5816.3620168559992</v>
      </c>
      <c r="Q189" s="210">
        <v>5816.3620168559992</v>
      </c>
      <c r="R189" s="210">
        <v>5816.3620168559992</v>
      </c>
      <c r="S189" s="210"/>
      <c r="T189" s="210"/>
      <c r="U189" s="210"/>
      <c r="V189" s="209"/>
      <c r="W189" s="209"/>
      <c r="X189" s="209"/>
      <c r="Y189" s="209"/>
    </row>
    <row r="190" spans="1:25" x14ac:dyDescent="0.2">
      <c r="A190" s="198">
        <v>601</v>
      </c>
      <c r="B190" s="199" t="s">
        <v>324</v>
      </c>
      <c r="C190" s="197">
        <v>13</v>
      </c>
      <c r="D190" s="210">
        <v>9872.0114900000008</v>
      </c>
      <c r="E190" s="210">
        <v>9709.1612398106899</v>
      </c>
      <c r="F190" s="210">
        <v>10155.764913225377</v>
      </c>
      <c r="G190" s="210">
        <v>5322.1528537663571</v>
      </c>
      <c r="H190" s="210">
        <v>5248.9454181232395</v>
      </c>
      <c r="I190" s="210">
        <v>1628.50253</v>
      </c>
      <c r="J190" s="210">
        <v>1601.416962</v>
      </c>
      <c r="K190" s="210">
        <v>1735.5930539999999</v>
      </c>
      <c r="L190" s="210">
        <v>1339.6082309999999</v>
      </c>
      <c r="M190" s="210">
        <v>1356.4586489999999</v>
      </c>
      <c r="N190" s="210">
        <v>934.65691000000004</v>
      </c>
      <c r="O190" s="210">
        <v>933.53293823039996</v>
      </c>
      <c r="P190" s="210">
        <v>933.53293823039996</v>
      </c>
      <c r="Q190" s="210">
        <v>933.53293823039996</v>
      </c>
      <c r="R190" s="210">
        <v>933.53293823039996</v>
      </c>
      <c r="S190" s="210"/>
      <c r="T190" s="210"/>
      <c r="U190" s="210"/>
      <c r="V190" s="209"/>
      <c r="W190" s="209"/>
      <c r="X190" s="209"/>
      <c r="Y190" s="209"/>
    </row>
    <row r="191" spans="1:25" x14ac:dyDescent="0.2">
      <c r="A191" s="198">
        <v>604</v>
      </c>
      <c r="B191" s="199" t="s">
        <v>325</v>
      </c>
      <c r="C191" s="197">
        <v>6</v>
      </c>
      <c r="D191" s="210">
        <v>76540.905360000004</v>
      </c>
      <c r="E191" s="210">
        <v>78185.654229367341</v>
      </c>
      <c r="F191" s="210">
        <v>83449.418281127699</v>
      </c>
      <c r="G191" s="210">
        <v>42146.702264304928</v>
      </c>
      <c r="H191" s="210">
        <v>40139.286959667807</v>
      </c>
      <c r="I191" s="210">
        <v>3742.9185699999998</v>
      </c>
      <c r="J191" s="210">
        <v>3918.965976</v>
      </c>
      <c r="K191" s="210">
        <v>4254.4471359999998</v>
      </c>
      <c r="L191" s="210">
        <v>3283.7723039999996</v>
      </c>
      <c r="M191" s="210">
        <v>3325.0776159999996</v>
      </c>
      <c r="N191" s="210">
        <v>5163.9970899999998</v>
      </c>
      <c r="O191" s="210">
        <v>5249.3544658319988</v>
      </c>
      <c r="P191" s="210">
        <v>5249.3544658319988</v>
      </c>
      <c r="Q191" s="210">
        <v>5249.3544658319988</v>
      </c>
      <c r="R191" s="210">
        <v>5249.3544658319988</v>
      </c>
      <c r="S191" s="210"/>
      <c r="T191" s="210"/>
      <c r="U191" s="210"/>
      <c r="V191" s="209"/>
      <c r="W191" s="209"/>
      <c r="X191" s="209"/>
      <c r="Y191" s="209"/>
    </row>
    <row r="192" spans="1:25" x14ac:dyDescent="0.2">
      <c r="A192" s="198">
        <v>607</v>
      </c>
      <c r="B192" s="199" t="s">
        <v>326</v>
      </c>
      <c r="C192" s="197">
        <v>12</v>
      </c>
      <c r="D192" s="210">
        <v>9965.655279999999</v>
      </c>
      <c r="E192" s="210">
        <v>9878.4817339437432</v>
      </c>
      <c r="F192" s="210">
        <v>10389.073614104796</v>
      </c>
      <c r="G192" s="210">
        <v>5276.3982231400169</v>
      </c>
      <c r="H192" s="210">
        <v>5164.0364921288337</v>
      </c>
      <c r="I192" s="210">
        <v>1240.76352</v>
      </c>
      <c r="J192" s="210">
        <v>1332.9338729999999</v>
      </c>
      <c r="K192" s="210">
        <v>1446.7967100000001</v>
      </c>
      <c r="L192" s="210">
        <v>1116.7023149999998</v>
      </c>
      <c r="M192" s="210">
        <v>1130.7488849999997</v>
      </c>
      <c r="N192" s="210">
        <v>908.63711999999998</v>
      </c>
      <c r="O192" s="210">
        <v>897.86310246000005</v>
      </c>
      <c r="P192" s="210">
        <v>897.86310246000005</v>
      </c>
      <c r="Q192" s="210">
        <v>897.86310246000005</v>
      </c>
      <c r="R192" s="210">
        <v>897.86310246000005</v>
      </c>
      <c r="S192" s="210"/>
      <c r="T192" s="210"/>
      <c r="U192" s="210"/>
      <c r="V192" s="209"/>
      <c r="W192" s="209"/>
      <c r="X192" s="209"/>
      <c r="Y192" s="209"/>
    </row>
    <row r="193" spans="1:25" x14ac:dyDescent="0.2">
      <c r="A193" s="198">
        <v>608</v>
      </c>
      <c r="B193" s="199" t="s">
        <v>327</v>
      </c>
      <c r="C193" s="197">
        <v>4</v>
      </c>
      <c r="D193" s="210">
        <v>5495.0166900000004</v>
      </c>
      <c r="E193" s="210">
        <v>5441.6483891556954</v>
      </c>
      <c r="F193" s="210">
        <v>5674.7046870312433</v>
      </c>
      <c r="G193" s="210">
        <v>2850.9591140312368</v>
      </c>
      <c r="H193" s="210">
        <v>2809.8230709802633</v>
      </c>
      <c r="I193" s="210">
        <v>528.17542000000003</v>
      </c>
      <c r="J193" s="210">
        <v>549.87950699999999</v>
      </c>
      <c r="K193" s="210">
        <v>596.67611599999998</v>
      </c>
      <c r="L193" s="210">
        <v>460.54127399999999</v>
      </c>
      <c r="M193" s="210">
        <v>466.33424600000001</v>
      </c>
      <c r="N193" s="210">
        <v>535.41238999999996</v>
      </c>
      <c r="O193" s="210">
        <v>528.40139096399992</v>
      </c>
      <c r="P193" s="210">
        <v>528.40139096399992</v>
      </c>
      <c r="Q193" s="210">
        <v>528.40139096399992</v>
      </c>
      <c r="R193" s="210">
        <v>528.40139096399992</v>
      </c>
      <c r="S193" s="210"/>
      <c r="T193" s="210"/>
      <c r="U193" s="210"/>
      <c r="V193" s="209"/>
      <c r="W193" s="209"/>
      <c r="X193" s="209"/>
      <c r="Y193" s="209"/>
    </row>
    <row r="194" spans="1:25" x14ac:dyDescent="0.2">
      <c r="A194" s="198">
        <v>609</v>
      </c>
      <c r="B194" s="199" t="s">
        <v>328</v>
      </c>
      <c r="C194" s="197">
        <v>4</v>
      </c>
      <c r="D194" s="210">
        <v>263373.27753999998</v>
      </c>
      <c r="E194" s="210">
        <v>271569.63160436106</v>
      </c>
      <c r="F194" s="210">
        <v>280864.03280798515</v>
      </c>
      <c r="G194" s="210">
        <v>136373.88198846777</v>
      </c>
      <c r="H194" s="210">
        <v>132771.87647937392</v>
      </c>
      <c r="I194" s="210">
        <v>16961.20033</v>
      </c>
      <c r="J194" s="210">
        <v>16821.441284</v>
      </c>
      <c r="K194" s="210">
        <v>18220.935045999999</v>
      </c>
      <c r="L194" s="210">
        <v>14063.731419000003</v>
      </c>
      <c r="M194" s="210">
        <v>14240.633701000001</v>
      </c>
      <c r="N194" s="210">
        <v>23139.41776</v>
      </c>
      <c r="O194" s="210">
        <v>24180.7002834696</v>
      </c>
      <c r="P194" s="210">
        <v>24180.7002834696</v>
      </c>
      <c r="Q194" s="210">
        <v>24180.7002834696</v>
      </c>
      <c r="R194" s="210">
        <v>24180.7002834696</v>
      </c>
      <c r="S194" s="210"/>
      <c r="T194" s="210"/>
      <c r="U194" s="210"/>
      <c r="V194" s="209"/>
      <c r="W194" s="209"/>
      <c r="X194" s="209"/>
      <c r="Y194" s="209"/>
    </row>
    <row r="195" spans="1:25" x14ac:dyDescent="0.2">
      <c r="A195" s="198">
        <v>611</v>
      </c>
      <c r="B195" s="199" t="s">
        <v>329</v>
      </c>
      <c r="C195" s="197">
        <v>1</v>
      </c>
      <c r="D195" s="210">
        <v>18040.7618</v>
      </c>
      <c r="E195" s="210">
        <v>18265.866706598164</v>
      </c>
      <c r="F195" s="210">
        <v>19105.776604459588</v>
      </c>
      <c r="G195" s="210">
        <v>10071.893829248662</v>
      </c>
      <c r="H195" s="210">
        <v>9616.1963171379412</v>
      </c>
      <c r="I195" s="210">
        <v>626.86631000000011</v>
      </c>
      <c r="J195" s="210">
        <v>740.79965099999993</v>
      </c>
      <c r="K195" s="210">
        <v>805.13204799999983</v>
      </c>
      <c r="L195" s="210">
        <v>621.43687199999988</v>
      </c>
      <c r="M195" s="210">
        <v>629.25368800000001</v>
      </c>
      <c r="N195" s="210">
        <v>1129.0144399999999</v>
      </c>
      <c r="O195" s="210">
        <v>1137.4688712000002</v>
      </c>
      <c r="P195" s="210">
        <v>1137.4688712000002</v>
      </c>
      <c r="Q195" s="210">
        <v>1137.4688712000002</v>
      </c>
      <c r="R195" s="210">
        <v>1137.4688712000002</v>
      </c>
      <c r="S195" s="210"/>
      <c r="T195" s="210"/>
      <c r="U195" s="210"/>
      <c r="V195" s="209"/>
      <c r="W195" s="209"/>
      <c r="X195" s="209"/>
      <c r="Y195" s="209"/>
    </row>
    <row r="196" spans="1:25" x14ac:dyDescent="0.2">
      <c r="A196" s="198">
        <v>638</v>
      </c>
      <c r="B196" s="199" t="s">
        <v>330</v>
      </c>
      <c r="C196" s="197">
        <v>1</v>
      </c>
      <c r="D196" s="210">
        <v>190592.35681</v>
      </c>
      <c r="E196" s="210">
        <v>195454.89817620601</v>
      </c>
      <c r="F196" s="210">
        <v>204332.56374672826</v>
      </c>
      <c r="G196" s="210">
        <v>99840.996407007682</v>
      </c>
      <c r="H196" s="210">
        <v>95976.383231588581</v>
      </c>
      <c r="I196" s="210">
        <v>13930.63565</v>
      </c>
      <c r="J196" s="210">
        <v>22344.548995999998</v>
      </c>
      <c r="K196" s="210">
        <v>24244.690225999995</v>
      </c>
      <c r="L196" s="210">
        <v>18713.134688999999</v>
      </c>
      <c r="M196" s="210">
        <v>18948.520031</v>
      </c>
      <c r="N196" s="210">
        <v>16658.30445</v>
      </c>
      <c r="O196" s="210">
        <v>16660.473167280004</v>
      </c>
      <c r="P196" s="210">
        <v>16660.473167280004</v>
      </c>
      <c r="Q196" s="210">
        <v>16660.473167280004</v>
      </c>
      <c r="R196" s="210">
        <v>16660.473167280004</v>
      </c>
      <c r="S196" s="210"/>
      <c r="T196" s="210"/>
      <c r="U196" s="210"/>
      <c r="V196" s="209"/>
      <c r="W196" s="209"/>
      <c r="X196" s="209"/>
      <c r="Y196" s="209"/>
    </row>
    <row r="197" spans="1:25" x14ac:dyDescent="0.2">
      <c r="A197" s="198">
        <v>614</v>
      </c>
      <c r="B197" s="199" t="s">
        <v>331</v>
      </c>
      <c r="C197" s="197">
        <v>19</v>
      </c>
      <c r="D197" s="210">
        <v>8589.6072100000001</v>
      </c>
      <c r="E197" s="210">
        <v>8278.6548273555709</v>
      </c>
      <c r="F197" s="210">
        <v>8774.020425775725</v>
      </c>
      <c r="G197" s="210">
        <v>4774.5533011279258</v>
      </c>
      <c r="H197" s="210">
        <v>4708.6777292911993</v>
      </c>
      <c r="I197" s="210">
        <v>822.96044999999992</v>
      </c>
      <c r="J197" s="210">
        <v>675.027289</v>
      </c>
      <c r="K197" s="210">
        <v>730.39730800000007</v>
      </c>
      <c r="L197" s="210">
        <v>563.75326200000006</v>
      </c>
      <c r="M197" s="210">
        <v>570.84449800000004</v>
      </c>
      <c r="N197" s="210">
        <v>1239.7960800000001</v>
      </c>
      <c r="O197" s="210">
        <v>1248.6142679759998</v>
      </c>
      <c r="P197" s="210">
        <v>1248.6142679759998</v>
      </c>
      <c r="Q197" s="210">
        <v>1248.6142679759998</v>
      </c>
      <c r="R197" s="210">
        <v>1248.6142679759998</v>
      </c>
      <c r="S197" s="210"/>
      <c r="T197" s="210"/>
      <c r="U197" s="210"/>
      <c r="V197" s="209"/>
      <c r="W197" s="209"/>
      <c r="X197" s="209"/>
      <c r="Y197" s="209"/>
    </row>
    <row r="198" spans="1:25" x14ac:dyDescent="0.2">
      <c r="A198" s="198">
        <v>615</v>
      </c>
      <c r="B198" s="199" t="s">
        <v>332</v>
      </c>
      <c r="C198" s="197">
        <v>17</v>
      </c>
      <c r="D198" s="210">
        <v>18464.642640000002</v>
      </c>
      <c r="E198" s="210">
        <v>18345.291666954297</v>
      </c>
      <c r="F198" s="210">
        <v>19064.54020853612</v>
      </c>
      <c r="G198" s="210">
        <v>9823.1544422956431</v>
      </c>
      <c r="H198" s="210">
        <v>9662.2808003467071</v>
      </c>
      <c r="I198" s="210">
        <v>2832.2834400000002</v>
      </c>
      <c r="J198" s="210">
        <v>2665.125802</v>
      </c>
      <c r="K198" s="210">
        <v>2886.3846560000002</v>
      </c>
      <c r="L198" s="210">
        <v>2227.8405840000005</v>
      </c>
      <c r="M198" s="210">
        <v>2255.8637360000002</v>
      </c>
      <c r="N198" s="210">
        <v>1970.8262099999999</v>
      </c>
      <c r="O198" s="210">
        <v>2084.0255901383998</v>
      </c>
      <c r="P198" s="210">
        <v>2084.0255901383998</v>
      </c>
      <c r="Q198" s="210">
        <v>2084.0255901383998</v>
      </c>
      <c r="R198" s="210">
        <v>2084.0255901383998</v>
      </c>
      <c r="S198" s="210"/>
      <c r="T198" s="210"/>
      <c r="U198" s="210"/>
      <c r="V198" s="209"/>
      <c r="W198" s="209"/>
      <c r="X198" s="209"/>
      <c r="Y198" s="209"/>
    </row>
    <row r="199" spans="1:25" x14ac:dyDescent="0.2">
      <c r="A199" s="198">
        <v>616</v>
      </c>
      <c r="B199" s="199" t="s">
        <v>333</v>
      </c>
      <c r="C199" s="197">
        <v>1</v>
      </c>
      <c r="D199" s="210">
        <v>6555.9412499999999</v>
      </c>
      <c r="E199" s="210">
        <v>6085.7026371902866</v>
      </c>
      <c r="F199" s="210">
        <v>6615.9226559316239</v>
      </c>
      <c r="G199" s="210">
        <v>3582.0330669643931</v>
      </c>
      <c r="H199" s="210">
        <v>3493.1450255655141</v>
      </c>
      <c r="I199" s="210">
        <v>455.35275999999999</v>
      </c>
      <c r="J199" s="210">
        <v>273.99703399999999</v>
      </c>
      <c r="K199" s="210">
        <v>295.254032</v>
      </c>
      <c r="L199" s="210">
        <v>227.89024800000001</v>
      </c>
      <c r="M199" s="210">
        <v>230.75679199999999</v>
      </c>
      <c r="N199" s="210">
        <v>444.81344000000001</v>
      </c>
      <c r="O199" s="210">
        <v>440.29116555600001</v>
      </c>
      <c r="P199" s="210">
        <v>440.29116555600001</v>
      </c>
      <c r="Q199" s="210">
        <v>440.29116555600001</v>
      </c>
      <c r="R199" s="210">
        <v>440.29116555600001</v>
      </c>
      <c r="S199" s="210"/>
      <c r="T199" s="210"/>
      <c r="U199" s="210"/>
      <c r="V199" s="209"/>
      <c r="W199" s="209"/>
      <c r="X199" s="209"/>
      <c r="Y199" s="209"/>
    </row>
    <row r="200" spans="1:25" x14ac:dyDescent="0.2">
      <c r="A200" s="198">
        <v>619</v>
      </c>
      <c r="B200" s="199" t="s">
        <v>334</v>
      </c>
      <c r="C200" s="197">
        <v>6</v>
      </c>
      <c r="D200" s="210">
        <v>7772.2277100000001</v>
      </c>
      <c r="E200" s="210">
        <v>7767.8823012556613</v>
      </c>
      <c r="F200" s="210">
        <v>8208.8830577637327</v>
      </c>
      <c r="G200" s="210">
        <v>4478.8272899895028</v>
      </c>
      <c r="H200" s="210">
        <v>4433.276788014633</v>
      </c>
      <c r="I200" s="210">
        <v>603.31623999999999</v>
      </c>
      <c r="J200" s="210">
        <v>477.32998499999991</v>
      </c>
      <c r="K200" s="210">
        <v>516.76954000000001</v>
      </c>
      <c r="L200" s="210">
        <v>398.86581000000001</v>
      </c>
      <c r="M200" s="210">
        <v>403.88298999999995</v>
      </c>
      <c r="N200" s="210">
        <v>605.54544999999996</v>
      </c>
      <c r="O200" s="210">
        <v>656.13132791999999</v>
      </c>
      <c r="P200" s="210">
        <v>656.13132791999999</v>
      </c>
      <c r="Q200" s="210">
        <v>656.13132791999999</v>
      </c>
      <c r="R200" s="210">
        <v>656.13132791999999</v>
      </c>
      <c r="S200" s="210"/>
      <c r="T200" s="210"/>
      <c r="U200" s="210"/>
      <c r="V200" s="209"/>
      <c r="W200" s="209"/>
      <c r="X200" s="209"/>
      <c r="Y200" s="209"/>
    </row>
    <row r="201" spans="1:25" x14ac:dyDescent="0.2">
      <c r="A201" s="198">
        <v>620</v>
      </c>
      <c r="B201" s="199" t="s">
        <v>335</v>
      </c>
      <c r="C201" s="197">
        <v>18</v>
      </c>
      <c r="D201" s="210">
        <v>6696.5715099999998</v>
      </c>
      <c r="E201" s="210">
        <v>6608.1603320238019</v>
      </c>
      <c r="F201" s="210">
        <v>6912.5083294055548</v>
      </c>
      <c r="G201" s="210">
        <v>3736.5131308907426</v>
      </c>
      <c r="H201" s="210">
        <v>3677.4370542878896</v>
      </c>
      <c r="I201" s="210">
        <v>1367.42381</v>
      </c>
      <c r="J201" s="210">
        <v>1253.562874</v>
      </c>
      <c r="K201" s="210">
        <v>1357.8160399999999</v>
      </c>
      <c r="L201" s="210">
        <v>1048.0230600000002</v>
      </c>
      <c r="M201" s="210">
        <v>1061.2057400000001</v>
      </c>
      <c r="N201" s="210">
        <v>797.79032999999993</v>
      </c>
      <c r="O201" s="210">
        <v>790.41646682639998</v>
      </c>
      <c r="P201" s="210">
        <v>790.41646682639998</v>
      </c>
      <c r="Q201" s="210">
        <v>790.41646682639998</v>
      </c>
      <c r="R201" s="210">
        <v>790.41646682639998</v>
      </c>
      <c r="S201" s="210"/>
      <c r="T201" s="210"/>
      <c r="U201" s="210"/>
      <c r="V201" s="209"/>
      <c r="W201" s="209"/>
      <c r="X201" s="209"/>
      <c r="Y201" s="209"/>
    </row>
    <row r="202" spans="1:25" x14ac:dyDescent="0.2">
      <c r="A202" s="198">
        <v>623</v>
      </c>
      <c r="B202" s="199" t="s">
        <v>336</v>
      </c>
      <c r="C202" s="197">
        <v>10</v>
      </c>
      <c r="D202" s="210">
        <v>5724.1062300000003</v>
      </c>
      <c r="E202" s="210">
        <v>5881.8836385859577</v>
      </c>
      <c r="F202" s="210">
        <v>5971.472192757039</v>
      </c>
      <c r="G202" s="210">
        <v>3001.2042829133047</v>
      </c>
      <c r="H202" s="210">
        <v>2907.8256735190021</v>
      </c>
      <c r="I202" s="210">
        <v>1470.34771</v>
      </c>
      <c r="J202" s="210">
        <v>1465.8988119999997</v>
      </c>
      <c r="K202" s="210">
        <v>1589.2914419999997</v>
      </c>
      <c r="L202" s="210">
        <v>1226.686113</v>
      </c>
      <c r="M202" s="210">
        <v>1242.1161269999998</v>
      </c>
      <c r="N202" s="210">
        <v>1725.9956399999999</v>
      </c>
      <c r="O202" s="210">
        <v>1711.9093723464002</v>
      </c>
      <c r="P202" s="210">
        <v>1711.9093723464002</v>
      </c>
      <c r="Q202" s="210">
        <v>1711.9093723464002</v>
      </c>
      <c r="R202" s="210">
        <v>1711.9093723464002</v>
      </c>
      <c r="S202" s="210"/>
      <c r="T202" s="210"/>
      <c r="U202" s="210"/>
      <c r="V202" s="209"/>
      <c r="W202" s="209"/>
      <c r="X202" s="209"/>
      <c r="Y202" s="209"/>
    </row>
    <row r="203" spans="1:25" x14ac:dyDescent="0.2">
      <c r="A203" s="198">
        <v>624</v>
      </c>
      <c r="B203" s="199" t="s">
        <v>130</v>
      </c>
      <c r="C203" s="197">
        <v>8</v>
      </c>
      <c r="D203" s="210">
        <v>17914.3285</v>
      </c>
      <c r="E203" s="210">
        <v>18069.975850526393</v>
      </c>
      <c r="F203" s="210">
        <v>18814.502184651585</v>
      </c>
      <c r="G203" s="210">
        <v>9380.6427336067336</v>
      </c>
      <c r="H203" s="210">
        <v>9121.1389693137662</v>
      </c>
      <c r="I203" s="210">
        <v>783.82276999999999</v>
      </c>
      <c r="J203" s="210">
        <v>803.86869000000002</v>
      </c>
      <c r="K203" s="210">
        <v>872.38692800000013</v>
      </c>
      <c r="L203" s="210">
        <v>673.34719200000006</v>
      </c>
      <c r="M203" s="210">
        <v>681.81696799999997</v>
      </c>
      <c r="N203" s="210">
        <v>2005.4096599999998</v>
      </c>
      <c r="O203" s="210">
        <v>2061.4298920632</v>
      </c>
      <c r="P203" s="210">
        <v>2061.4298920632</v>
      </c>
      <c r="Q203" s="210">
        <v>2061.4298920632</v>
      </c>
      <c r="R203" s="210">
        <v>2061.4298920632</v>
      </c>
      <c r="S203" s="210"/>
      <c r="T203" s="210"/>
      <c r="U203" s="210"/>
      <c r="V203" s="209"/>
      <c r="W203" s="209"/>
      <c r="X203" s="209"/>
      <c r="Y203" s="209"/>
    </row>
    <row r="204" spans="1:25" x14ac:dyDescent="0.2">
      <c r="A204" s="198">
        <v>625</v>
      </c>
      <c r="B204" s="199" t="s">
        <v>337</v>
      </c>
      <c r="C204" s="197">
        <v>17</v>
      </c>
      <c r="D204" s="210">
        <v>9093.8583800000015</v>
      </c>
      <c r="E204" s="210">
        <v>9015.9916924755853</v>
      </c>
      <c r="F204" s="210">
        <v>9311.3258058380688</v>
      </c>
      <c r="G204" s="210">
        <v>4636.0506697777219</v>
      </c>
      <c r="H204" s="210">
        <v>4545.7256135704629</v>
      </c>
      <c r="I204" s="210">
        <v>651.27568999999994</v>
      </c>
      <c r="J204" s="210">
        <v>592.91112599999997</v>
      </c>
      <c r="K204" s="210">
        <v>643.39897600000006</v>
      </c>
      <c r="L204" s="210">
        <v>496.60406399999999</v>
      </c>
      <c r="M204" s="210">
        <v>502.85065600000007</v>
      </c>
      <c r="N204" s="210">
        <v>907.31691000000001</v>
      </c>
      <c r="O204" s="210">
        <v>1487.8994308199999</v>
      </c>
      <c r="P204" s="210">
        <v>1487.8994308199999</v>
      </c>
      <c r="Q204" s="210">
        <v>1487.8994308199999</v>
      </c>
      <c r="R204" s="210">
        <v>1487.8994308199999</v>
      </c>
      <c r="S204" s="210"/>
      <c r="T204" s="210"/>
      <c r="U204" s="210"/>
      <c r="V204" s="209"/>
      <c r="W204" s="209"/>
      <c r="X204" s="209"/>
      <c r="Y204" s="209"/>
    </row>
    <row r="205" spans="1:25" x14ac:dyDescent="0.2">
      <c r="A205" s="198">
        <v>626</v>
      </c>
      <c r="B205" s="199" t="s">
        <v>131</v>
      </c>
      <c r="C205" s="197">
        <v>17</v>
      </c>
      <c r="D205" s="210">
        <v>14172.15141</v>
      </c>
      <c r="E205" s="210">
        <v>14801.274446985575</v>
      </c>
      <c r="F205" s="210">
        <v>15196.092578503107</v>
      </c>
      <c r="G205" s="210">
        <v>7744.1001741314931</v>
      </c>
      <c r="H205" s="210">
        <v>7615.4929067386574</v>
      </c>
      <c r="I205" s="210">
        <v>6238.6904999999997</v>
      </c>
      <c r="J205" s="210">
        <v>4883.128882</v>
      </c>
      <c r="K205" s="210">
        <v>5298.6572219999998</v>
      </c>
      <c r="L205" s="210">
        <v>4089.7402830000001</v>
      </c>
      <c r="M205" s="210">
        <v>4141.1835569999994</v>
      </c>
      <c r="N205" s="210">
        <v>1193.61817</v>
      </c>
      <c r="O205" s="210">
        <v>1233.199306752</v>
      </c>
      <c r="P205" s="210">
        <v>1233.199306752</v>
      </c>
      <c r="Q205" s="210">
        <v>1233.199306752</v>
      </c>
      <c r="R205" s="210">
        <v>1233.199306752</v>
      </c>
      <c r="S205" s="210"/>
      <c r="T205" s="210"/>
      <c r="U205" s="210"/>
      <c r="V205" s="209"/>
      <c r="W205" s="209"/>
      <c r="X205" s="209"/>
      <c r="Y205" s="209"/>
    </row>
    <row r="206" spans="1:25" x14ac:dyDescent="0.2">
      <c r="A206" s="198">
        <v>630</v>
      </c>
      <c r="B206" s="199" t="s">
        <v>338</v>
      </c>
      <c r="C206" s="197">
        <v>17</v>
      </c>
      <c r="D206" s="210">
        <v>3768.7666200000003</v>
      </c>
      <c r="E206" s="210">
        <v>3788.5498511425981</v>
      </c>
      <c r="F206" s="210">
        <v>3902.9458376984912</v>
      </c>
      <c r="G206" s="210">
        <v>1930.5298743676362</v>
      </c>
      <c r="H206" s="210">
        <v>1882.0475142552496</v>
      </c>
      <c r="I206" s="210">
        <v>591.07051999999999</v>
      </c>
      <c r="J206" s="210">
        <v>639.56180700000004</v>
      </c>
      <c r="K206" s="210">
        <v>694.27211800000009</v>
      </c>
      <c r="L206" s="210">
        <v>535.870227</v>
      </c>
      <c r="M206" s="210">
        <v>542.6107330000001</v>
      </c>
      <c r="N206" s="210">
        <v>433.01668999999998</v>
      </c>
      <c r="O206" s="210">
        <v>470.18419405199995</v>
      </c>
      <c r="P206" s="210">
        <v>470.18419405199995</v>
      </c>
      <c r="Q206" s="210">
        <v>470.18419405199995</v>
      </c>
      <c r="R206" s="210">
        <v>470.18419405199995</v>
      </c>
      <c r="S206" s="210"/>
      <c r="T206" s="210"/>
      <c r="U206" s="210"/>
      <c r="V206" s="209"/>
      <c r="W206" s="209"/>
      <c r="X206" s="209"/>
      <c r="Y206" s="209"/>
    </row>
    <row r="207" spans="1:25" x14ac:dyDescent="0.2">
      <c r="A207" s="198">
        <v>631</v>
      </c>
      <c r="B207" s="199" t="s">
        <v>339</v>
      </c>
      <c r="C207" s="197">
        <v>2</v>
      </c>
      <c r="D207" s="210">
        <v>6960.4035199999998</v>
      </c>
      <c r="E207" s="210">
        <v>7446.9835797353535</v>
      </c>
      <c r="F207" s="210">
        <v>7501.9323353627888</v>
      </c>
      <c r="G207" s="210">
        <v>4020.2237614011915</v>
      </c>
      <c r="H207" s="210">
        <v>3971.1412997972825</v>
      </c>
      <c r="I207" s="210">
        <v>311.67018000000002</v>
      </c>
      <c r="J207" s="210">
        <v>315.40706299999999</v>
      </c>
      <c r="K207" s="210">
        <v>341.29111799999993</v>
      </c>
      <c r="L207" s="210">
        <v>263.42372699999999</v>
      </c>
      <c r="M207" s="210">
        <v>266.737233</v>
      </c>
      <c r="N207" s="210">
        <v>852.66008999999997</v>
      </c>
      <c r="O207" s="210">
        <v>856.49418134400003</v>
      </c>
      <c r="P207" s="210">
        <v>856.49418134400003</v>
      </c>
      <c r="Q207" s="210">
        <v>856.49418134400003</v>
      </c>
      <c r="R207" s="210">
        <v>856.49418134400003</v>
      </c>
      <c r="S207" s="210"/>
      <c r="T207" s="210"/>
      <c r="U207" s="210"/>
      <c r="V207" s="209"/>
      <c r="W207" s="209"/>
      <c r="X207" s="209"/>
      <c r="Y207" s="209"/>
    </row>
    <row r="208" spans="1:25" x14ac:dyDescent="0.2">
      <c r="A208" s="198">
        <v>635</v>
      </c>
      <c r="B208" s="199" t="s">
        <v>340</v>
      </c>
      <c r="C208" s="197">
        <v>6</v>
      </c>
      <c r="D208" s="210">
        <v>19571.022870000001</v>
      </c>
      <c r="E208" s="210">
        <v>19576.921735135402</v>
      </c>
      <c r="F208" s="210">
        <v>20244.327145376483</v>
      </c>
      <c r="G208" s="210">
        <v>10741.424005652905</v>
      </c>
      <c r="H208" s="210">
        <v>10494.770772626291</v>
      </c>
      <c r="I208" s="210">
        <v>1341.2381699999999</v>
      </c>
      <c r="J208" s="210">
        <v>1224.4993149999998</v>
      </c>
      <c r="K208" s="210">
        <v>1327.0068859999999</v>
      </c>
      <c r="L208" s="210">
        <v>1024.2431789999998</v>
      </c>
      <c r="M208" s="210">
        <v>1037.1267409999998</v>
      </c>
      <c r="N208" s="210">
        <v>2168.1769599999998</v>
      </c>
      <c r="O208" s="210">
        <v>2159.6654107559998</v>
      </c>
      <c r="P208" s="210">
        <v>2159.6654107559998</v>
      </c>
      <c r="Q208" s="210">
        <v>2159.6654107559998</v>
      </c>
      <c r="R208" s="210">
        <v>2159.6654107559998</v>
      </c>
      <c r="S208" s="210"/>
      <c r="T208" s="210"/>
      <c r="U208" s="210"/>
      <c r="V208" s="209"/>
      <c r="W208" s="209"/>
      <c r="X208" s="209"/>
      <c r="Y208" s="209"/>
    </row>
    <row r="209" spans="1:25" x14ac:dyDescent="0.2">
      <c r="A209" s="198">
        <v>636</v>
      </c>
      <c r="B209" s="199" t="s">
        <v>341</v>
      </c>
      <c r="C209" s="197">
        <v>2</v>
      </c>
      <c r="D209" s="210">
        <v>24228.143399999997</v>
      </c>
      <c r="E209" s="210">
        <v>24540.081901045083</v>
      </c>
      <c r="F209" s="210">
        <v>25608.613302356505</v>
      </c>
      <c r="G209" s="210">
        <v>13903.08329551335</v>
      </c>
      <c r="H209" s="210">
        <v>13563.820577929007</v>
      </c>
      <c r="I209" s="210">
        <v>1763.9358400000001</v>
      </c>
      <c r="J209" s="210">
        <v>1674.0546099999999</v>
      </c>
      <c r="K209" s="210">
        <v>1814.309362</v>
      </c>
      <c r="L209" s="210">
        <v>1400.3649929999999</v>
      </c>
      <c r="M209" s="210">
        <v>1417.9796470000001</v>
      </c>
      <c r="N209" s="210">
        <v>1708.60564</v>
      </c>
      <c r="O209" s="210">
        <v>1893.9545943360001</v>
      </c>
      <c r="P209" s="210">
        <v>1893.9545943360001</v>
      </c>
      <c r="Q209" s="210">
        <v>1893.9545943360001</v>
      </c>
      <c r="R209" s="210">
        <v>1893.9545943360001</v>
      </c>
      <c r="S209" s="210"/>
      <c r="T209" s="210"/>
      <c r="U209" s="210"/>
      <c r="V209" s="209"/>
      <c r="W209" s="209"/>
      <c r="X209" s="209"/>
      <c r="Y209" s="209"/>
    </row>
    <row r="210" spans="1:25" x14ac:dyDescent="0.2">
      <c r="A210" s="198">
        <v>678</v>
      </c>
      <c r="B210" s="199" t="s">
        <v>342</v>
      </c>
      <c r="C210" s="197">
        <v>17</v>
      </c>
      <c r="D210" s="210">
        <v>81213.389680000008</v>
      </c>
      <c r="E210" s="210">
        <v>83758.759198703963</v>
      </c>
      <c r="F210" s="210">
        <v>86040.737451397639</v>
      </c>
      <c r="G210" s="210">
        <v>44393.694662315887</v>
      </c>
      <c r="H210" s="210">
        <v>43524.253330039479</v>
      </c>
      <c r="I210" s="210">
        <v>3472.8353700000002</v>
      </c>
      <c r="J210" s="210">
        <v>3438.5462510000002</v>
      </c>
      <c r="K210" s="210">
        <v>3666.0890939999995</v>
      </c>
      <c r="L210" s="210">
        <v>2829.6512909999997</v>
      </c>
      <c r="M210" s="210">
        <v>2865.2443889999995</v>
      </c>
      <c r="N210" s="210">
        <v>6209.87655</v>
      </c>
      <c r="O210" s="210">
        <v>6967.1090745840002</v>
      </c>
      <c r="P210" s="210">
        <v>6967.1090745840002</v>
      </c>
      <c r="Q210" s="210">
        <v>6967.1090745840002</v>
      </c>
      <c r="R210" s="210">
        <v>6967.1090745840002</v>
      </c>
      <c r="S210" s="210"/>
      <c r="T210" s="210"/>
      <c r="U210" s="210"/>
      <c r="V210" s="209"/>
      <c r="W210" s="209"/>
      <c r="X210" s="209"/>
      <c r="Y210" s="209"/>
    </row>
    <row r="211" spans="1:25" x14ac:dyDescent="0.2">
      <c r="A211" s="198">
        <v>710</v>
      </c>
      <c r="B211" s="199" t="s">
        <v>132</v>
      </c>
      <c r="C211" s="197">
        <v>1</v>
      </c>
      <c r="D211" s="210">
        <v>100338.49681</v>
      </c>
      <c r="E211" s="210">
        <v>99855.407733311542</v>
      </c>
      <c r="F211" s="210">
        <v>104350.67595013561</v>
      </c>
      <c r="G211" s="210">
        <v>57555.940886966739</v>
      </c>
      <c r="H211" s="210">
        <v>56386.1113885636</v>
      </c>
      <c r="I211" s="210">
        <v>4321.4711200000002</v>
      </c>
      <c r="J211" s="210">
        <v>4586.8757509999996</v>
      </c>
      <c r="K211" s="210">
        <v>4970.0421079999996</v>
      </c>
      <c r="L211" s="210">
        <v>3836.1004619999999</v>
      </c>
      <c r="M211" s="210">
        <v>3884.3532980000004</v>
      </c>
      <c r="N211" s="210">
        <v>11145.19332</v>
      </c>
      <c r="O211" s="210">
        <v>11374.0408261296</v>
      </c>
      <c r="P211" s="210">
        <v>11374.0408261296</v>
      </c>
      <c r="Q211" s="210">
        <v>11374.0408261296</v>
      </c>
      <c r="R211" s="210">
        <v>11374.0408261296</v>
      </c>
      <c r="S211" s="210"/>
      <c r="T211" s="210"/>
      <c r="U211" s="210"/>
      <c r="V211" s="209"/>
      <c r="W211" s="209"/>
      <c r="X211" s="209"/>
      <c r="Y211" s="209"/>
    </row>
    <row r="212" spans="1:25" x14ac:dyDescent="0.2">
      <c r="A212" s="198">
        <v>680</v>
      </c>
      <c r="B212" s="199" t="s">
        <v>343</v>
      </c>
      <c r="C212" s="197">
        <v>2</v>
      </c>
      <c r="D212" s="210">
        <v>85961.512799999997</v>
      </c>
      <c r="E212" s="210">
        <v>88284.366324321614</v>
      </c>
      <c r="F212" s="210">
        <v>91198.926180810187</v>
      </c>
      <c r="G212" s="210">
        <v>44472.366307677214</v>
      </c>
      <c r="H212" s="210">
        <v>42900.938645360802</v>
      </c>
      <c r="I212" s="210">
        <v>5902.3387599999996</v>
      </c>
      <c r="J212" s="210">
        <v>5790.1117240000003</v>
      </c>
      <c r="K212" s="210">
        <v>6265.835462</v>
      </c>
      <c r="L212" s="210">
        <v>4836.2516430000005</v>
      </c>
      <c r="M212" s="210">
        <v>4897.0849970000008</v>
      </c>
      <c r="N212" s="210">
        <v>7710.1919900000003</v>
      </c>
      <c r="O212" s="210">
        <v>7631.5914607392006</v>
      </c>
      <c r="P212" s="210">
        <v>7631.5914607392006</v>
      </c>
      <c r="Q212" s="210">
        <v>7631.5914607392006</v>
      </c>
      <c r="R212" s="210">
        <v>7631.5914607392006</v>
      </c>
      <c r="S212" s="210"/>
      <c r="T212" s="210"/>
      <c r="U212" s="210"/>
      <c r="V212" s="209"/>
      <c r="W212" s="209"/>
      <c r="X212" s="209"/>
      <c r="Y212" s="209"/>
    </row>
    <row r="213" spans="1:25" x14ac:dyDescent="0.2">
      <c r="A213" s="198">
        <v>681</v>
      </c>
      <c r="B213" s="199" t="s">
        <v>344</v>
      </c>
      <c r="C213" s="197">
        <v>10</v>
      </c>
      <c r="D213" s="210">
        <v>9065.9078399999999</v>
      </c>
      <c r="E213" s="210">
        <v>8960.1498579351392</v>
      </c>
      <c r="F213" s="210">
        <v>9411.2271178913779</v>
      </c>
      <c r="G213" s="210">
        <v>4918.1289363907863</v>
      </c>
      <c r="H213" s="210">
        <v>4842.4580782735839</v>
      </c>
      <c r="I213" s="210">
        <v>1119.02017</v>
      </c>
      <c r="J213" s="210">
        <v>1074.594233</v>
      </c>
      <c r="K213" s="210">
        <v>1164.871496</v>
      </c>
      <c r="L213" s="210">
        <v>899.09984400000008</v>
      </c>
      <c r="M213" s="210">
        <v>910.40927599999986</v>
      </c>
      <c r="N213" s="210">
        <v>1055.0756399999998</v>
      </c>
      <c r="O213" s="210">
        <v>1071.6955447824</v>
      </c>
      <c r="P213" s="210">
        <v>1071.6955447824</v>
      </c>
      <c r="Q213" s="210">
        <v>1071.6955447824</v>
      </c>
      <c r="R213" s="210">
        <v>1071.6955447824</v>
      </c>
      <c r="S213" s="210"/>
      <c r="T213" s="210"/>
      <c r="U213" s="210"/>
      <c r="V213" s="209"/>
      <c r="W213" s="209"/>
      <c r="X213" s="209"/>
      <c r="Y213" s="209"/>
    </row>
    <row r="214" spans="1:25" x14ac:dyDescent="0.2">
      <c r="A214" s="198">
        <v>683</v>
      </c>
      <c r="B214" s="199" t="s">
        <v>345</v>
      </c>
      <c r="C214" s="197">
        <v>19</v>
      </c>
      <c r="D214" s="210">
        <v>8659.6341999999986</v>
      </c>
      <c r="E214" s="210">
        <v>8570.8952151626327</v>
      </c>
      <c r="F214" s="210">
        <v>8867.680898112103</v>
      </c>
      <c r="G214" s="210">
        <v>4432.0726066104917</v>
      </c>
      <c r="H214" s="210">
        <v>4318.4147939490249</v>
      </c>
      <c r="I214" s="210">
        <v>623.29192</v>
      </c>
      <c r="J214" s="210">
        <v>607.679439</v>
      </c>
      <c r="K214" s="210">
        <v>657.94319400000006</v>
      </c>
      <c r="L214" s="210">
        <v>507.82994099999996</v>
      </c>
      <c r="M214" s="210">
        <v>514.21773900000005</v>
      </c>
      <c r="N214" s="210">
        <v>790.32335</v>
      </c>
      <c r="O214" s="210">
        <v>871.03009404000011</v>
      </c>
      <c r="P214" s="210">
        <v>871.03009404000011</v>
      </c>
      <c r="Q214" s="210">
        <v>871.03009404000011</v>
      </c>
      <c r="R214" s="210">
        <v>871.03009404000011</v>
      </c>
      <c r="S214" s="210"/>
      <c r="T214" s="210"/>
      <c r="U214" s="210"/>
      <c r="V214" s="209"/>
      <c r="W214" s="209"/>
      <c r="X214" s="209"/>
      <c r="Y214" s="209"/>
    </row>
    <row r="215" spans="1:25" x14ac:dyDescent="0.2">
      <c r="A215" s="198">
        <v>684</v>
      </c>
      <c r="B215" s="199" t="s">
        <v>346</v>
      </c>
      <c r="C215" s="197">
        <v>4</v>
      </c>
      <c r="D215" s="210">
        <v>150651.65117</v>
      </c>
      <c r="E215" s="210">
        <v>150975.62743610668</v>
      </c>
      <c r="F215" s="210">
        <v>156509.15409301614</v>
      </c>
      <c r="G215" s="210">
        <v>77001.939656638802</v>
      </c>
      <c r="H215" s="210">
        <v>74889.027942440531</v>
      </c>
      <c r="I215" s="210">
        <v>23054.378359999999</v>
      </c>
      <c r="J215" s="210">
        <v>16865.163504999997</v>
      </c>
      <c r="K215" s="210">
        <v>18269.958308000001</v>
      </c>
      <c r="L215" s="210">
        <v>14101.569762000001</v>
      </c>
      <c r="M215" s="210">
        <v>14278.947998000001</v>
      </c>
      <c r="N215" s="210">
        <v>8057.2984699999997</v>
      </c>
      <c r="O215" s="210">
        <v>8124.3063753119995</v>
      </c>
      <c r="P215" s="210">
        <v>8124.3063753119995</v>
      </c>
      <c r="Q215" s="210">
        <v>8124.3063753119995</v>
      </c>
      <c r="R215" s="210">
        <v>8124.3063753119995</v>
      </c>
      <c r="S215" s="210"/>
      <c r="T215" s="210"/>
      <c r="U215" s="210"/>
      <c r="V215" s="209"/>
      <c r="W215" s="209"/>
      <c r="X215" s="209"/>
      <c r="Y215" s="209"/>
    </row>
    <row r="216" spans="1:25" x14ac:dyDescent="0.2">
      <c r="A216" s="198">
        <v>686</v>
      </c>
      <c r="B216" s="199" t="s">
        <v>347</v>
      </c>
      <c r="C216" s="197">
        <v>11</v>
      </c>
      <c r="D216" s="210">
        <v>8806.3044700000009</v>
      </c>
      <c r="E216" s="210">
        <v>8727.5501313435961</v>
      </c>
      <c r="F216" s="210">
        <v>8898.4134457219516</v>
      </c>
      <c r="G216" s="210">
        <v>4972.0386387195922</v>
      </c>
      <c r="H216" s="210">
        <v>4893.0239365731686</v>
      </c>
      <c r="I216" s="210">
        <v>773.19825000000003</v>
      </c>
      <c r="J216" s="210">
        <v>740.086861</v>
      </c>
      <c r="K216" s="210">
        <v>801.59461600000009</v>
      </c>
      <c r="L216" s="210">
        <v>618.70652399999994</v>
      </c>
      <c r="M216" s="210">
        <v>626.48899600000004</v>
      </c>
      <c r="N216" s="210">
        <v>1104.6530299999999</v>
      </c>
      <c r="O216" s="210">
        <v>1129.160676792</v>
      </c>
      <c r="P216" s="210">
        <v>1129.160676792</v>
      </c>
      <c r="Q216" s="210">
        <v>1129.160676792</v>
      </c>
      <c r="R216" s="210">
        <v>1129.160676792</v>
      </c>
      <c r="S216" s="210"/>
      <c r="T216" s="210"/>
      <c r="U216" s="210"/>
      <c r="V216" s="209"/>
      <c r="W216" s="209"/>
      <c r="X216" s="209"/>
      <c r="Y216" s="209"/>
    </row>
    <row r="217" spans="1:25" x14ac:dyDescent="0.2">
      <c r="A217" s="198">
        <v>687</v>
      </c>
      <c r="B217" s="199" t="s">
        <v>348</v>
      </c>
      <c r="C217" s="197">
        <v>11</v>
      </c>
      <c r="D217" s="210">
        <v>3699.7442599999999</v>
      </c>
      <c r="E217" s="210">
        <v>3911.6251315217869</v>
      </c>
      <c r="F217" s="210">
        <v>4056.9640101979185</v>
      </c>
      <c r="G217" s="210">
        <v>2222.8775553836972</v>
      </c>
      <c r="H217" s="210">
        <v>2210.5103286474509</v>
      </c>
      <c r="I217" s="210">
        <v>1401.08539</v>
      </c>
      <c r="J217" s="210">
        <v>1393.8192719999997</v>
      </c>
      <c r="K217" s="210">
        <v>1511.1715039999997</v>
      </c>
      <c r="L217" s="210">
        <v>1166.3896560000001</v>
      </c>
      <c r="M217" s="210">
        <v>1181.0612239999998</v>
      </c>
      <c r="N217" s="210">
        <v>362.26303000000001</v>
      </c>
      <c r="O217" s="210">
        <v>434.26732065360005</v>
      </c>
      <c r="P217" s="210">
        <v>434.26732065360005</v>
      </c>
      <c r="Q217" s="210">
        <v>434.26732065360005</v>
      </c>
      <c r="R217" s="210">
        <v>434.26732065360005</v>
      </c>
      <c r="S217" s="210"/>
      <c r="T217" s="210"/>
      <c r="U217" s="210"/>
      <c r="V217" s="209"/>
      <c r="W217" s="209"/>
      <c r="X217" s="209"/>
      <c r="Y217" s="209"/>
    </row>
    <row r="218" spans="1:25" x14ac:dyDescent="0.2">
      <c r="A218" s="198">
        <v>689</v>
      </c>
      <c r="B218" s="199" t="s">
        <v>349</v>
      </c>
      <c r="C218" s="197">
        <v>9</v>
      </c>
      <c r="D218" s="210">
        <v>10558.554539999999</v>
      </c>
      <c r="E218" s="210">
        <v>10183.797302834171</v>
      </c>
      <c r="F218" s="210">
        <v>10504.587751160119</v>
      </c>
      <c r="G218" s="210">
        <v>5174.4945023543314</v>
      </c>
      <c r="H218" s="210">
        <v>5062.8670709823136</v>
      </c>
      <c r="I218" s="210">
        <v>1455.80729</v>
      </c>
      <c r="J218" s="210">
        <v>1407.4034809999998</v>
      </c>
      <c r="K218" s="210">
        <v>1529.3363779999997</v>
      </c>
      <c r="L218" s="210">
        <v>1180.4101169999999</v>
      </c>
      <c r="M218" s="210">
        <v>1195.2580429999998</v>
      </c>
      <c r="N218" s="210">
        <v>760.59167000000002</v>
      </c>
      <c r="O218" s="210">
        <v>748.87300615200013</v>
      </c>
      <c r="P218" s="210">
        <v>748.87300615200013</v>
      </c>
      <c r="Q218" s="210">
        <v>748.87300615200013</v>
      </c>
      <c r="R218" s="210">
        <v>748.87300615200013</v>
      </c>
      <c r="S218" s="210"/>
      <c r="T218" s="210"/>
      <c r="U218" s="210"/>
      <c r="V218" s="209"/>
      <c r="W218" s="209"/>
      <c r="X218" s="209"/>
      <c r="Y218" s="209"/>
    </row>
    <row r="219" spans="1:25" x14ac:dyDescent="0.2">
      <c r="A219" s="198">
        <v>691</v>
      </c>
      <c r="B219" s="199" t="s">
        <v>350</v>
      </c>
      <c r="C219" s="197">
        <v>17</v>
      </c>
      <c r="D219" s="210">
        <v>7136.2820099999999</v>
      </c>
      <c r="E219" s="210">
        <v>7319.351726299913</v>
      </c>
      <c r="F219" s="210">
        <v>7714.1367155062489</v>
      </c>
      <c r="G219" s="210">
        <v>4361.2743085824986</v>
      </c>
      <c r="H219" s="210">
        <v>4305.855803961831</v>
      </c>
      <c r="I219" s="210">
        <v>415.07327000000004</v>
      </c>
      <c r="J219" s="210">
        <v>376.65697599999999</v>
      </c>
      <c r="K219" s="210">
        <v>407.99206400000003</v>
      </c>
      <c r="L219" s="210">
        <v>314.906496</v>
      </c>
      <c r="M219" s="210">
        <v>318.86758400000002</v>
      </c>
      <c r="N219" s="210">
        <v>690.75118999999995</v>
      </c>
      <c r="O219" s="210">
        <v>693.23900554800002</v>
      </c>
      <c r="P219" s="210">
        <v>693.23900554800002</v>
      </c>
      <c r="Q219" s="210">
        <v>693.23900554800002</v>
      </c>
      <c r="R219" s="210">
        <v>693.23900554800002</v>
      </c>
      <c r="S219" s="210"/>
      <c r="T219" s="210"/>
      <c r="U219" s="210"/>
      <c r="V219" s="209"/>
      <c r="W219" s="209"/>
      <c r="X219" s="209"/>
      <c r="Y219" s="209"/>
    </row>
    <row r="220" spans="1:25" x14ac:dyDescent="0.2">
      <c r="A220" s="198">
        <v>694</v>
      </c>
      <c r="B220" s="199" t="s">
        <v>351</v>
      </c>
      <c r="C220" s="197">
        <v>5</v>
      </c>
      <c r="D220" s="210">
        <v>103383.62432999999</v>
      </c>
      <c r="E220" s="210">
        <v>104273.50535297666</v>
      </c>
      <c r="F220" s="210">
        <v>109776.37480736818</v>
      </c>
      <c r="G220" s="210">
        <v>55736.467487415401</v>
      </c>
      <c r="H220" s="210">
        <v>54142.771647538124</v>
      </c>
      <c r="I220" s="210">
        <v>8703.2314700000006</v>
      </c>
      <c r="J220" s="210">
        <v>8284.8983069999995</v>
      </c>
      <c r="K220" s="210">
        <v>8983.8303620000024</v>
      </c>
      <c r="L220" s="210">
        <v>6934.1214930000006</v>
      </c>
      <c r="M220" s="210">
        <v>7021.3431470000005</v>
      </c>
      <c r="N220" s="210">
        <v>9621.5063699999992</v>
      </c>
      <c r="O220" s="210">
        <v>9694.0331917368003</v>
      </c>
      <c r="P220" s="210">
        <v>9694.0331917368003</v>
      </c>
      <c r="Q220" s="210">
        <v>9694.0331917368003</v>
      </c>
      <c r="R220" s="210">
        <v>9694.0331917368003</v>
      </c>
      <c r="S220" s="210"/>
      <c r="T220" s="210"/>
      <c r="U220" s="210"/>
      <c r="V220" s="209"/>
      <c r="W220" s="209"/>
      <c r="X220" s="209"/>
      <c r="Y220" s="209"/>
    </row>
    <row r="221" spans="1:25" x14ac:dyDescent="0.2">
      <c r="A221" s="198">
        <v>697</v>
      </c>
      <c r="B221" s="199" t="s">
        <v>352</v>
      </c>
      <c r="C221" s="197">
        <v>18</v>
      </c>
      <c r="D221" s="210">
        <v>3762.76109</v>
      </c>
      <c r="E221" s="210">
        <v>3662.4641155837871</v>
      </c>
      <c r="F221" s="210">
        <v>3805.2116287782992</v>
      </c>
      <c r="G221" s="210">
        <v>2022.5818365906646</v>
      </c>
      <c r="H221" s="210">
        <v>2008.211519098257</v>
      </c>
      <c r="I221" s="210">
        <v>493.97197999999997</v>
      </c>
      <c r="J221" s="210">
        <v>456.94152099999997</v>
      </c>
      <c r="K221" s="210">
        <v>494.93683599999997</v>
      </c>
      <c r="L221" s="210">
        <v>382.01435399999997</v>
      </c>
      <c r="M221" s="210">
        <v>386.81956600000001</v>
      </c>
      <c r="N221" s="210">
        <v>825.65368999999998</v>
      </c>
      <c r="O221" s="210">
        <v>809.05516053600002</v>
      </c>
      <c r="P221" s="210">
        <v>809.05516053600002</v>
      </c>
      <c r="Q221" s="210">
        <v>809.05516053600002</v>
      </c>
      <c r="R221" s="210">
        <v>809.05516053600002</v>
      </c>
      <c r="S221" s="210"/>
      <c r="T221" s="210"/>
      <c r="U221" s="210"/>
      <c r="V221" s="209"/>
      <c r="W221" s="209"/>
      <c r="X221" s="209"/>
      <c r="Y221" s="209"/>
    </row>
    <row r="222" spans="1:25" x14ac:dyDescent="0.2">
      <c r="A222" s="198">
        <v>698</v>
      </c>
      <c r="B222" s="198" t="s">
        <v>353</v>
      </c>
      <c r="C222" s="197">
        <v>19</v>
      </c>
      <c r="D222" s="210">
        <v>207250.91654000001</v>
      </c>
      <c r="E222" s="210">
        <v>211682.62095236868</v>
      </c>
      <c r="F222" s="210">
        <v>220693.64258168527</v>
      </c>
      <c r="G222" s="210">
        <v>116898.88355259784</v>
      </c>
      <c r="H222" s="210">
        <v>113884.38805833762</v>
      </c>
      <c r="I222" s="210">
        <v>11869.921470000001</v>
      </c>
      <c r="J222" s="210">
        <v>10382.330597000002</v>
      </c>
      <c r="K222" s="210">
        <v>11251.804666000002</v>
      </c>
      <c r="L222" s="210">
        <v>8684.6453490000022</v>
      </c>
      <c r="M222" s="210">
        <v>8793.8861710000019</v>
      </c>
      <c r="N222" s="210">
        <v>30474.136549999999</v>
      </c>
      <c r="O222" s="210">
        <v>30525.717783803997</v>
      </c>
      <c r="P222" s="210">
        <v>30525.717783803997</v>
      </c>
      <c r="Q222" s="210">
        <v>30525.717783803997</v>
      </c>
      <c r="R222" s="210">
        <v>30525.717783803997</v>
      </c>
      <c r="S222" s="210"/>
      <c r="T222" s="210"/>
      <c r="U222" s="210"/>
      <c r="V222" s="209"/>
      <c r="W222" s="209"/>
      <c r="X222" s="209"/>
      <c r="Y222" s="209"/>
    </row>
    <row r="223" spans="1:25" x14ac:dyDescent="0.2">
      <c r="A223" s="198">
        <v>700</v>
      </c>
      <c r="B223" s="198" t="s">
        <v>354</v>
      </c>
      <c r="C223" s="197">
        <v>9</v>
      </c>
      <c r="D223" s="210">
        <v>17009.445039999999</v>
      </c>
      <c r="E223" s="210">
        <v>17213.160316057401</v>
      </c>
      <c r="F223" s="210">
        <v>17561.322261161564</v>
      </c>
      <c r="G223" s="210">
        <v>8775.3514784834697</v>
      </c>
      <c r="H223" s="210">
        <v>8614.2624989617179</v>
      </c>
      <c r="I223" s="210">
        <v>2056.4561800000001</v>
      </c>
      <c r="J223" s="210">
        <v>2037.5546509999999</v>
      </c>
      <c r="K223" s="210">
        <v>2210.5260539999999</v>
      </c>
      <c r="L223" s="210">
        <v>1706.1827310000003</v>
      </c>
      <c r="M223" s="210">
        <v>1727.644149</v>
      </c>
      <c r="N223" s="210">
        <v>1793.1323200000002</v>
      </c>
      <c r="O223" s="210">
        <v>1787.5845813432002</v>
      </c>
      <c r="P223" s="210">
        <v>1787.5845813432002</v>
      </c>
      <c r="Q223" s="210">
        <v>1787.5845813432002</v>
      </c>
      <c r="R223" s="210">
        <v>1787.5845813432002</v>
      </c>
      <c r="S223" s="210"/>
      <c r="T223" s="210"/>
      <c r="U223" s="210"/>
      <c r="V223" s="209"/>
      <c r="W223" s="209"/>
      <c r="X223" s="209"/>
      <c r="Y223" s="209"/>
    </row>
    <row r="224" spans="1:25" x14ac:dyDescent="0.2">
      <c r="A224" s="198">
        <v>702</v>
      </c>
      <c r="B224" s="233" t="s">
        <v>355</v>
      </c>
      <c r="C224" s="197">
        <v>6</v>
      </c>
      <c r="D224" s="210">
        <v>13311.66977</v>
      </c>
      <c r="E224" s="210">
        <v>12956.904147374515</v>
      </c>
      <c r="F224" s="210">
        <v>13488.540051337541</v>
      </c>
      <c r="G224" s="210">
        <v>7290.8949126503239</v>
      </c>
      <c r="H224" s="210">
        <v>7236.4043012182001</v>
      </c>
      <c r="I224" s="210">
        <v>1657.5929099999998</v>
      </c>
      <c r="J224" s="210">
        <v>1579.573605</v>
      </c>
      <c r="K224" s="210">
        <v>1712.7647519999998</v>
      </c>
      <c r="L224" s="210">
        <v>1321.9883279999999</v>
      </c>
      <c r="M224" s="210">
        <v>1338.6171119999999</v>
      </c>
      <c r="N224" s="210">
        <v>1604.40184</v>
      </c>
      <c r="O224" s="210">
        <v>1597.5904603439999</v>
      </c>
      <c r="P224" s="210">
        <v>1597.5904603439999</v>
      </c>
      <c r="Q224" s="210">
        <v>1597.5904603439999</v>
      </c>
      <c r="R224" s="210">
        <v>1597.5904603439999</v>
      </c>
      <c r="S224" s="210"/>
      <c r="T224" s="210"/>
      <c r="U224" s="210"/>
      <c r="V224" s="209"/>
      <c r="W224" s="209"/>
      <c r="X224" s="209"/>
      <c r="Y224" s="209"/>
    </row>
    <row r="225" spans="1:25" x14ac:dyDescent="0.2">
      <c r="A225" s="198">
        <v>704</v>
      </c>
      <c r="B225" s="199" t="s">
        <v>356</v>
      </c>
      <c r="C225" s="197">
        <v>2</v>
      </c>
      <c r="D225" s="210">
        <v>21838.491870000002</v>
      </c>
      <c r="E225" s="210">
        <v>22963.001452961416</v>
      </c>
      <c r="F225" s="210">
        <v>23757.054085893891</v>
      </c>
      <c r="G225" s="210">
        <v>11867.92746941658</v>
      </c>
      <c r="H225" s="210">
        <v>11328.282558130732</v>
      </c>
      <c r="I225" s="210">
        <v>1298.6710800000001</v>
      </c>
      <c r="J225" s="210">
        <v>1280.1227439999998</v>
      </c>
      <c r="K225" s="210">
        <v>1387.6543160000001</v>
      </c>
      <c r="L225" s="210">
        <v>1071.053574</v>
      </c>
      <c r="M225" s="210">
        <v>1084.525946</v>
      </c>
      <c r="N225" s="210">
        <v>1171.7744399999999</v>
      </c>
      <c r="O225" s="210">
        <v>1174.3050284927999</v>
      </c>
      <c r="P225" s="210">
        <v>1174.3050284927999</v>
      </c>
      <c r="Q225" s="210">
        <v>1174.3050284927999</v>
      </c>
      <c r="R225" s="210">
        <v>1174.3050284927999</v>
      </c>
      <c r="S225" s="210"/>
      <c r="T225" s="210"/>
      <c r="U225" s="210"/>
      <c r="V225" s="209"/>
      <c r="W225" s="209"/>
      <c r="X225" s="209"/>
      <c r="Y225" s="209"/>
    </row>
    <row r="226" spans="1:25" x14ac:dyDescent="0.2">
      <c r="A226" s="198">
        <v>707</v>
      </c>
      <c r="B226" s="199" t="s">
        <v>357</v>
      </c>
      <c r="C226" s="197">
        <v>12</v>
      </c>
      <c r="D226" s="210">
        <v>4877.2664299999997</v>
      </c>
      <c r="E226" s="210">
        <v>4930.894235062774</v>
      </c>
      <c r="F226" s="210">
        <v>5057.9350812689054</v>
      </c>
      <c r="G226" s="210">
        <v>2819.1413677215</v>
      </c>
      <c r="H226" s="210">
        <v>2768.2700310473288</v>
      </c>
      <c r="I226" s="210">
        <v>542.11968000000002</v>
      </c>
      <c r="J226" s="210">
        <v>490.80254300000001</v>
      </c>
      <c r="K226" s="210">
        <v>532.00220999999999</v>
      </c>
      <c r="L226" s="210">
        <v>410.623065</v>
      </c>
      <c r="M226" s="210">
        <v>415.78813500000007</v>
      </c>
      <c r="N226" s="210">
        <v>643.31668999999999</v>
      </c>
      <c r="O226" s="210">
        <v>639.40117689600004</v>
      </c>
      <c r="P226" s="210">
        <v>639.40117689600004</v>
      </c>
      <c r="Q226" s="210">
        <v>639.40117689600004</v>
      </c>
      <c r="R226" s="210">
        <v>639.40117689600004</v>
      </c>
      <c r="S226" s="210"/>
      <c r="T226" s="210"/>
      <c r="U226" s="210"/>
      <c r="V226" s="209"/>
      <c r="W226" s="209"/>
      <c r="X226" s="209"/>
      <c r="Y226" s="209"/>
    </row>
    <row r="227" spans="1:25" x14ac:dyDescent="0.2">
      <c r="A227" s="198">
        <v>729</v>
      </c>
      <c r="B227" s="199" t="s">
        <v>358</v>
      </c>
      <c r="C227" s="197">
        <v>13</v>
      </c>
      <c r="D227" s="210">
        <v>25932.810750000001</v>
      </c>
      <c r="E227" s="210">
        <v>25679.606894531942</v>
      </c>
      <c r="F227" s="210">
        <v>26797.300055792093</v>
      </c>
      <c r="G227" s="210">
        <v>14272.458948314781</v>
      </c>
      <c r="H227" s="210">
        <v>14143.208899660631</v>
      </c>
      <c r="I227" s="210">
        <v>2207.99584</v>
      </c>
      <c r="J227" s="210">
        <v>2239.1607760000002</v>
      </c>
      <c r="K227" s="210">
        <v>2424.2372519999999</v>
      </c>
      <c r="L227" s="210">
        <v>1871.1345779999999</v>
      </c>
      <c r="M227" s="210">
        <v>1894.6708620000002</v>
      </c>
      <c r="N227" s="210">
        <v>2328.5072</v>
      </c>
      <c r="O227" s="210">
        <v>2317.254132516</v>
      </c>
      <c r="P227" s="210">
        <v>2317.254132516</v>
      </c>
      <c r="Q227" s="210">
        <v>2317.254132516</v>
      </c>
      <c r="R227" s="210">
        <v>2317.254132516</v>
      </c>
      <c r="S227" s="210"/>
      <c r="T227" s="210"/>
      <c r="U227" s="210"/>
      <c r="V227" s="209"/>
      <c r="W227" s="209"/>
      <c r="X227" s="209"/>
      <c r="Y227" s="209"/>
    </row>
    <row r="228" spans="1:25" x14ac:dyDescent="0.2">
      <c r="A228" s="198">
        <v>732</v>
      </c>
      <c r="B228" s="199" t="s">
        <v>359</v>
      </c>
      <c r="C228" s="197">
        <v>19</v>
      </c>
      <c r="D228" s="210">
        <v>9002.5066600000009</v>
      </c>
      <c r="E228" s="210">
        <v>8920.0400238559414</v>
      </c>
      <c r="F228" s="210">
        <v>9260.9660715518639</v>
      </c>
      <c r="G228" s="210">
        <v>4712.60022273698</v>
      </c>
      <c r="H228" s="210">
        <v>4637.4927625295777</v>
      </c>
      <c r="I228" s="210">
        <v>1301.0211200000001</v>
      </c>
      <c r="J228" s="210">
        <v>1097.3736900000001</v>
      </c>
      <c r="K228" s="210">
        <v>1188.391752</v>
      </c>
      <c r="L228" s="210">
        <v>917.253828</v>
      </c>
      <c r="M228" s="210">
        <v>928.79161199999987</v>
      </c>
      <c r="N228" s="210">
        <v>1288.9800700000001</v>
      </c>
      <c r="O228" s="210">
        <v>1318.274790552</v>
      </c>
      <c r="P228" s="210">
        <v>1318.274790552</v>
      </c>
      <c r="Q228" s="210">
        <v>1318.274790552</v>
      </c>
      <c r="R228" s="210">
        <v>1318.274790552</v>
      </c>
      <c r="S228" s="210"/>
      <c r="T228" s="210"/>
      <c r="U228" s="210"/>
      <c r="V228" s="209"/>
      <c r="W228" s="209"/>
      <c r="X228" s="209"/>
      <c r="Y228" s="209"/>
    </row>
    <row r="229" spans="1:25" x14ac:dyDescent="0.2">
      <c r="A229" s="198">
        <v>734</v>
      </c>
      <c r="B229" s="199" t="s">
        <v>360</v>
      </c>
      <c r="C229" s="197">
        <v>2</v>
      </c>
      <c r="D229" s="210">
        <v>169253.0355</v>
      </c>
      <c r="E229" s="210">
        <v>162562.28420369665</v>
      </c>
      <c r="F229" s="210">
        <v>173513.42690660467</v>
      </c>
      <c r="G229" s="210">
        <v>89098.635432207157</v>
      </c>
      <c r="H229" s="210">
        <v>87237.590304506128</v>
      </c>
      <c r="I229" s="210">
        <v>12320.988869999999</v>
      </c>
      <c r="J229" s="210">
        <v>11917.404777000002</v>
      </c>
      <c r="K229" s="210">
        <v>12756.418159999999</v>
      </c>
      <c r="L229" s="210">
        <v>9845.9732399999994</v>
      </c>
      <c r="M229" s="210">
        <v>9969.8219599999993</v>
      </c>
      <c r="N229" s="210">
        <v>14550.00713</v>
      </c>
      <c r="O229" s="210">
        <v>14394.906750501603</v>
      </c>
      <c r="P229" s="210">
        <v>14394.906750501603</v>
      </c>
      <c r="Q229" s="210">
        <v>14394.906750501603</v>
      </c>
      <c r="R229" s="210">
        <v>14394.906750501603</v>
      </c>
      <c r="S229" s="210"/>
      <c r="T229" s="210"/>
      <c r="U229" s="210"/>
      <c r="V229" s="209"/>
      <c r="W229" s="209"/>
      <c r="X229" s="209"/>
      <c r="Y229" s="209"/>
    </row>
    <row r="230" spans="1:25" x14ac:dyDescent="0.2">
      <c r="A230" s="198">
        <v>790</v>
      </c>
      <c r="B230" s="199" t="s">
        <v>133</v>
      </c>
      <c r="C230" s="197">
        <v>6</v>
      </c>
      <c r="D230" s="210">
        <v>72032.604909999995</v>
      </c>
      <c r="E230" s="210">
        <v>72800.787556400857</v>
      </c>
      <c r="F230" s="210">
        <v>75487.593358924598</v>
      </c>
      <c r="G230" s="210">
        <v>39240.908497759898</v>
      </c>
      <c r="H230" s="210">
        <v>38356.632644803074</v>
      </c>
      <c r="I230" s="210">
        <v>4787.9138700000003</v>
      </c>
      <c r="J230" s="210">
        <v>4757.1606340000008</v>
      </c>
      <c r="K230" s="210">
        <v>5156.8369339999999</v>
      </c>
      <c r="L230" s="210">
        <v>3980.277051</v>
      </c>
      <c r="M230" s="210">
        <v>4030.3434289999996</v>
      </c>
      <c r="N230" s="210">
        <v>5718.3005599999997</v>
      </c>
      <c r="O230" s="210">
        <v>5708.2558837584011</v>
      </c>
      <c r="P230" s="210">
        <v>5708.2558837584011</v>
      </c>
      <c r="Q230" s="210">
        <v>5708.2558837584011</v>
      </c>
      <c r="R230" s="210">
        <v>5708.2558837584011</v>
      </c>
      <c r="S230" s="210"/>
      <c r="T230" s="210"/>
      <c r="U230" s="210"/>
      <c r="V230" s="209"/>
      <c r="W230" s="209"/>
      <c r="X230" s="209"/>
      <c r="Y230" s="209"/>
    </row>
    <row r="231" spans="1:25" x14ac:dyDescent="0.2">
      <c r="A231" s="198">
        <v>738</v>
      </c>
      <c r="B231" s="237" t="s">
        <v>361</v>
      </c>
      <c r="C231" s="197">
        <v>2</v>
      </c>
      <c r="D231" s="210">
        <v>10059.559650000001</v>
      </c>
      <c r="E231" s="210">
        <v>10175.978711253492</v>
      </c>
      <c r="F231" s="210">
        <v>10659.310884349119</v>
      </c>
      <c r="G231" s="210">
        <v>5799.7988999357713</v>
      </c>
      <c r="H231" s="210">
        <v>5639.8748526357067</v>
      </c>
      <c r="I231" s="210">
        <v>450.73788000000002</v>
      </c>
      <c r="J231" s="210">
        <v>481.15449000000001</v>
      </c>
      <c r="K231" s="210">
        <v>522.2868380000001</v>
      </c>
      <c r="L231" s="210">
        <v>403.12430699999999</v>
      </c>
      <c r="M231" s="210">
        <v>408.19505299999997</v>
      </c>
      <c r="N231" s="210">
        <v>1089.0798500000001</v>
      </c>
      <c r="O231" s="210">
        <v>1147.3256287200002</v>
      </c>
      <c r="P231" s="210">
        <v>1147.3256287200002</v>
      </c>
      <c r="Q231" s="210">
        <v>1147.3256287200002</v>
      </c>
      <c r="R231" s="210">
        <v>1147.3256287200002</v>
      </c>
      <c r="S231" s="210"/>
      <c r="T231" s="210"/>
      <c r="U231" s="210"/>
      <c r="V231" s="209"/>
      <c r="W231" s="209"/>
      <c r="X231" s="209"/>
      <c r="Y231" s="209"/>
    </row>
    <row r="232" spans="1:25" x14ac:dyDescent="0.2">
      <c r="A232" s="198">
        <v>739</v>
      </c>
      <c r="B232" s="199" t="s">
        <v>362</v>
      </c>
      <c r="C232" s="197">
        <v>9</v>
      </c>
      <c r="D232" s="210">
        <v>9601.5501400000012</v>
      </c>
      <c r="E232" s="210">
        <v>9821.029783762262</v>
      </c>
      <c r="F232" s="210">
        <v>10214.173750965378</v>
      </c>
      <c r="G232" s="210">
        <v>5447.5950151734523</v>
      </c>
      <c r="H232" s="210">
        <v>5361.7304432649798</v>
      </c>
      <c r="I232" s="210">
        <v>1364.37384</v>
      </c>
      <c r="J232" s="210">
        <v>1187.8678360000001</v>
      </c>
      <c r="K232" s="210">
        <v>1287.916532</v>
      </c>
      <c r="L232" s="210">
        <v>994.07149799999991</v>
      </c>
      <c r="M232" s="210">
        <v>1006.575542</v>
      </c>
      <c r="N232" s="210">
        <v>1348.4762900000001</v>
      </c>
      <c r="O232" s="210">
        <v>1332.754603932</v>
      </c>
      <c r="P232" s="210">
        <v>1332.754603932</v>
      </c>
      <c r="Q232" s="210">
        <v>1332.754603932</v>
      </c>
      <c r="R232" s="210">
        <v>1332.754603932</v>
      </c>
      <c r="S232" s="210"/>
      <c r="T232" s="210"/>
      <c r="U232" s="210"/>
      <c r="V232" s="209"/>
      <c r="W232" s="209"/>
      <c r="X232" s="209"/>
      <c r="Y232" s="209"/>
    </row>
    <row r="233" spans="1:25" x14ac:dyDescent="0.2">
      <c r="A233" s="198">
        <v>740</v>
      </c>
      <c r="B233" s="199" t="s">
        <v>363</v>
      </c>
      <c r="C233" s="197">
        <v>10</v>
      </c>
      <c r="D233" s="210">
        <v>114321.04042</v>
      </c>
      <c r="E233" s="210">
        <v>111430.18935379386</v>
      </c>
      <c r="F233" s="210">
        <v>115435.62083645511</v>
      </c>
      <c r="G233" s="210">
        <v>62891.547390182714</v>
      </c>
      <c r="H233" s="210">
        <v>62131.753842319857</v>
      </c>
      <c r="I233" s="210">
        <v>9054.1539499999999</v>
      </c>
      <c r="J233" s="210">
        <v>9842.5432020000026</v>
      </c>
      <c r="K233" s="210">
        <v>10686.127842000002</v>
      </c>
      <c r="L233" s="210">
        <v>8248.0307130000019</v>
      </c>
      <c r="M233" s="210">
        <v>8351.7795270000006</v>
      </c>
      <c r="N233" s="210">
        <v>13847.98036</v>
      </c>
      <c r="O233" s="210">
        <v>13317.4457667936</v>
      </c>
      <c r="P233" s="210">
        <v>13317.4457667936</v>
      </c>
      <c r="Q233" s="210">
        <v>13317.4457667936</v>
      </c>
      <c r="R233" s="210">
        <v>13317.4457667936</v>
      </c>
      <c r="S233" s="210"/>
      <c r="T233" s="210"/>
      <c r="U233" s="210"/>
      <c r="V233" s="209"/>
      <c r="W233" s="209"/>
      <c r="X233" s="209"/>
      <c r="Y233" s="209"/>
    </row>
    <row r="234" spans="1:25" x14ac:dyDescent="0.2">
      <c r="A234" s="198">
        <v>742</v>
      </c>
      <c r="B234" s="199" t="s">
        <v>364</v>
      </c>
      <c r="C234" s="197">
        <v>19</v>
      </c>
      <c r="D234" s="210">
        <v>2836.0662599999996</v>
      </c>
      <c r="E234" s="210">
        <v>2695.792125838113</v>
      </c>
      <c r="F234" s="210">
        <v>2878.5900360658566</v>
      </c>
      <c r="G234" s="210">
        <v>1556.8663855498885</v>
      </c>
      <c r="H234" s="210">
        <v>1534.3944228660675</v>
      </c>
      <c r="I234" s="210">
        <v>978.01235999999994</v>
      </c>
      <c r="J234" s="210">
        <v>982.2270759999999</v>
      </c>
      <c r="K234" s="210">
        <v>1063.8869999999999</v>
      </c>
      <c r="L234" s="210">
        <v>821.15550000000007</v>
      </c>
      <c r="M234" s="210">
        <v>831.48450000000003</v>
      </c>
      <c r="N234" s="210">
        <v>398.08509000000004</v>
      </c>
      <c r="O234" s="210">
        <v>395.71392523200001</v>
      </c>
      <c r="P234" s="210">
        <v>395.71392523200001</v>
      </c>
      <c r="Q234" s="210">
        <v>395.71392523200001</v>
      </c>
      <c r="R234" s="210">
        <v>395.71392523200001</v>
      </c>
      <c r="S234" s="210"/>
      <c r="T234" s="210"/>
      <c r="U234" s="210"/>
      <c r="V234" s="209"/>
      <c r="W234" s="209"/>
      <c r="X234" s="209"/>
      <c r="Y234" s="209"/>
    </row>
    <row r="235" spans="1:25" x14ac:dyDescent="0.2">
      <c r="A235" s="198">
        <v>743</v>
      </c>
      <c r="B235" s="199" t="s">
        <v>365</v>
      </c>
      <c r="C235" s="197">
        <v>14</v>
      </c>
      <c r="D235" s="210">
        <v>207969.54717999999</v>
      </c>
      <c r="E235" s="210">
        <v>214513.13469382381</v>
      </c>
      <c r="F235" s="210">
        <v>225443.28981659375</v>
      </c>
      <c r="G235" s="210">
        <v>120273.05869962642</v>
      </c>
      <c r="H235" s="210">
        <v>116705.31226396064</v>
      </c>
      <c r="I235" s="210">
        <v>15560.31149</v>
      </c>
      <c r="J235" s="210">
        <v>14586.101062999998</v>
      </c>
      <c r="K235" s="210">
        <v>15783.516059999998</v>
      </c>
      <c r="L235" s="210">
        <v>12182.42259</v>
      </c>
      <c r="M235" s="210">
        <v>12335.660609999999</v>
      </c>
      <c r="N235" s="210">
        <v>23969.696510000002</v>
      </c>
      <c r="O235" s="210">
        <v>24644.837202792001</v>
      </c>
      <c r="P235" s="210">
        <v>24644.837202792001</v>
      </c>
      <c r="Q235" s="210">
        <v>24644.837202792001</v>
      </c>
      <c r="R235" s="210">
        <v>24644.837202792001</v>
      </c>
      <c r="S235" s="210"/>
      <c r="T235" s="210"/>
      <c r="U235" s="210"/>
      <c r="V235" s="209"/>
      <c r="W235" s="209"/>
      <c r="X235" s="209"/>
      <c r="Y235" s="209"/>
    </row>
    <row r="236" spans="1:25" x14ac:dyDescent="0.2">
      <c r="A236" s="198">
        <v>746</v>
      </c>
      <c r="B236" s="199" t="s">
        <v>366</v>
      </c>
      <c r="C236" s="197">
        <v>17</v>
      </c>
      <c r="D236" s="210">
        <v>12026.45865</v>
      </c>
      <c r="E236" s="210">
        <v>12683.253430179642</v>
      </c>
      <c r="F236" s="210">
        <v>13042.132153706018</v>
      </c>
      <c r="G236" s="210">
        <v>7146.9479682889996</v>
      </c>
      <c r="H236" s="210">
        <v>7036.3294075515632</v>
      </c>
      <c r="I236" s="210">
        <v>2232.4627700000001</v>
      </c>
      <c r="J236" s="210">
        <v>1939.5080130000001</v>
      </c>
      <c r="K236" s="210">
        <v>2101.3190679999998</v>
      </c>
      <c r="L236" s="210">
        <v>1621.8919020000003</v>
      </c>
      <c r="M236" s="210">
        <v>1642.2930580000002</v>
      </c>
      <c r="N236" s="210">
        <v>1048.76187</v>
      </c>
      <c r="O236" s="210">
        <v>1034.4957247055997</v>
      </c>
      <c r="P236" s="210">
        <v>1034.4957247055997</v>
      </c>
      <c r="Q236" s="210">
        <v>1034.4957247055997</v>
      </c>
      <c r="R236" s="210">
        <v>1034.4957247055997</v>
      </c>
      <c r="S236" s="210"/>
      <c r="T236" s="210"/>
      <c r="U236" s="210"/>
      <c r="V236" s="209"/>
      <c r="W236" s="209"/>
      <c r="X236" s="209"/>
      <c r="Y236" s="209"/>
    </row>
    <row r="237" spans="1:25" x14ac:dyDescent="0.2">
      <c r="A237" s="198">
        <v>747</v>
      </c>
      <c r="B237" s="199" t="s">
        <v>367</v>
      </c>
      <c r="C237" s="197">
        <v>4</v>
      </c>
      <c r="D237" s="210">
        <v>3383.7048500000001</v>
      </c>
      <c r="E237" s="210">
        <v>3389.4472956436239</v>
      </c>
      <c r="F237" s="210">
        <v>3560.505084551939</v>
      </c>
      <c r="G237" s="210">
        <v>1970.5593000748006</v>
      </c>
      <c r="H237" s="210">
        <v>1959.3076791619342</v>
      </c>
      <c r="I237" s="210">
        <v>610.15344999999991</v>
      </c>
      <c r="J237" s="210">
        <v>583.79946600000005</v>
      </c>
      <c r="K237" s="210">
        <v>632.05723399999999</v>
      </c>
      <c r="L237" s="210">
        <v>487.85000099999996</v>
      </c>
      <c r="M237" s="210">
        <v>493.98647899999997</v>
      </c>
      <c r="N237" s="210">
        <v>545.66431999999998</v>
      </c>
      <c r="O237" s="210">
        <v>753.79306224000004</v>
      </c>
      <c r="P237" s="210">
        <v>753.79306224000004</v>
      </c>
      <c r="Q237" s="210">
        <v>753.79306224000004</v>
      </c>
      <c r="R237" s="210">
        <v>753.79306224000004</v>
      </c>
      <c r="S237" s="210"/>
      <c r="T237" s="210"/>
      <c r="U237" s="210"/>
      <c r="V237" s="209"/>
      <c r="W237" s="209"/>
      <c r="X237" s="209"/>
      <c r="Y237" s="209"/>
    </row>
    <row r="238" spans="1:25" x14ac:dyDescent="0.2">
      <c r="A238" s="198">
        <v>748</v>
      </c>
      <c r="B238" s="199" t="s">
        <v>368</v>
      </c>
      <c r="C238" s="197">
        <v>17</v>
      </c>
      <c r="D238" s="210">
        <v>14895.08473</v>
      </c>
      <c r="E238" s="210">
        <v>15124.355211636412</v>
      </c>
      <c r="F238" s="210">
        <v>15633.663505895307</v>
      </c>
      <c r="G238" s="210">
        <v>8581.9522753114652</v>
      </c>
      <c r="H238" s="210">
        <v>8434.154066913432</v>
      </c>
      <c r="I238" s="210">
        <v>869.32848999999999</v>
      </c>
      <c r="J238" s="210">
        <v>839.85138099999995</v>
      </c>
      <c r="K238" s="210">
        <v>908.92123400000003</v>
      </c>
      <c r="L238" s="210">
        <v>701.54600100000005</v>
      </c>
      <c r="M238" s="210">
        <v>710.37047900000005</v>
      </c>
      <c r="N238" s="210">
        <v>1141.44075</v>
      </c>
      <c r="O238" s="210">
        <v>1378.3350199560002</v>
      </c>
      <c r="P238" s="210">
        <v>1378.3350199560002</v>
      </c>
      <c r="Q238" s="210">
        <v>1378.3350199560002</v>
      </c>
      <c r="R238" s="210">
        <v>1378.3350199560002</v>
      </c>
      <c r="S238" s="210"/>
      <c r="T238" s="210"/>
      <c r="U238" s="210"/>
      <c r="V238" s="209"/>
      <c r="W238" s="209"/>
      <c r="X238" s="209"/>
      <c r="Y238" s="209"/>
    </row>
    <row r="239" spans="1:25" x14ac:dyDescent="0.2">
      <c r="A239" s="198">
        <v>791</v>
      </c>
      <c r="B239" s="199" t="s">
        <v>134</v>
      </c>
      <c r="C239" s="197">
        <v>17</v>
      </c>
      <c r="D239" s="210">
        <v>14171.765160000001</v>
      </c>
      <c r="E239" s="210">
        <v>13842.387131193329</v>
      </c>
      <c r="F239" s="210">
        <v>14479.588840476368</v>
      </c>
      <c r="G239" s="210">
        <v>7998.5915812924286</v>
      </c>
      <c r="H239" s="210">
        <v>7911.5488417174702</v>
      </c>
      <c r="I239" s="210">
        <v>1266.8015700000001</v>
      </c>
      <c r="J239" s="210">
        <v>1187.4025839999999</v>
      </c>
      <c r="K239" s="210">
        <v>1284.7935719999998</v>
      </c>
      <c r="L239" s="210">
        <v>991.66105799999991</v>
      </c>
      <c r="M239" s="210">
        <v>1004.1347820000001</v>
      </c>
      <c r="N239" s="210">
        <v>1336.99053</v>
      </c>
      <c r="O239" s="210">
        <v>1325.1095900999999</v>
      </c>
      <c r="P239" s="210">
        <v>1325.1095900999999</v>
      </c>
      <c r="Q239" s="210">
        <v>1325.1095900999999</v>
      </c>
      <c r="R239" s="210">
        <v>1325.1095900999999</v>
      </c>
      <c r="S239" s="210"/>
      <c r="T239" s="210"/>
      <c r="U239" s="210"/>
      <c r="V239" s="209"/>
      <c r="W239" s="209"/>
      <c r="X239" s="209"/>
      <c r="Y239" s="209"/>
    </row>
    <row r="240" spans="1:25" x14ac:dyDescent="0.2">
      <c r="A240" s="198">
        <v>749</v>
      </c>
      <c r="B240" s="199" t="s">
        <v>369</v>
      </c>
      <c r="C240" s="197">
        <v>11</v>
      </c>
      <c r="D240" s="210">
        <v>75885.438720000006</v>
      </c>
      <c r="E240" s="210">
        <v>77742.808533768359</v>
      </c>
      <c r="F240" s="210">
        <v>81459.54517958872</v>
      </c>
      <c r="G240" s="210">
        <v>43296.155180696995</v>
      </c>
      <c r="H240" s="210">
        <v>42118.849219381103</v>
      </c>
      <c r="I240" s="210">
        <v>4671.1762399999998</v>
      </c>
      <c r="J240" s="210">
        <v>4015.991794</v>
      </c>
      <c r="K240" s="210">
        <v>4343.5058799999997</v>
      </c>
      <c r="L240" s="210">
        <v>3352.5118199999997</v>
      </c>
      <c r="M240" s="210">
        <v>3394.6817799999994</v>
      </c>
      <c r="N240" s="210">
        <v>5334.0374800000009</v>
      </c>
      <c r="O240" s="210">
        <v>5332.7301968880001</v>
      </c>
      <c r="P240" s="210">
        <v>5332.7301968880001</v>
      </c>
      <c r="Q240" s="210">
        <v>5332.7301968880001</v>
      </c>
      <c r="R240" s="210">
        <v>5332.7301968880001</v>
      </c>
      <c r="S240" s="210"/>
      <c r="T240" s="210"/>
      <c r="U240" s="210"/>
      <c r="V240" s="209"/>
      <c r="W240" s="209"/>
      <c r="X240" s="209"/>
      <c r="Y240" s="209"/>
    </row>
    <row r="241" spans="1:25" x14ac:dyDescent="0.2">
      <c r="A241" s="198">
        <v>751</v>
      </c>
      <c r="B241" s="199" t="s">
        <v>370</v>
      </c>
      <c r="C241" s="197">
        <v>19</v>
      </c>
      <c r="D241" s="210">
        <v>10482.61706</v>
      </c>
      <c r="E241" s="210">
        <v>10399.135741544045</v>
      </c>
      <c r="F241" s="210">
        <v>10981.56252088656</v>
      </c>
      <c r="G241" s="210">
        <v>5897.9626074292537</v>
      </c>
      <c r="H241" s="210">
        <v>5824.7895854297867</v>
      </c>
      <c r="I241" s="210">
        <v>357.58052000000004</v>
      </c>
      <c r="J241" s="210">
        <v>353.91013299999997</v>
      </c>
      <c r="K241" s="210">
        <v>383.61155199999996</v>
      </c>
      <c r="L241" s="210">
        <v>296.088528</v>
      </c>
      <c r="M241" s="210">
        <v>299.81291199999998</v>
      </c>
      <c r="N241" s="210">
        <v>1117.9540400000001</v>
      </c>
      <c r="O241" s="210">
        <v>1633.1243091840001</v>
      </c>
      <c r="P241" s="210">
        <v>1633.1243091840001</v>
      </c>
      <c r="Q241" s="210">
        <v>1633.1243091840001</v>
      </c>
      <c r="R241" s="210">
        <v>1633.1243091840001</v>
      </c>
      <c r="S241" s="210"/>
      <c r="T241" s="210"/>
      <c r="U241" s="210"/>
      <c r="V241" s="209"/>
      <c r="W241" s="209"/>
      <c r="X241" s="209"/>
      <c r="Y241" s="209"/>
    </row>
    <row r="242" spans="1:25" x14ac:dyDescent="0.2">
      <c r="A242" s="198">
        <v>753</v>
      </c>
      <c r="B242" s="199" t="s">
        <v>371</v>
      </c>
      <c r="C242" s="197">
        <v>1</v>
      </c>
      <c r="D242" s="210">
        <v>83263.855769999995</v>
      </c>
      <c r="E242" s="210">
        <v>86301.11323050542</v>
      </c>
      <c r="F242" s="210">
        <v>89529.145011668603</v>
      </c>
      <c r="G242" s="210">
        <v>42810.614437684519</v>
      </c>
      <c r="H242" s="210">
        <v>40675.697468402912</v>
      </c>
      <c r="I242" s="210">
        <v>4677.6891100000003</v>
      </c>
      <c r="J242" s="210">
        <v>4643.0496700000003</v>
      </c>
      <c r="K242" s="210">
        <v>5021.9372160000003</v>
      </c>
      <c r="L242" s="210">
        <v>3876.1554240000005</v>
      </c>
      <c r="M242" s="210">
        <v>3924.912096</v>
      </c>
      <c r="N242" s="210">
        <v>8957.0595599999997</v>
      </c>
      <c r="O242" s="210">
        <v>9392.9365562879975</v>
      </c>
      <c r="P242" s="210">
        <v>9392.9365562879975</v>
      </c>
      <c r="Q242" s="210">
        <v>9392.9365562879975</v>
      </c>
      <c r="R242" s="210">
        <v>9392.9365562879975</v>
      </c>
      <c r="S242" s="210"/>
      <c r="T242" s="210"/>
      <c r="U242" s="210"/>
      <c r="V242" s="209"/>
      <c r="W242" s="209"/>
      <c r="X242" s="209"/>
      <c r="Y242" s="209"/>
    </row>
    <row r="243" spans="1:25" x14ac:dyDescent="0.2">
      <c r="A243" s="198">
        <v>755</v>
      </c>
      <c r="B243" s="233" t="s">
        <v>372</v>
      </c>
      <c r="C243" s="197">
        <v>1</v>
      </c>
      <c r="D243" s="210">
        <v>26425.527620000001</v>
      </c>
      <c r="E243" s="210">
        <v>26601.719175636634</v>
      </c>
      <c r="F243" s="210">
        <v>28310.166232930016</v>
      </c>
      <c r="G243" s="210">
        <v>15203.95072226346</v>
      </c>
      <c r="H243" s="210">
        <v>14722.552443791941</v>
      </c>
      <c r="I243" s="210">
        <v>556.22059999999999</v>
      </c>
      <c r="J243" s="210">
        <v>602.05713100000003</v>
      </c>
      <c r="K243" s="210">
        <v>652.38346000000001</v>
      </c>
      <c r="L243" s="210">
        <v>503.53868999999997</v>
      </c>
      <c r="M243" s="210">
        <v>509.87251000000003</v>
      </c>
      <c r="N243" s="210">
        <v>2152.9936000000002</v>
      </c>
      <c r="O243" s="210">
        <v>2207.1909876479999</v>
      </c>
      <c r="P243" s="210">
        <v>2207.1909876479999</v>
      </c>
      <c r="Q243" s="210">
        <v>2207.1909876479999</v>
      </c>
      <c r="R243" s="210">
        <v>2207.1909876479999</v>
      </c>
      <c r="S243" s="210"/>
      <c r="T243" s="210"/>
      <c r="U243" s="210"/>
      <c r="V243" s="209"/>
      <c r="W243" s="209"/>
      <c r="X243" s="209"/>
      <c r="Y243" s="209"/>
    </row>
    <row r="244" spans="1:25" x14ac:dyDescent="0.2">
      <c r="A244" s="198">
        <v>758</v>
      </c>
      <c r="B244" s="199" t="s">
        <v>373</v>
      </c>
      <c r="C244" s="197">
        <v>19</v>
      </c>
      <c r="D244" s="210">
        <v>26241.88033</v>
      </c>
      <c r="E244" s="210">
        <v>26741.214525391864</v>
      </c>
      <c r="F244" s="210">
        <v>27985.341576526127</v>
      </c>
      <c r="G244" s="210">
        <v>13942.866206142915</v>
      </c>
      <c r="H244" s="210">
        <v>13544.490149544461</v>
      </c>
      <c r="I244" s="210">
        <v>2907.3817400000003</v>
      </c>
      <c r="J244" s="210">
        <v>3267.8401439999998</v>
      </c>
      <c r="K244" s="210">
        <v>3547.0598220000002</v>
      </c>
      <c r="L244" s="210">
        <v>2737.7791830000006</v>
      </c>
      <c r="M244" s="210">
        <v>2772.2166569999999</v>
      </c>
      <c r="N244" s="210">
        <v>7394.4465499999997</v>
      </c>
      <c r="O244" s="210">
        <v>7874.5294684320015</v>
      </c>
      <c r="P244" s="210">
        <v>7874.5294684320015</v>
      </c>
      <c r="Q244" s="210">
        <v>7874.5294684320015</v>
      </c>
      <c r="R244" s="210">
        <v>7874.5294684320015</v>
      </c>
      <c r="S244" s="210"/>
      <c r="T244" s="210"/>
      <c r="U244" s="210"/>
      <c r="V244" s="209"/>
      <c r="W244" s="209"/>
      <c r="X244" s="209"/>
      <c r="Y244" s="209"/>
    </row>
    <row r="245" spans="1:25" x14ac:dyDescent="0.2">
      <c r="A245" s="198">
        <v>759</v>
      </c>
      <c r="B245" s="199" t="s">
        <v>374</v>
      </c>
      <c r="C245" s="197">
        <v>14</v>
      </c>
      <c r="D245" s="210">
        <v>5025.83889</v>
      </c>
      <c r="E245" s="210">
        <v>4826.5943812732003</v>
      </c>
      <c r="F245" s="210">
        <v>5060.4949531600132</v>
      </c>
      <c r="G245" s="210">
        <v>2751.502223679523</v>
      </c>
      <c r="H245" s="210">
        <v>2728.3631015808351</v>
      </c>
      <c r="I245" s="210">
        <v>633.89198999999996</v>
      </c>
      <c r="J245" s="210">
        <v>597.46375199999989</v>
      </c>
      <c r="K245" s="210">
        <v>646.89108799999997</v>
      </c>
      <c r="L245" s="210">
        <v>499.29943200000002</v>
      </c>
      <c r="M245" s="210">
        <v>505.579928</v>
      </c>
      <c r="N245" s="210">
        <v>528.17737999999997</v>
      </c>
      <c r="O245" s="210">
        <v>488.94597061439998</v>
      </c>
      <c r="P245" s="210">
        <v>488.94597061439998</v>
      </c>
      <c r="Q245" s="210">
        <v>488.94597061439998</v>
      </c>
      <c r="R245" s="210">
        <v>488.94597061439998</v>
      </c>
      <c r="S245" s="210"/>
      <c r="T245" s="210"/>
      <c r="U245" s="210"/>
      <c r="V245" s="209"/>
      <c r="W245" s="209"/>
      <c r="X245" s="209"/>
      <c r="Y245" s="209"/>
    </row>
    <row r="246" spans="1:25" x14ac:dyDescent="0.2">
      <c r="A246" s="198">
        <v>761</v>
      </c>
      <c r="B246" s="199" t="s">
        <v>375</v>
      </c>
      <c r="C246" s="211">
        <v>2</v>
      </c>
      <c r="D246" s="210">
        <v>24047.74423</v>
      </c>
      <c r="E246" s="210">
        <v>24463.701331278342</v>
      </c>
      <c r="F246" s="210">
        <v>25629.008507788472</v>
      </c>
      <c r="G246" s="210">
        <v>12865.920632558353</v>
      </c>
      <c r="H246" s="210">
        <v>12470.758744222425</v>
      </c>
      <c r="I246" s="210">
        <v>1361.7470700000001</v>
      </c>
      <c r="J246" s="210">
        <v>1281.5188370000001</v>
      </c>
      <c r="K246" s="210">
        <v>1388.847262</v>
      </c>
      <c r="L246" s="210">
        <v>1071.9743430000001</v>
      </c>
      <c r="M246" s="210">
        <v>1085.4582969999999</v>
      </c>
      <c r="N246" s="210">
        <v>1788.1483899999998</v>
      </c>
      <c r="O246" s="210">
        <v>1779.5538215040001</v>
      </c>
      <c r="P246" s="210">
        <v>1779.5538215040001</v>
      </c>
      <c r="Q246" s="210">
        <v>1779.5538215040001</v>
      </c>
      <c r="R246" s="210">
        <v>1779.5538215040001</v>
      </c>
      <c r="S246" s="210"/>
      <c r="T246" s="210"/>
      <c r="U246" s="210"/>
      <c r="V246" s="209"/>
      <c r="W246" s="209"/>
      <c r="X246" s="209"/>
      <c r="Y246" s="209"/>
    </row>
    <row r="247" spans="1:25" x14ac:dyDescent="0.2">
      <c r="A247" s="198">
        <v>762</v>
      </c>
      <c r="B247" s="199" t="s">
        <v>376</v>
      </c>
      <c r="C247" s="197">
        <v>11</v>
      </c>
      <c r="D247" s="210">
        <v>9957.3184000000001</v>
      </c>
      <c r="E247" s="210">
        <v>9638.4025028032574</v>
      </c>
      <c r="F247" s="210">
        <v>10139.7601516095</v>
      </c>
      <c r="G247" s="210">
        <v>5162.9734747497332</v>
      </c>
      <c r="H247" s="210">
        <v>5073.7639798840692</v>
      </c>
      <c r="I247" s="210">
        <v>2119.7669799999999</v>
      </c>
      <c r="J247" s="210">
        <v>1974.2485009999998</v>
      </c>
      <c r="K247" s="210">
        <v>2140.8935219999994</v>
      </c>
      <c r="L247" s="210">
        <v>1652.4372329999999</v>
      </c>
      <c r="M247" s="210">
        <v>1673.2226069999997</v>
      </c>
      <c r="N247" s="210">
        <v>863.26882999999998</v>
      </c>
      <c r="O247" s="210">
        <v>869.12139233999994</v>
      </c>
      <c r="P247" s="210">
        <v>869.12139233999994</v>
      </c>
      <c r="Q247" s="210">
        <v>869.12139233999994</v>
      </c>
      <c r="R247" s="210">
        <v>869.12139233999994</v>
      </c>
      <c r="S247" s="210"/>
      <c r="T247" s="210"/>
      <c r="U247" s="210"/>
      <c r="V247" s="209"/>
      <c r="W247" s="209"/>
      <c r="X247" s="209"/>
      <c r="Y247" s="209"/>
    </row>
    <row r="248" spans="1:25" x14ac:dyDescent="0.2">
      <c r="A248" s="198">
        <v>765</v>
      </c>
      <c r="B248" s="199" t="s">
        <v>377</v>
      </c>
      <c r="C248" s="197">
        <v>18</v>
      </c>
      <c r="D248" s="210">
        <v>33265.076979999998</v>
      </c>
      <c r="E248" s="210">
        <v>33300.353120578082</v>
      </c>
      <c r="F248" s="210">
        <v>34125.919072579411</v>
      </c>
      <c r="G248" s="210">
        <v>18158.347265999852</v>
      </c>
      <c r="H248" s="210">
        <v>17833.993702283744</v>
      </c>
      <c r="I248" s="210">
        <v>2506.9028699999999</v>
      </c>
      <c r="J248" s="210">
        <v>2545.9590790000002</v>
      </c>
      <c r="K248" s="210">
        <v>2754.7768180000003</v>
      </c>
      <c r="L248" s="210">
        <v>2126.2597770000002</v>
      </c>
      <c r="M248" s="210">
        <v>2153.0051830000002</v>
      </c>
      <c r="N248" s="210">
        <v>4184.8514599999999</v>
      </c>
      <c r="O248" s="210">
        <v>4178.7906515279992</v>
      </c>
      <c r="P248" s="210">
        <v>4178.7906515279992</v>
      </c>
      <c r="Q248" s="210">
        <v>4178.7906515279992</v>
      </c>
      <c r="R248" s="210">
        <v>4178.7906515279992</v>
      </c>
      <c r="S248" s="210"/>
      <c r="T248" s="210"/>
      <c r="U248" s="210"/>
      <c r="V248" s="209"/>
      <c r="W248" s="209"/>
      <c r="X248" s="209"/>
      <c r="Y248" s="209"/>
    </row>
    <row r="249" spans="1:25" x14ac:dyDescent="0.2">
      <c r="A249" s="198">
        <v>768</v>
      </c>
      <c r="B249" s="199" t="s">
        <v>378</v>
      </c>
      <c r="C249" s="197">
        <v>10</v>
      </c>
      <c r="D249" s="210">
        <v>6838.4818600000008</v>
      </c>
      <c r="E249" s="210">
        <v>6422.4756798392382</v>
      </c>
      <c r="F249" s="210">
        <v>6714.0653166246511</v>
      </c>
      <c r="G249" s="210">
        <v>3608.4296901491484</v>
      </c>
      <c r="H249" s="210">
        <v>3561.8275927303303</v>
      </c>
      <c r="I249" s="210">
        <v>1208.21822</v>
      </c>
      <c r="J249" s="210">
        <v>1160.138524</v>
      </c>
      <c r="K249" s="210">
        <v>1257.2256219999999</v>
      </c>
      <c r="L249" s="210">
        <v>970.38288300000011</v>
      </c>
      <c r="M249" s="210">
        <v>982.58895700000005</v>
      </c>
      <c r="N249" s="210">
        <v>951.29143999999997</v>
      </c>
      <c r="O249" s="210">
        <v>949.84004689200015</v>
      </c>
      <c r="P249" s="210">
        <v>949.84004689200015</v>
      </c>
      <c r="Q249" s="210">
        <v>949.84004689200015</v>
      </c>
      <c r="R249" s="210">
        <v>949.84004689200015</v>
      </c>
      <c r="S249" s="210"/>
      <c r="T249" s="210"/>
      <c r="U249" s="210"/>
      <c r="V249" s="209"/>
      <c r="W249" s="209"/>
      <c r="X249" s="209"/>
      <c r="Y249" s="209"/>
    </row>
    <row r="250" spans="1:25" x14ac:dyDescent="0.2">
      <c r="A250" s="198">
        <v>777</v>
      </c>
      <c r="B250" s="199" t="s">
        <v>379</v>
      </c>
      <c r="C250" s="197">
        <v>18</v>
      </c>
      <c r="D250" s="210">
        <v>20796.932760000003</v>
      </c>
      <c r="E250" s="210">
        <v>20856.844558106965</v>
      </c>
      <c r="F250" s="210">
        <v>21514.793155021569</v>
      </c>
      <c r="G250" s="210">
        <v>10896.333394431802</v>
      </c>
      <c r="H250" s="210">
        <v>10710.415115989143</v>
      </c>
      <c r="I250" s="210">
        <v>2837.0382799999998</v>
      </c>
      <c r="J250" s="210">
        <v>2657.5815239999997</v>
      </c>
      <c r="K250" s="210">
        <v>2876.5821459999997</v>
      </c>
      <c r="L250" s="210">
        <v>2220.2745690000002</v>
      </c>
      <c r="M250" s="210">
        <v>2248.2025510000003</v>
      </c>
      <c r="N250" s="210">
        <v>2669.9890599999999</v>
      </c>
      <c r="O250" s="210">
        <v>3078.5311740359998</v>
      </c>
      <c r="P250" s="210">
        <v>3078.5311740359998</v>
      </c>
      <c r="Q250" s="210">
        <v>3078.5311740359998</v>
      </c>
      <c r="R250" s="210">
        <v>3078.5311740359998</v>
      </c>
      <c r="S250" s="210"/>
      <c r="T250" s="210"/>
      <c r="U250" s="210"/>
      <c r="V250" s="209"/>
      <c r="W250" s="209"/>
      <c r="X250" s="209"/>
      <c r="Y250" s="209"/>
    </row>
    <row r="251" spans="1:25" x14ac:dyDescent="0.2">
      <c r="A251" s="198">
        <v>778</v>
      </c>
      <c r="B251" s="199" t="s">
        <v>380</v>
      </c>
      <c r="C251" s="197">
        <v>11</v>
      </c>
      <c r="D251" s="210">
        <v>20256.42094</v>
      </c>
      <c r="E251" s="210">
        <v>20582.026229043808</v>
      </c>
      <c r="F251" s="210">
        <v>21375.677056656274</v>
      </c>
      <c r="G251" s="210">
        <v>11697.811442714135</v>
      </c>
      <c r="H251" s="210">
        <v>11512.074304750528</v>
      </c>
      <c r="I251" s="210">
        <v>1825.8596299999999</v>
      </c>
      <c r="J251" s="210">
        <v>1709.4902770000001</v>
      </c>
      <c r="K251" s="210">
        <v>1851.708662</v>
      </c>
      <c r="L251" s="210">
        <v>1429.2314430000001</v>
      </c>
      <c r="M251" s="210">
        <v>1447.2091970000001</v>
      </c>
      <c r="N251" s="210">
        <v>1790.1940300000001</v>
      </c>
      <c r="O251" s="210">
        <v>1777.8912649440001</v>
      </c>
      <c r="P251" s="210">
        <v>1777.8912649440001</v>
      </c>
      <c r="Q251" s="210">
        <v>1777.8912649440001</v>
      </c>
      <c r="R251" s="210">
        <v>1777.8912649440001</v>
      </c>
      <c r="S251" s="210"/>
      <c r="T251" s="210"/>
      <c r="U251" s="210"/>
      <c r="V251" s="209"/>
      <c r="W251" s="209"/>
      <c r="X251" s="209"/>
      <c r="Y251" s="209"/>
    </row>
    <row r="252" spans="1:25" x14ac:dyDescent="0.2">
      <c r="A252" s="198">
        <v>781</v>
      </c>
      <c r="B252" s="199" t="s">
        <v>381</v>
      </c>
      <c r="C252" s="197">
        <v>7</v>
      </c>
      <c r="D252" s="210">
        <v>9059.0866600000008</v>
      </c>
      <c r="E252" s="210">
        <v>8788.867803283465</v>
      </c>
      <c r="F252" s="210">
        <v>9196.7993456437634</v>
      </c>
      <c r="G252" s="210">
        <v>4321.6121902881123</v>
      </c>
      <c r="H252" s="210">
        <v>4167.2933697043745</v>
      </c>
      <c r="I252" s="210">
        <v>1489.3763100000001</v>
      </c>
      <c r="J252" s="210">
        <v>1369.3576370000003</v>
      </c>
      <c r="K252" s="210">
        <v>1484.4168420000001</v>
      </c>
      <c r="L252" s="210">
        <v>1145.7392130000001</v>
      </c>
      <c r="M252" s="210">
        <v>1160.1510269999999</v>
      </c>
      <c r="N252" s="210">
        <v>1963.3636999999999</v>
      </c>
      <c r="O252" s="210">
        <v>1961.223657924</v>
      </c>
      <c r="P252" s="210">
        <v>1961.223657924</v>
      </c>
      <c r="Q252" s="210">
        <v>1961.223657924</v>
      </c>
      <c r="R252" s="210">
        <v>1961.223657924</v>
      </c>
      <c r="S252" s="210"/>
      <c r="T252" s="210"/>
      <c r="U252" s="210"/>
      <c r="V252" s="209"/>
      <c r="W252" s="209"/>
      <c r="X252" s="209"/>
      <c r="Y252" s="209"/>
    </row>
    <row r="253" spans="1:25" x14ac:dyDescent="0.2">
      <c r="A253" s="198">
        <v>783</v>
      </c>
      <c r="B253" s="199" t="s">
        <v>382</v>
      </c>
      <c r="C253" s="197">
        <v>4</v>
      </c>
      <c r="D253" s="210">
        <v>24590.12484</v>
      </c>
      <c r="E253" s="210">
        <v>24896.087199864505</v>
      </c>
      <c r="F253" s="210">
        <v>25684.472686400437</v>
      </c>
      <c r="G253" s="210">
        <v>13643.205747578219</v>
      </c>
      <c r="H253" s="210">
        <v>13385.702161273231</v>
      </c>
      <c r="I253" s="210">
        <v>1794.7311000000002</v>
      </c>
      <c r="J253" s="210">
        <v>1393.381652</v>
      </c>
      <c r="K253" s="210">
        <v>1503.7864040000002</v>
      </c>
      <c r="L253" s="210">
        <v>1160.6895059999999</v>
      </c>
      <c r="M253" s="210">
        <v>1175.2893740000002</v>
      </c>
      <c r="N253" s="210">
        <v>1949.52693</v>
      </c>
      <c r="O253" s="210">
        <v>2018.9085677112002</v>
      </c>
      <c r="P253" s="210">
        <v>2018.9085677112002</v>
      </c>
      <c r="Q253" s="210">
        <v>2018.9085677112002</v>
      </c>
      <c r="R253" s="210">
        <v>2018.9085677112002</v>
      </c>
      <c r="S253" s="210"/>
      <c r="T253" s="210"/>
      <c r="U253" s="210"/>
      <c r="V253" s="209"/>
      <c r="W253" s="209"/>
      <c r="X253" s="209"/>
      <c r="Y253" s="209"/>
    </row>
    <row r="254" spans="1:25" x14ac:dyDescent="0.2">
      <c r="A254" s="198">
        <v>831</v>
      </c>
      <c r="B254" s="199" t="s">
        <v>383</v>
      </c>
      <c r="C254" s="197">
        <v>9</v>
      </c>
      <c r="D254" s="210">
        <v>16690.461729999999</v>
      </c>
      <c r="E254" s="210">
        <v>16843.434458805987</v>
      </c>
      <c r="F254" s="210">
        <v>17745.06185040827</v>
      </c>
      <c r="G254" s="210">
        <v>8958.6015568168841</v>
      </c>
      <c r="H254" s="210">
        <v>8678.1556039038514</v>
      </c>
      <c r="I254" s="210">
        <v>845.70801000000006</v>
      </c>
      <c r="J254" s="210">
        <v>883.22499199999993</v>
      </c>
      <c r="K254" s="210">
        <v>958.42159200000003</v>
      </c>
      <c r="L254" s="210">
        <v>739.75258800000006</v>
      </c>
      <c r="M254" s="210">
        <v>749.05765199999996</v>
      </c>
      <c r="N254" s="210">
        <v>1698.04413</v>
      </c>
      <c r="O254" s="210">
        <v>1690.3882536360002</v>
      </c>
      <c r="P254" s="210">
        <v>1690.3882536360002</v>
      </c>
      <c r="Q254" s="210">
        <v>1690.3882536360002</v>
      </c>
      <c r="R254" s="210">
        <v>1690.3882536360002</v>
      </c>
      <c r="S254" s="210"/>
      <c r="T254" s="210"/>
      <c r="U254" s="210"/>
      <c r="V254" s="209"/>
      <c r="W254" s="209"/>
      <c r="X254" s="209"/>
      <c r="Y254" s="209"/>
    </row>
    <row r="255" spans="1:25" x14ac:dyDescent="0.2">
      <c r="A255" s="198">
        <v>832</v>
      </c>
      <c r="B255" s="199" t="s">
        <v>384</v>
      </c>
      <c r="C255" s="197">
        <v>17</v>
      </c>
      <c r="D255" s="210">
        <v>9772.4751099999994</v>
      </c>
      <c r="E255" s="210">
        <v>10099.012231722849</v>
      </c>
      <c r="F255" s="210">
        <v>10443.259038125389</v>
      </c>
      <c r="G255" s="210">
        <v>5352.2326053556581</v>
      </c>
      <c r="H255" s="210">
        <v>5253.0760161732487</v>
      </c>
      <c r="I255" s="210">
        <v>1299.58917</v>
      </c>
      <c r="J255" s="210">
        <v>1260.1361610000001</v>
      </c>
      <c r="K255" s="210">
        <v>1365.9186380000001</v>
      </c>
      <c r="L255" s="210">
        <v>1054.2770069999999</v>
      </c>
      <c r="M255" s="210">
        <v>1067.5383529999999</v>
      </c>
      <c r="N255" s="210">
        <v>854.61149</v>
      </c>
      <c r="O255" s="210">
        <v>901.17630731040003</v>
      </c>
      <c r="P255" s="210">
        <v>901.17630731040003</v>
      </c>
      <c r="Q255" s="210">
        <v>901.17630731040003</v>
      </c>
      <c r="R255" s="210">
        <v>901.17630731040003</v>
      </c>
      <c r="S255" s="210"/>
      <c r="T255" s="210"/>
      <c r="U255" s="210"/>
      <c r="V255" s="209"/>
      <c r="W255" s="209"/>
      <c r="X255" s="209"/>
      <c r="Y255" s="209"/>
    </row>
    <row r="256" spans="1:25" x14ac:dyDescent="0.2">
      <c r="A256" s="198">
        <v>833</v>
      </c>
      <c r="B256" s="199" t="s">
        <v>385</v>
      </c>
      <c r="C256" s="197">
        <v>2</v>
      </c>
      <c r="D256" s="210">
        <v>4992.3997599999993</v>
      </c>
      <c r="E256" s="210">
        <v>5392.4398356843631</v>
      </c>
      <c r="F256" s="210">
        <v>5257.8606684142214</v>
      </c>
      <c r="G256" s="210">
        <v>2790.0151004276267</v>
      </c>
      <c r="H256" s="210">
        <v>2725.1171744142607</v>
      </c>
      <c r="I256" s="210">
        <v>244.28388000000001</v>
      </c>
      <c r="J256" s="210">
        <v>230.46508699999998</v>
      </c>
      <c r="K256" s="210">
        <v>249.639658</v>
      </c>
      <c r="L256" s="210">
        <v>192.68303699999998</v>
      </c>
      <c r="M256" s="210">
        <v>195.10672299999999</v>
      </c>
      <c r="N256" s="210">
        <v>1222.3583000000001</v>
      </c>
      <c r="O256" s="210">
        <v>1236.8092057080003</v>
      </c>
      <c r="P256" s="210">
        <v>1236.8092057080003</v>
      </c>
      <c r="Q256" s="210">
        <v>1236.8092057080003</v>
      </c>
      <c r="R256" s="210">
        <v>1236.8092057080003</v>
      </c>
      <c r="S256" s="210"/>
      <c r="T256" s="210"/>
      <c r="U256" s="210"/>
      <c r="V256" s="209"/>
      <c r="W256" s="209"/>
      <c r="X256" s="209"/>
      <c r="Y256" s="209"/>
    </row>
    <row r="257" spans="1:25" x14ac:dyDescent="0.2">
      <c r="A257" s="198">
        <v>834</v>
      </c>
      <c r="B257" s="234" t="s">
        <v>386</v>
      </c>
      <c r="C257" s="197">
        <v>5</v>
      </c>
      <c r="D257" s="210">
        <v>19173.075789999999</v>
      </c>
      <c r="E257" s="210">
        <v>18998.508108951624</v>
      </c>
      <c r="F257" s="210">
        <v>19777.34033589916</v>
      </c>
      <c r="G257" s="210">
        <v>9966.5139491923601</v>
      </c>
      <c r="H257" s="210">
        <v>9674.8141905682878</v>
      </c>
      <c r="I257" s="210">
        <v>1335.1655900000001</v>
      </c>
      <c r="J257" s="210">
        <v>1275.878974</v>
      </c>
      <c r="K257" s="210">
        <v>1381.5313780000001</v>
      </c>
      <c r="L257" s="210">
        <v>1066.3276169999999</v>
      </c>
      <c r="M257" s="210">
        <v>1079.7405430000001</v>
      </c>
      <c r="N257" s="210">
        <v>1552.3728100000001</v>
      </c>
      <c r="O257" s="210">
        <v>1573.6378797000002</v>
      </c>
      <c r="P257" s="210">
        <v>1573.6378797000002</v>
      </c>
      <c r="Q257" s="210">
        <v>1573.6378797000002</v>
      </c>
      <c r="R257" s="210">
        <v>1573.6378797000002</v>
      </c>
      <c r="S257" s="210"/>
      <c r="T257" s="210"/>
      <c r="U257" s="210"/>
      <c r="V257" s="209"/>
      <c r="W257" s="209"/>
      <c r="X257" s="209"/>
      <c r="Y257" s="209"/>
    </row>
    <row r="258" spans="1:25" x14ac:dyDescent="0.2">
      <c r="A258" s="198">
        <v>837</v>
      </c>
      <c r="B258" s="199" t="s">
        <v>387</v>
      </c>
      <c r="C258" s="197">
        <v>6</v>
      </c>
      <c r="D258" s="210">
        <v>776753.13278999995</v>
      </c>
      <c r="E258" s="210">
        <v>786170.39791332965</v>
      </c>
      <c r="F258" s="210">
        <v>823861.22399408033</v>
      </c>
      <c r="G258" s="210">
        <v>408664.88836794719</v>
      </c>
      <c r="H258" s="210">
        <v>394385.15240534459</v>
      </c>
      <c r="I258" s="210">
        <v>66501.72739</v>
      </c>
      <c r="J258" s="210">
        <v>71734.454253000004</v>
      </c>
      <c r="K258" s="210">
        <v>77728.317168000009</v>
      </c>
      <c r="L258" s="210">
        <v>59994.186551999999</v>
      </c>
      <c r="M258" s="210">
        <v>60748.830408000002</v>
      </c>
      <c r="N258" s="210">
        <v>75586.003069999992</v>
      </c>
      <c r="O258" s="210">
        <v>75358.178752127991</v>
      </c>
      <c r="P258" s="210">
        <v>75358.178752127991</v>
      </c>
      <c r="Q258" s="210">
        <v>75358.178752127991</v>
      </c>
      <c r="R258" s="210">
        <v>75358.178752127991</v>
      </c>
      <c r="S258" s="210"/>
      <c r="T258" s="210"/>
      <c r="U258" s="210"/>
      <c r="V258" s="209"/>
      <c r="W258" s="209"/>
      <c r="X258" s="209"/>
      <c r="Y258" s="209"/>
    </row>
    <row r="259" spans="1:25" x14ac:dyDescent="0.2">
      <c r="A259" s="198">
        <v>844</v>
      </c>
      <c r="B259" s="199" t="s">
        <v>388</v>
      </c>
      <c r="C259" s="197">
        <v>11</v>
      </c>
      <c r="D259" s="210">
        <v>3677.73857</v>
      </c>
      <c r="E259" s="210">
        <v>3630.5709550587849</v>
      </c>
      <c r="F259" s="210">
        <v>3792.4647345545832</v>
      </c>
      <c r="G259" s="210">
        <v>2006.8049017647429</v>
      </c>
      <c r="H259" s="210">
        <v>1964.2940138690358</v>
      </c>
      <c r="I259" s="210">
        <v>430.00779</v>
      </c>
      <c r="J259" s="210">
        <v>445.07587300000006</v>
      </c>
      <c r="K259" s="210">
        <v>482.56715400000002</v>
      </c>
      <c r="L259" s="210">
        <v>372.466881</v>
      </c>
      <c r="M259" s="210">
        <v>377.15199900000005</v>
      </c>
      <c r="N259" s="210">
        <v>418.66928000000001</v>
      </c>
      <c r="O259" s="210">
        <v>413.76598972800008</v>
      </c>
      <c r="P259" s="210">
        <v>413.76598972800008</v>
      </c>
      <c r="Q259" s="210">
        <v>413.76598972800008</v>
      </c>
      <c r="R259" s="210">
        <v>413.76598972800008</v>
      </c>
      <c r="S259" s="210"/>
      <c r="T259" s="210"/>
      <c r="U259" s="210"/>
      <c r="V259" s="209"/>
      <c r="W259" s="209"/>
      <c r="X259" s="209"/>
      <c r="Y259" s="209"/>
    </row>
    <row r="260" spans="1:25" x14ac:dyDescent="0.2">
      <c r="A260" s="198">
        <v>845</v>
      </c>
      <c r="B260" s="199" t="s">
        <v>389</v>
      </c>
      <c r="C260" s="197">
        <v>19</v>
      </c>
      <c r="D260" s="210">
        <v>8074.8993099999998</v>
      </c>
      <c r="E260" s="210">
        <v>8233.245310906299</v>
      </c>
      <c r="F260" s="210">
        <v>8360.4302118406758</v>
      </c>
      <c r="G260" s="210">
        <v>4033.0828796853839</v>
      </c>
      <c r="H260" s="210">
        <v>3914.5210961438488</v>
      </c>
      <c r="I260" s="210">
        <v>596.25615000000005</v>
      </c>
      <c r="J260" s="210">
        <v>481.74804899999998</v>
      </c>
      <c r="K260" s="210">
        <v>521.211724</v>
      </c>
      <c r="L260" s="210">
        <v>402.29448600000001</v>
      </c>
      <c r="M260" s="210">
        <v>407.35479400000003</v>
      </c>
      <c r="N260" s="210">
        <v>2680.47363</v>
      </c>
      <c r="O260" s="210">
        <v>2777.3986449239997</v>
      </c>
      <c r="P260" s="210">
        <v>2777.3986449239997</v>
      </c>
      <c r="Q260" s="210">
        <v>2777.3986449239997</v>
      </c>
      <c r="R260" s="210">
        <v>2777.3986449239997</v>
      </c>
      <c r="S260" s="210"/>
      <c r="T260" s="210"/>
      <c r="U260" s="210"/>
      <c r="V260" s="209"/>
      <c r="W260" s="209"/>
      <c r="X260" s="209"/>
      <c r="Y260" s="209"/>
    </row>
    <row r="261" spans="1:25" x14ac:dyDescent="0.2">
      <c r="A261" s="198">
        <v>846</v>
      </c>
      <c r="B261" s="199" t="s">
        <v>390</v>
      </c>
      <c r="C261" s="197">
        <v>14</v>
      </c>
      <c r="D261" s="210">
        <v>14971.803890000001</v>
      </c>
      <c r="E261" s="210">
        <v>14839.829754778977</v>
      </c>
      <c r="F261" s="210">
        <v>15398.674694998586</v>
      </c>
      <c r="G261" s="210">
        <v>8588.1178344779855</v>
      </c>
      <c r="H261" s="210">
        <v>8522.4027408209658</v>
      </c>
      <c r="I261" s="210">
        <v>842.49923000000001</v>
      </c>
      <c r="J261" s="210">
        <v>888.34828399999992</v>
      </c>
      <c r="K261" s="210">
        <v>961.41497800000002</v>
      </c>
      <c r="L261" s="210">
        <v>742.06301699999995</v>
      </c>
      <c r="M261" s="210">
        <v>751.39714299999991</v>
      </c>
      <c r="N261" s="210">
        <v>1017.7465699999999</v>
      </c>
      <c r="O261" s="210">
        <v>1106.465595996</v>
      </c>
      <c r="P261" s="210">
        <v>1106.465595996</v>
      </c>
      <c r="Q261" s="210">
        <v>1106.465595996</v>
      </c>
      <c r="R261" s="210">
        <v>1106.465595996</v>
      </c>
      <c r="S261" s="210"/>
      <c r="T261" s="210"/>
      <c r="U261" s="210"/>
      <c r="V261" s="209"/>
      <c r="W261" s="209"/>
      <c r="X261" s="209"/>
      <c r="Y261" s="209"/>
    </row>
    <row r="262" spans="1:25" x14ac:dyDescent="0.2">
      <c r="A262" s="198">
        <v>848</v>
      </c>
      <c r="B262" s="199" t="s">
        <v>391</v>
      </c>
      <c r="C262" s="197">
        <v>12</v>
      </c>
      <c r="D262" s="210">
        <v>11849.10066</v>
      </c>
      <c r="E262" s="210">
        <v>11894.628815160126</v>
      </c>
      <c r="F262" s="210">
        <v>12325.339828813811</v>
      </c>
      <c r="G262" s="210">
        <v>6699.2116625621411</v>
      </c>
      <c r="H262" s="210">
        <v>6629.4801311653036</v>
      </c>
      <c r="I262" s="210">
        <v>1041.2781400000001</v>
      </c>
      <c r="J262" s="210">
        <v>941.89146300000004</v>
      </c>
      <c r="K262" s="210">
        <v>1020.9504200000001</v>
      </c>
      <c r="L262" s="210">
        <v>788.01513000000011</v>
      </c>
      <c r="M262" s="210">
        <v>797.92726999999991</v>
      </c>
      <c r="N262" s="210">
        <v>958.08603000000005</v>
      </c>
      <c r="O262" s="210">
        <v>952.50691616400002</v>
      </c>
      <c r="P262" s="210">
        <v>952.50691616400002</v>
      </c>
      <c r="Q262" s="210">
        <v>952.50691616400002</v>
      </c>
      <c r="R262" s="210">
        <v>952.50691616400002</v>
      </c>
      <c r="S262" s="210"/>
      <c r="T262" s="210"/>
      <c r="U262" s="210"/>
      <c r="V262" s="209"/>
      <c r="W262" s="209"/>
      <c r="X262" s="209"/>
      <c r="Y262" s="209"/>
    </row>
    <row r="263" spans="1:25" x14ac:dyDescent="0.2">
      <c r="A263" s="198">
        <v>849</v>
      </c>
      <c r="B263" s="237" t="s">
        <v>392</v>
      </c>
      <c r="C263" s="197">
        <v>16</v>
      </c>
      <c r="D263" s="210">
        <v>7924.5123300000005</v>
      </c>
      <c r="E263" s="210">
        <v>8368.5780992629079</v>
      </c>
      <c r="F263" s="210">
        <v>8694.2911526032476</v>
      </c>
      <c r="G263" s="210">
        <v>4789.9015586618025</v>
      </c>
      <c r="H263" s="210">
        <v>4698.8637205375871</v>
      </c>
      <c r="I263" s="210">
        <v>675.57144999999991</v>
      </c>
      <c r="J263" s="210">
        <v>600.02608600000008</v>
      </c>
      <c r="K263" s="210">
        <v>649.60369600000013</v>
      </c>
      <c r="L263" s="210">
        <v>501.39314400000001</v>
      </c>
      <c r="M263" s="210">
        <v>507.69997600000005</v>
      </c>
      <c r="N263" s="210">
        <v>825.20877000000007</v>
      </c>
      <c r="O263" s="210">
        <v>805.81685491200005</v>
      </c>
      <c r="P263" s="210">
        <v>805.81685491200005</v>
      </c>
      <c r="Q263" s="210">
        <v>805.81685491200005</v>
      </c>
      <c r="R263" s="210">
        <v>805.81685491200005</v>
      </c>
      <c r="S263" s="210"/>
      <c r="T263" s="210"/>
      <c r="U263" s="210"/>
      <c r="V263" s="209"/>
      <c r="W263" s="209"/>
      <c r="X263" s="209"/>
      <c r="Y263" s="209"/>
    </row>
    <row r="264" spans="1:25" x14ac:dyDescent="0.2">
      <c r="A264" s="198">
        <v>850</v>
      </c>
      <c r="B264" s="199" t="s">
        <v>393</v>
      </c>
      <c r="C264" s="211">
        <v>13</v>
      </c>
      <c r="D264" s="210">
        <v>6793.4960899999996</v>
      </c>
      <c r="E264" s="210">
        <v>6989.4759960297024</v>
      </c>
      <c r="F264" s="210">
        <v>7315.1487822302906</v>
      </c>
      <c r="G264" s="210">
        <v>3798.8666651176031</v>
      </c>
      <c r="H264" s="210">
        <v>3737.3893850946024</v>
      </c>
      <c r="I264" s="210">
        <v>545.79823999999996</v>
      </c>
      <c r="J264" s="210">
        <v>590.36270200000013</v>
      </c>
      <c r="K264" s="210">
        <v>640.56894800000009</v>
      </c>
      <c r="L264" s="210">
        <v>494.41972200000004</v>
      </c>
      <c r="M264" s="210">
        <v>500.63883800000002</v>
      </c>
      <c r="N264" s="210">
        <v>569.37180000000001</v>
      </c>
      <c r="O264" s="210">
        <v>636.31624144800003</v>
      </c>
      <c r="P264" s="210">
        <v>636.31624144800003</v>
      </c>
      <c r="Q264" s="210">
        <v>636.31624144800003</v>
      </c>
      <c r="R264" s="210">
        <v>636.31624144800003</v>
      </c>
      <c r="S264" s="210"/>
      <c r="T264" s="210"/>
      <c r="U264" s="210"/>
      <c r="V264" s="209"/>
      <c r="W264" s="209"/>
      <c r="X264" s="209"/>
      <c r="Y264" s="209"/>
    </row>
    <row r="265" spans="1:25" x14ac:dyDescent="0.2">
      <c r="A265" s="198">
        <v>851</v>
      </c>
      <c r="B265" s="199" t="s">
        <v>394</v>
      </c>
      <c r="C265" s="197">
        <v>19</v>
      </c>
      <c r="D265" s="210">
        <v>73202.000329999995</v>
      </c>
      <c r="E265" s="210">
        <v>75284.130321017263</v>
      </c>
      <c r="F265" s="210">
        <v>78312.766676108324</v>
      </c>
      <c r="G265" s="210">
        <v>40782.920480676898</v>
      </c>
      <c r="H265" s="210">
        <v>39858.522509460556</v>
      </c>
      <c r="I265" s="210">
        <v>3221.1845199999998</v>
      </c>
      <c r="J265" s="210">
        <v>3164.6114680000001</v>
      </c>
      <c r="K265" s="210">
        <v>3428.8735019999999</v>
      </c>
      <c r="L265" s="210">
        <v>2646.5577029999999</v>
      </c>
      <c r="M265" s="210">
        <v>2679.8477369999996</v>
      </c>
      <c r="N265" s="210">
        <v>6779.6868899999999</v>
      </c>
      <c r="O265" s="210">
        <v>5866.5811686816014</v>
      </c>
      <c r="P265" s="210">
        <v>5866.5811686816014</v>
      </c>
      <c r="Q265" s="210">
        <v>5866.5811686816014</v>
      </c>
      <c r="R265" s="210">
        <v>5866.5811686816014</v>
      </c>
      <c r="S265" s="210"/>
      <c r="T265" s="210"/>
      <c r="U265" s="210"/>
      <c r="V265" s="209"/>
      <c r="W265" s="209"/>
      <c r="X265" s="209"/>
      <c r="Y265" s="209"/>
    </row>
    <row r="266" spans="1:25" x14ac:dyDescent="0.2">
      <c r="A266" s="198">
        <v>853</v>
      </c>
      <c r="B266" s="199" t="s">
        <v>395</v>
      </c>
      <c r="C266" s="211">
        <v>2</v>
      </c>
      <c r="D266" s="210">
        <v>601024.09238000005</v>
      </c>
      <c r="E266" s="210">
        <v>619505.25913032109</v>
      </c>
      <c r="F266" s="210">
        <v>644403.59717294085</v>
      </c>
      <c r="G266" s="210">
        <v>315792.88640973199</v>
      </c>
      <c r="H266" s="210">
        <v>304809.26947309851</v>
      </c>
      <c r="I266" s="210">
        <v>94338.56856</v>
      </c>
      <c r="J266" s="210">
        <v>101466.31374800002</v>
      </c>
      <c r="K266" s="210">
        <v>110059.12003799999</v>
      </c>
      <c r="L266" s="210">
        <v>84948.544107000009</v>
      </c>
      <c r="M266" s="210">
        <v>86017.079253000004</v>
      </c>
      <c r="N266" s="210">
        <v>53653.996169999999</v>
      </c>
      <c r="O266" s="210">
        <v>56267.201425187988</v>
      </c>
      <c r="P266" s="210">
        <v>56267.201425187988</v>
      </c>
      <c r="Q266" s="210">
        <v>56267.201425187988</v>
      </c>
      <c r="R266" s="210">
        <v>56267.201425187988</v>
      </c>
      <c r="S266" s="210"/>
      <c r="T266" s="210"/>
      <c r="U266" s="210"/>
      <c r="V266" s="209"/>
      <c r="W266" s="209"/>
      <c r="X266" s="209"/>
      <c r="Y266" s="209"/>
    </row>
    <row r="267" spans="1:25" x14ac:dyDescent="0.2">
      <c r="A267" s="198">
        <v>857</v>
      </c>
      <c r="B267" s="199" t="s">
        <v>396</v>
      </c>
      <c r="C267" s="197">
        <v>11</v>
      </c>
      <c r="D267" s="210">
        <v>6658.7449400000005</v>
      </c>
      <c r="E267" s="210">
        <v>6574.7187020493757</v>
      </c>
      <c r="F267" s="210">
        <v>6892.4066761172708</v>
      </c>
      <c r="G267" s="210">
        <v>3819.7556894540508</v>
      </c>
      <c r="H267" s="210">
        <v>3766.2138649882818</v>
      </c>
      <c r="I267" s="210">
        <v>777.70311000000004</v>
      </c>
      <c r="J267" s="210">
        <v>717.24932600000011</v>
      </c>
      <c r="K267" s="210">
        <v>776.80004400000007</v>
      </c>
      <c r="L267" s="210">
        <v>599.56896600000005</v>
      </c>
      <c r="M267" s="210">
        <v>607.11071400000003</v>
      </c>
      <c r="N267" s="210">
        <v>955.76556000000005</v>
      </c>
      <c r="O267" s="210">
        <v>939.73095683999998</v>
      </c>
      <c r="P267" s="210">
        <v>939.73095683999998</v>
      </c>
      <c r="Q267" s="210">
        <v>939.73095683999998</v>
      </c>
      <c r="R267" s="210">
        <v>939.73095683999998</v>
      </c>
      <c r="S267" s="210"/>
      <c r="T267" s="210"/>
      <c r="U267" s="210"/>
      <c r="V267" s="209"/>
      <c r="W267" s="209"/>
      <c r="X267" s="209"/>
      <c r="Y267" s="209"/>
    </row>
    <row r="268" spans="1:25" x14ac:dyDescent="0.2">
      <c r="A268" s="198">
        <v>858</v>
      </c>
      <c r="B268" s="199" t="s">
        <v>397</v>
      </c>
      <c r="C268" s="197">
        <v>1</v>
      </c>
      <c r="D268" s="210">
        <v>159903.23216999997</v>
      </c>
      <c r="E268" s="210">
        <v>163421.68058286252</v>
      </c>
      <c r="F268" s="210">
        <v>173028.74948157431</v>
      </c>
      <c r="G268" s="210">
        <v>83359.764220476747</v>
      </c>
      <c r="H268" s="210">
        <v>79286.420460693989</v>
      </c>
      <c r="I268" s="210">
        <v>7651.5793200000007</v>
      </c>
      <c r="J268" s="210">
        <v>8010.3255049999998</v>
      </c>
      <c r="K268" s="210">
        <v>8676.9181719999997</v>
      </c>
      <c r="L268" s="210">
        <v>6697.2329579999996</v>
      </c>
      <c r="M268" s="210">
        <v>6781.4748820000004</v>
      </c>
      <c r="N268" s="210">
        <v>9985.0631099999991</v>
      </c>
      <c r="O268" s="210">
        <v>10199.932437343199</v>
      </c>
      <c r="P268" s="210">
        <v>10199.932437343199</v>
      </c>
      <c r="Q268" s="210">
        <v>10199.932437343199</v>
      </c>
      <c r="R268" s="210">
        <v>10199.932437343199</v>
      </c>
      <c r="S268" s="210"/>
      <c r="T268" s="210"/>
      <c r="U268" s="210"/>
      <c r="V268" s="209"/>
      <c r="W268" s="209"/>
      <c r="X268" s="209"/>
      <c r="Y268" s="209"/>
    </row>
    <row r="269" spans="1:25" x14ac:dyDescent="0.2">
      <c r="A269" s="198">
        <v>859</v>
      </c>
      <c r="B269" s="199" t="s">
        <v>398</v>
      </c>
      <c r="C269" s="197">
        <v>17</v>
      </c>
      <c r="D269" s="210">
        <v>16777.451639999999</v>
      </c>
      <c r="E269" s="210">
        <v>17644.584628896027</v>
      </c>
      <c r="F269" s="210">
        <v>18583.359281788078</v>
      </c>
      <c r="G269" s="210">
        <v>9781.847314736242</v>
      </c>
      <c r="H269" s="210">
        <v>9570.8257010362831</v>
      </c>
      <c r="I269" s="210">
        <v>505.47896000000003</v>
      </c>
      <c r="J269" s="210">
        <v>407.24735000000004</v>
      </c>
      <c r="K269" s="210">
        <v>440.77016600000002</v>
      </c>
      <c r="L269" s="210">
        <v>340.20609899999999</v>
      </c>
      <c r="M269" s="210">
        <v>344.48542100000009</v>
      </c>
      <c r="N269" s="210">
        <v>884.69511999999997</v>
      </c>
      <c r="O269" s="210">
        <v>908.67582375360007</v>
      </c>
      <c r="P269" s="210">
        <v>908.67582375360007</v>
      </c>
      <c r="Q269" s="210">
        <v>908.67582375360007</v>
      </c>
      <c r="R269" s="210">
        <v>908.67582375360007</v>
      </c>
      <c r="S269" s="210"/>
      <c r="T269" s="210"/>
      <c r="U269" s="210"/>
      <c r="V269" s="209"/>
      <c r="W269" s="209"/>
      <c r="X269" s="209"/>
      <c r="Y269" s="209"/>
    </row>
    <row r="270" spans="1:25" x14ac:dyDescent="0.2">
      <c r="A270" s="198">
        <v>886</v>
      </c>
      <c r="B270" s="199" t="s">
        <v>399</v>
      </c>
      <c r="C270" s="197">
        <v>4</v>
      </c>
      <c r="D270" s="210">
        <v>44112.471840000006</v>
      </c>
      <c r="E270" s="210">
        <v>45274.026979431415</v>
      </c>
      <c r="F270" s="210">
        <v>46660.595120533828</v>
      </c>
      <c r="G270" s="210">
        <v>24055.36499197135</v>
      </c>
      <c r="H270" s="210">
        <v>23614.713527087388</v>
      </c>
      <c r="I270" s="210">
        <v>1822.50792</v>
      </c>
      <c r="J270" s="210">
        <v>2376.8663540000002</v>
      </c>
      <c r="K270" s="210">
        <v>2580.3345759999997</v>
      </c>
      <c r="L270" s="210">
        <v>1991.6174639999999</v>
      </c>
      <c r="M270" s="210">
        <v>2016.6692559999997</v>
      </c>
      <c r="N270" s="210">
        <v>2595.5690399999999</v>
      </c>
      <c r="O270" s="210">
        <v>2546.4145720079996</v>
      </c>
      <c r="P270" s="210">
        <v>2546.4145720079996</v>
      </c>
      <c r="Q270" s="210">
        <v>2546.4145720079996</v>
      </c>
      <c r="R270" s="210">
        <v>2546.4145720079996</v>
      </c>
      <c r="S270" s="210"/>
      <c r="T270" s="210"/>
      <c r="U270" s="210"/>
      <c r="V270" s="209"/>
      <c r="W270" s="209"/>
      <c r="X270" s="209"/>
      <c r="Y270" s="209"/>
    </row>
    <row r="271" spans="1:25" x14ac:dyDescent="0.2">
      <c r="A271" s="198">
        <v>887</v>
      </c>
      <c r="B271" s="199" t="s">
        <v>400</v>
      </c>
      <c r="C271" s="197">
        <v>6</v>
      </c>
      <c r="D271" s="210">
        <v>13132.130220000001</v>
      </c>
      <c r="E271" s="210">
        <v>13779.072617186146</v>
      </c>
      <c r="F271" s="210">
        <v>13923.96222666527</v>
      </c>
      <c r="G271" s="210">
        <v>7593.2253494132055</v>
      </c>
      <c r="H271" s="210">
        <v>7509.0929079925381</v>
      </c>
      <c r="I271" s="210">
        <v>923.41379000000006</v>
      </c>
      <c r="J271" s="210">
        <v>830.93348600000002</v>
      </c>
      <c r="K271" s="210">
        <v>894.89201600000001</v>
      </c>
      <c r="L271" s="210">
        <v>690.717624</v>
      </c>
      <c r="M271" s="210">
        <v>699.40589599999998</v>
      </c>
      <c r="N271" s="210">
        <v>1475.3633799999998</v>
      </c>
      <c r="O271" s="210">
        <v>1690.1646514439999</v>
      </c>
      <c r="P271" s="210">
        <v>1690.1646514439999</v>
      </c>
      <c r="Q271" s="210">
        <v>1690.1646514439999</v>
      </c>
      <c r="R271" s="210">
        <v>1690.1646514439999</v>
      </c>
      <c r="S271" s="210"/>
      <c r="T271" s="210"/>
      <c r="U271" s="210"/>
      <c r="V271" s="209"/>
      <c r="W271" s="209"/>
      <c r="X271" s="209"/>
      <c r="Y271" s="209"/>
    </row>
    <row r="272" spans="1:25" x14ac:dyDescent="0.2">
      <c r="A272" s="198">
        <v>889</v>
      </c>
      <c r="B272" s="199" t="s">
        <v>401</v>
      </c>
      <c r="C272" s="197">
        <v>17</v>
      </c>
      <c r="D272" s="210">
        <v>6762.6278700000003</v>
      </c>
      <c r="E272" s="210">
        <v>6689.7839035839525</v>
      </c>
      <c r="F272" s="210">
        <v>6983.1042605499269</v>
      </c>
      <c r="G272" s="210">
        <v>3606.2341297081666</v>
      </c>
      <c r="H272" s="210">
        <v>3517.1217238928693</v>
      </c>
      <c r="I272" s="210">
        <v>1011.2342</v>
      </c>
      <c r="J272" s="210">
        <v>858.62134199999991</v>
      </c>
      <c r="K272" s="210">
        <v>928.85255799999982</v>
      </c>
      <c r="L272" s="210">
        <v>716.92988700000001</v>
      </c>
      <c r="M272" s="210">
        <v>725.94787300000007</v>
      </c>
      <c r="N272" s="210">
        <v>2625.43588</v>
      </c>
      <c r="O272" s="210">
        <v>2647.2884592</v>
      </c>
      <c r="P272" s="210">
        <v>2647.2884592</v>
      </c>
      <c r="Q272" s="210">
        <v>2647.2884592</v>
      </c>
      <c r="R272" s="210">
        <v>2647.2884592</v>
      </c>
      <c r="S272" s="210"/>
      <c r="T272" s="210"/>
      <c r="U272" s="210"/>
      <c r="V272" s="209"/>
      <c r="W272" s="209"/>
      <c r="X272" s="209"/>
      <c r="Y272" s="209"/>
    </row>
    <row r="273" spans="1:25" x14ac:dyDescent="0.2">
      <c r="A273" s="198">
        <v>890</v>
      </c>
      <c r="B273" s="199" t="s">
        <v>402</v>
      </c>
      <c r="C273" s="197">
        <v>19</v>
      </c>
      <c r="D273" s="210">
        <v>3842.7647900000002</v>
      </c>
      <c r="E273" s="210">
        <v>3992.6802202819285</v>
      </c>
      <c r="F273" s="210">
        <v>4101.8041450246537</v>
      </c>
      <c r="G273" s="210">
        <v>2198.9321444110142</v>
      </c>
      <c r="H273" s="210">
        <v>2151.0738489622613</v>
      </c>
      <c r="I273" s="210">
        <v>159.77364</v>
      </c>
      <c r="J273" s="210">
        <v>151.03099799999998</v>
      </c>
      <c r="K273" s="210">
        <v>163.86764400000001</v>
      </c>
      <c r="L273" s="210">
        <v>126.48036600000002</v>
      </c>
      <c r="M273" s="210">
        <v>128.071314</v>
      </c>
      <c r="N273" s="210">
        <v>633.12625000000003</v>
      </c>
      <c r="O273" s="210">
        <v>631.31605774799993</v>
      </c>
      <c r="P273" s="210">
        <v>631.31605774799993</v>
      </c>
      <c r="Q273" s="210">
        <v>631.31605774799993</v>
      </c>
      <c r="R273" s="210">
        <v>631.31605774799993</v>
      </c>
      <c r="S273" s="210"/>
      <c r="T273" s="210"/>
      <c r="U273" s="210"/>
      <c r="V273" s="209"/>
      <c r="W273" s="209"/>
      <c r="X273" s="209"/>
      <c r="Y273" s="209"/>
    </row>
    <row r="274" spans="1:25" x14ac:dyDescent="0.2">
      <c r="A274" s="198">
        <v>892</v>
      </c>
      <c r="B274" s="199" t="s">
        <v>403</v>
      </c>
      <c r="C274" s="197">
        <v>13</v>
      </c>
      <c r="D274" s="210">
        <v>9653.0803500000002</v>
      </c>
      <c r="E274" s="210">
        <v>9869.9975404411016</v>
      </c>
      <c r="F274" s="210">
        <v>10211.396744469272</v>
      </c>
      <c r="G274" s="210">
        <v>5260.9568161901843</v>
      </c>
      <c r="H274" s="210">
        <v>5150.9641956961013</v>
      </c>
      <c r="I274" s="210">
        <v>600.50890000000004</v>
      </c>
      <c r="J274" s="210">
        <v>536.19694199999992</v>
      </c>
      <c r="K274" s="210">
        <v>580.83821799999987</v>
      </c>
      <c r="L274" s="210">
        <v>448.31687699999998</v>
      </c>
      <c r="M274" s="210">
        <v>453.95608299999998</v>
      </c>
      <c r="N274" s="210">
        <v>594.93267000000003</v>
      </c>
      <c r="O274" s="210">
        <v>630.16261924560001</v>
      </c>
      <c r="P274" s="210">
        <v>630.16261924560001</v>
      </c>
      <c r="Q274" s="210">
        <v>630.16261924560001</v>
      </c>
      <c r="R274" s="210">
        <v>630.16261924560001</v>
      </c>
      <c r="S274" s="210"/>
      <c r="T274" s="210"/>
      <c r="U274" s="210"/>
      <c r="V274" s="209"/>
      <c r="W274" s="209"/>
      <c r="X274" s="209"/>
      <c r="Y274" s="209"/>
    </row>
    <row r="275" spans="1:25" x14ac:dyDescent="0.2">
      <c r="A275" s="198">
        <v>893</v>
      </c>
      <c r="B275" s="199" t="s">
        <v>404</v>
      </c>
      <c r="C275" s="197">
        <v>15</v>
      </c>
      <c r="D275" s="210">
        <v>21336.153469999997</v>
      </c>
      <c r="E275" s="210">
        <v>22296.387492123748</v>
      </c>
      <c r="F275" s="210">
        <v>23478.008807554259</v>
      </c>
      <c r="G275" s="210">
        <v>12669.335417966884</v>
      </c>
      <c r="H275" s="210">
        <v>12405.366725340955</v>
      </c>
      <c r="I275" s="210">
        <v>3444.4699599999999</v>
      </c>
      <c r="J275" s="210">
        <v>2754.1413589999997</v>
      </c>
      <c r="K275" s="210">
        <v>2990.4090939999996</v>
      </c>
      <c r="L275" s="210">
        <v>2308.1312910000001</v>
      </c>
      <c r="M275" s="210">
        <v>2337.164389</v>
      </c>
      <c r="N275" s="210">
        <v>2187.6843199999998</v>
      </c>
      <c r="O275" s="210">
        <v>2395.6929609119998</v>
      </c>
      <c r="P275" s="210">
        <v>2395.6929609119998</v>
      </c>
      <c r="Q275" s="210">
        <v>2395.6929609119998</v>
      </c>
      <c r="R275" s="210">
        <v>2395.6929609119998</v>
      </c>
      <c r="S275" s="210"/>
      <c r="T275" s="210"/>
      <c r="U275" s="210"/>
      <c r="V275" s="209"/>
      <c r="W275" s="209"/>
      <c r="X275" s="209"/>
      <c r="Y275" s="209"/>
    </row>
    <row r="276" spans="1:25" x14ac:dyDescent="0.2">
      <c r="A276" s="198">
        <v>895</v>
      </c>
      <c r="B276" s="199" t="s">
        <v>405</v>
      </c>
      <c r="C276" s="197">
        <v>2</v>
      </c>
      <c r="D276" s="210">
        <v>52759.609819999998</v>
      </c>
      <c r="E276" s="210">
        <v>57229.528671955668</v>
      </c>
      <c r="F276" s="210">
        <v>57353.993879481699</v>
      </c>
      <c r="G276" s="210">
        <v>29964.578570238358</v>
      </c>
      <c r="H276" s="210">
        <v>29212.499613855151</v>
      </c>
      <c r="I276" s="210">
        <v>4223.2312899999997</v>
      </c>
      <c r="J276" s="210">
        <v>3799.0610199999996</v>
      </c>
      <c r="K276" s="210">
        <v>4111.7783340000005</v>
      </c>
      <c r="L276" s="210">
        <v>3173.6541510000002</v>
      </c>
      <c r="M276" s="210">
        <v>3213.574329</v>
      </c>
      <c r="N276" s="210">
        <v>4828.2483700000003</v>
      </c>
      <c r="O276" s="210">
        <v>4982.7441293543998</v>
      </c>
      <c r="P276" s="210">
        <v>4982.7441293543998</v>
      </c>
      <c r="Q276" s="210">
        <v>4982.7441293543998</v>
      </c>
      <c r="R276" s="210">
        <v>4982.7441293543998</v>
      </c>
      <c r="S276" s="210"/>
      <c r="T276" s="210"/>
      <c r="U276" s="210"/>
      <c r="V276" s="209"/>
      <c r="W276" s="209"/>
      <c r="X276" s="209"/>
      <c r="Y276" s="209"/>
    </row>
    <row r="277" spans="1:25" x14ac:dyDescent="0.2">
      <c r="A277" s="198">
        <v>785</v>
      </c>
      <c r="B277" s="199" t="s">
        <v>406</v>
      </c>
      <c r="C277" s="197">
        <v>18</v>
      </c>
      <c r="D277" s="210">
        <v>7949.7069099999999</v>
      </c>
      <c r="E277" s="210">
        <v>7812.3190243944218</v>
      </c>
      <c r="F277" s="210">
        <v>8238.778012138906</v>
      </c>
      <c r="G277" s="210">
        <v>4429.4795368666391</v>
      </c>
      <c r="H277" s="210">
        <v>4339.5960512249185</v>
      </c>
      <c r="I277" s="210">
        <v>693.1730500000001</v>
      </c>
      <c r="J277" s="210">
        <v>631.77176099999997</v>
      </c>
      <c r="K277" s="210">
        <v>683.53972399999998</v>
      </c>
      <c r="L277" s="210">
        <v>527.58648599999992</v>
      </c>
      <c r="M277" s="210">
        <v>534.22279400000002</v>
      </c>
      <c r="N277" s="210">
        <v>2688.66005</v>
      </c>
      <c r="O277" s="210">
        <v>2662.3494039887996</v>
      </c>
      <c r="P277" s="210">
        <v>2662.3494039887996</v>
      </c>
      <c r="Q277" s="210">
        <v>2662.3494039887996</v>
      </c>
      <c r="R277" s="210">
        <v>2662.3494039887996</v>
      </c>
      <c r="S277" s="210"/>
      <c r="T277" s="210"/>
      <c r="U277" s="210"/>
      <c r="V277" s="209"/>
      <c r="W277" s="209"/>
      <c r="X277" s="209"/>
      <c r="Y277" s="209"/>
    </row>
    <row r="278" spans="1:25" x14ac:dyDescent="0.2">
      <c r="A278" s="198">
        <v>905</v>
      </c>
      <c r="B278" s="199" t="s">
        <v>407</v>
      </c>
      <c r="C278" s="197">
        <v>15</v>
      </c>
      <c r="D278" s="210">
        <v>227400.30024000001</v>
      </c>
      <c r="E278" s="210">
        <v>230260.29294384483</v>
      </c>
      <c r="F278" s="210">
        <v>243021.78191286986</v>
      </c>
      <c r="G278" s="210">
        <v>121710.53998060682</v>
      </c>
      <c r="H278" s="210">
        <v>117583.79446513287</v>
      </c>
      <c r="I278" s="210">
        <v>32031.179059999999</v>
      </c>
      <c r="J278" s="210">
        <v>24729.683449</v>
      </c>
      <c r="K278" s="210">
        <v>26639.616768</v>
      </c>
      <c r="L278" s="210">
        <v>20561.645951999995</v>
      </c>
      <c r="M278" s="210">
        <v>20820.283007999995</v>
      </c>
      <c r="N278" s="210">
        <v>20281.35556</v>
      </c>
      <c r="O278" s="210">
        <v>20844.378400871999</v>
      </c>
      <c r="P278" s="210">
        <v>20844.378400871999</v>
      </c>
      <c r="Q278" s="210">
        <v>20844.378400871999</v>
      </c>
      <c r="R278" s="210">
        <v>20844.378400871999</v>
      </c>
      <c r="S278" s="210"/>
      <c r="T278" s="210"/>
      <c r="U278" s="210"/>
      <c r="V278" s="209"/>
      <c r="W278" s="209"/>
      <c r="X278" s="209"/>
      <c r="Y278" s="209"/>
    </row>
    <row r="279" spans="1:25" x14ac:dyDescent="0.2">
      <c r="A279" s="198">
        <v>908</v>
      </c>
      <c r="B279" s="199" t="s">
        <v>408</v>
      </c>
      <c r="C279" s="197">
        <v>6</v>
      </c>
      <c r="D279" s="210">
        <v>70685.095060000007</v>
      </c>
      <c r="E279" s="210">
        <v>70105.772543964747</v>
      </c>
      <c r="F279" s="210">
        <v>74328.425193071642</v>
      </c>
      <c r="G279" s="210">
        <v>35692.265717570088</v>
      </c>
      <c r="H279" s="210">
        <v>34686.470240738017</v>
      </c>
      <c r="I279" s="210">
        <v>4606.0847699999995</v>
      </c>
      <c r="J279" s="210">
        <v>4477.7631539999993</v>
      </c>
      <c r="K279" s="210">
        <v>4855.9764059999989</v>
      </c>
      <c r="L279" s="210">
        <v>3748.0594589999996</v>
      </c>
      <c r="M279" s="210">
        <v>3795.2048609999997</v>
      </c>
      <c r="N279" s="210">
        <v>4794.13267</v>
      </c>
      <c r="O279" s="210">
        <v>4910.6427932039996</v>
      </c>
      <c r="P279" s="210">
        <v>4910.6427932039996</v>
      </c>
      <c r="Q279" s="210">
        <v>4910.6427932039996</v>
      </c>
      <c r="R279" s="210">
        <v>4910.6427932039996</v>
      </c>
      <c r="S279" s="210"/>
      <c r="T279" s="210"/>
      <c r="U279" s="210"/>
      <c r="V279" s="209"/>
      <c r="W279" s="209"/>
      <c r="X279" s="209"/>
      <c r="Y279" s="209"/>
    </row>
    <row r="280" spans="1:25" x14ac:dyDescent="0.2">
      <c r="A280" s="198">
        <v>911</v>
      </c>
      <c r="B280" s="199" t="s">
        <v>409</v>
      </c>
      <c r="C280" s="197">
        <v>12</v>
      </c>
      <c r="D280" s="210">
        <v>5275.9232400000001</v>
      </c>
      <c r="E280" s="210">
        <v>5378.6609056022235</v>
      </c>
      <c r="F280" s="210">
        <v>5440.5826459444534</v>
      </c>
      <c r="G280" s="210">
        <v>2870.2967715531295</v>
      </c>
      <c r="H280" s="210">
        <v>2827.6600932086717</v>
      </c>
      <c r="I280" s="210">
        <v>1051.4216299999998</v>
      </c>
      <c r="J280" s="210">
        <v>833.0141960000002</v>
      </c>
      <c r="K280" s="210">
        <v>901.33775600000001</v>
      </c>
      <c r="L280" s="210">
        <v>695.69273399999997</v>
      </c>
      <c r="M280" s="210">
        <v>704.4435860000001</v>
      </c>
      <c r="N280" s="210">
        <v>390.39532000000003</v>
      </c>
      <c r="O280" s="210">
        <v>385.90458076800002</v>
      </c>
      <c r="P280" s="210">
        <v>385.90458076800002</v>
      </c>
      <c r="Q280" s="210">
        <v>385.90458076800002</v>
      </c>
      <c r="R280" s="210">
        <v>385.90458076800002</v>
      </c>
      <c r="S280" s="210"/>
      <c r="T280" s="210"/>
      <c r="U280" s="210"/>
      <c r="V280" s="209"/>
      <c r="W280" s="209"/>
      <c r="X280" s="209"/>
      <c r="Y280" s="209"/>
    </row>
    <row r="281" spans="1:25" x14ac:dyDescent="0.2">
      <c r="A281" s="198">
        <v>92</v>
      </c>
      <c r="B281" s="199" t="s">
        <v>410</v>
      </c>
      <c r="C281" s="197">
        <v>1</v>
      </c>
      <c r="D281" s="210">
        <v>818919.86572</v>
      </c>
      <c r="E281" s="210">
        <v>845187.10526651039</v>
      </c>
      <c r="F281" s="210">
        <v>888328.99681123928</v>
      </c>
      <c r="G281" s="210">
        <v>416844.47763084684</v>
      </c>
      <c r="H281" s="210">
        <v>397101.345486195</v>
      </c>
      <c r="I281" s="210">
        <v>80698.97047</v>
      </c>
      <c r="J281" s="210">
        <v>77953.48418900001</v>
      </c>
      <c r="K281" s="210">
        <v>84522.689302000013</v>
      </c>
      <c r="L281" s="210">
        <v>65238.386403000004</v>
      </c>
      <c r="M281" s="210">
        <v>66058.995037000001</v>
      </c>
      <c r="N281" s="210">
        <v>77328.598339999997</v>
      </c>
      <c r="O281" s="210">
        <v>80223.175587331207</v>
      </c>
      <c r="P281" s="210">
        <v>80223.175587331207</v>
      </c>
      <c r="Q281" s="210">
        <v>80223.175587331207</v>
      </c>
      <c r="R281" s="210">
        <v>80223.175587331207</v>
      </c>
      <c r="S281" s="210"/>
      <c r="T281" s="210"/>
      <c r="U281" s="210"/>
      <c r="V281" s="209"/>
      <c r="W281" s="209"/>
      <c r="X281" s="209"/>
      <c r="Y281" s="209"/>
    </row>
    <row r="282" spans="1:25" x14ac:dyDescent="0.2">
      <c r="A282" s="198">
        <v>915</v>
      </c>
      <c r="B282" s="199" t="s">
        <v>411</v>
      </c>
      <c r="C282" s="197">
        <v>11</v>
      </c>
      <c r="D282" s="210">
        <v>69889.285250000001</v>
      </c>
      <c r="E282" s="210">
        <v>70496.861139505127</v>
      </c>
      <c r="F282" s="210">
        <v>73191.738556440963</v>
      </c>
      <c r="G282" s="210">
        <v>37369.150302487302</v>
      </c>
      <c r="H282" s="210">
        <v>36772.21169855765</v>
      </c>
      <c r="I282" s="210">
        <v>4307.73837</v>
      </c>
      <c r="J282" s="210">
        <v>4035.5186250000002</v>
      </c>
      <c r="K282" s="210">
        <v>4372.04306</v>
      </c>
      <c r="L282" s="210">
        <v>3374.5380900000005</v>
      </c>
      <c r="M282" s="210">
        <v>3416.9851100000001</v>
      </c>
      <c r="N282" s="210">
        <v>5754.7290300000004</v>
      </c>
      <c r="O282" s="210">
        <v>5740.2112885799997</v>
      </c>
      <c r="P282" s="210">
        <v>5740.2112885799997</v>
      </c>
      <c r="Q282" s="210">
        <v>5740.2112885799997</v>
      </c>
      <c r="R282" s="210">
        <v>5740.2112885799997</v>
      </c>
      <c r="S282" s="210"/>
      <c r="T282" s="210"/>
      <c r="U282" s="210"/>
      <c r="V282" s="209"/>
      <c r="W282" s="209"/>
      <c r="X282" s="209"/>
      <c r="Y282" s="209"/>
    </row>
    <row r="283" spans="1:25" x14ac:dyDescent="0.2">
      <c r="A283" s="198">
        <v>918</v>
      </c>
      <c r="B283" s="199" t="s">
        <v>412</v>
      </c>
      <c r="C283" s="197">
        <v>2</v>
      </c>
      <c r="D283" s="210">
        <v>7006.30681</v>
      </c>
      <c r="E283" s="210">
        <v>7354.1034976029587</v>
      </c>
      <c r="F283" s="210">
        <v>7573.0392327740774</v>
      </c>
      <c r="G283" s="210">
        <v>4340.5931729629565</v>
      </c>
      <c r="H283" s="210">
        <v>4246.2404643601267</v>
      </c>
      <c r="I283" s="210">
        <v>386.21983</v>
      </c>
      <c r="J283" s="210">
        <v>467.50005199999998</v>
      </c>
      <c r="K283" s="210">
        <v>507.43567999999993</v>
      </c>
      <c r="L283" s="210">
        <v>391.66151999999994</v>
      </c>
      <c r="M283" s="210">
        <v>396.58807999999999</v>
      </c>
      <c r="N283" s="210">
        <v>735.38711000000001</v>
      </c>
      <c r="O283" s="210">
        <v>760.97235182400004</v>
      </c>
      <c r="P283" s="210">
        <v>760.97235182400004</v>
      </c>
      <c r="Q283" s="210">
        <v>760.97235182400004</v>
      </c>
      <c r="R283" s="210">
        <v>760.97235182400004</v>
      </c>
      <c r="S283" s="210"/>
      <c r="T283" s="210"/>
      <c r="U283" s="210"/>
      <c r="V283" s="209"/>
      <c r="W283" s="209"/>
      <c r="X283" s="209"/>
      <c r="Y283" s="209"/>
    </row>
    <row r="284" spans="1:25" x14ac:dyDescent="0.2">
      <c r="A284" s="198">
        <v>921</v>
      </c>
      <c r="B284" s="199" t="s">
        <v>413</v>
      </c>
      <c r="C284" s="197">
        <v>11</v>
      </c>
      <c r="D284" s="210">
        <v>4820.8880199999994</v>
      </c>
      <c r="E284" s="210">
        <v>5025.7598055496273</v>
      </c>
      <c r="F284" s="210">
        <v>5169.9729669589196</v>
      </c>
      <c r="G284" s="210">
        <v>2780.8333856025206</v>
      </c>
      <c r="H284" s="210">
        <v>2757.9112870690597</v>
      </c>
      <c r="I284" s="210">
        <v>600.36065000000008</v>
      </c>
      <c r="J284" s="210">
        <v>569.17418299999997</v>
      </c>
      <c r="K284" s="210">
        <v>617.13912600000003</v>
      </c>
      <c r="L284" s="210">
        <v>476.33553899999998</v>
      </c>
      <c r="M284" s="210">
        <v>482.32718100000005</v>
      </c>
      <c r="N284" s="210">
        <v>521.23884999999996</v>
      </c>
      <c r="O284" s="210">
        <v>544.63792625999997</v>
      </c>
      <c r="P284" s="210">
        <v>544.63792625999997</v>
      </c>
      <c r="Q284" s="210">
        <v>544.63792625999997</v>
      </c>
      <c r="R284" s="210">
        <v>544.63792625999997</v>
      </c>
      <c r="S284" s="210"/>
      <c r="T284" s="210"/>
      <c r="U284" s="210"/>
      <c r="V284" s="209"/>
      <c r="W284" s="209"/>
      <c r="X284" s="209"/>
      <c r="Y284" s="209"/>
    </row>
    <row r="285" spans="1:25" x14ac:dyDescent="0.2">
      <c r="A285" s="198">
        <v>922</v>
      </c>
      <c r="B285" s="199" t="s">
        <v>414</v>
      </c>
      <c r="C285" s="197">
        <v>6</v>
      </c>
      <c r="D285" s="210">
        <v>15003.13111</v>
      </c>
      <c r="E285" s="210">
        <v>15048.018649782987</v>
      </c>
      <c r="F285" s="210">
        <v>15648.333056203996</v>
      </c>
      <c r="G285" s="210">
        <v>8535.3978430833231</v>
      </c>
      <c r="H285" s="210">
        <v>8299.9712954354854</v>
      </c>
      <c r="I285" s="210">
        <v>507.49083000000002</v>
      </c>
      <c r="J285" s="210">
        <v>521.18271900000002</v>
      </c>
      <c r="K285" s="210">
        <v>565.43250799999998</v>
      </c>
      <c r="L285" s="210">
        <v>436.42606199999994</v>
      </c>
      <c r="M285" s="210">
        <v>441.91569799999996</v>
      </c>
      <c r="N285" s="210">
        <v>1251.15472</v>
      </c>
      <c r="O285" s="210">
        <v>1228.1764964640001</v>
      </c>
      <c r="P285" s="210">
        <v>1228.1764964640001</v>
      </c>
      <c r="Q285" s="210">
        <v>1228.1764964640001</v>
      </c>
      <c r="R285" s="210">
        <v>1228.1764964640001</v>
      </c>
      <c r="S285" s="210"/>
      <c r="T285" s="210"/>
      <c r="U285" s="210"/>
      <c r="V285" s="209"/>
      <c r="W285" s="209"/>
      <c r="X285" s="209"/>
      <c r="Y285" s="209"/>
    </row>
    <row r="286" spans="1:25" x14ac:dyDescent="0.2">
      <c r="A286" s="198">
        <v>924</v>
      </c>
      <c r="B286" s="199" t="s">
        <v>415</v>
      </c>
      <c r="C286" s="197">
        <v>16</v>
      </c>
      <c r="D286" s="210">
        <v>9036.7879300000004</v>
      </c>
      <c r="E286" s="210">
        <v>9135.0814437622375</v>
      </c>
      <c r="F286" s="210">
        <v>9447.1221164578692</v>
      </c>
      <c r="G286" s="210">
        <v>5242.5043264599608</v>
      </c>
      <c r="H286" s="210">
        <v>5175.4833834806177</v>
      </c>
      <c r="I286" s="210">
        <v>808.64844999999991</v>
      </c>
      <c r="J286" s="210">
        <v>620.16560400000003</v>
      </c>
      <c r="K286" s="210">
        <v>672.51831200000004</v>
      </c>
      <c r="L286" s="210">
        <v>519.07966800000008</v>
      </c>
      <c r="M286" s="210">
        <v>525.60897200000011</v>
      </c>
      <c r="N286" s="210">
        <v>672.13589000000002</v>
      </c>
      <c r="O286" s="210">
        <v>693.40117711199991</v>
      </c>
      <c r="P286" s="210">
        <v>693.40117711199991</v>
      </c>
      <c r="Q286" s="210">
        <v>693.40117711199991</v>
      </c>
      <c r="R286" s="210">
        <v>693.40117711199991</v>
      </c>
      <c r="S286" s="210"/>
      <c r="T286" s="210"/>
      <c r="U286" s="210"/>
      <c r="V286" s="209"/>
      <c r="W286" s="209"/>
      <c r="X286" s="209"/>
      <c r="Y286" s="209"/>
    </row>
    <row r="287" spans="1:25" x14ac:dyDescent="0.2">
      <c r="A287" s="198">
        <v>925</v>
      </c>
      <c r="B287" s="199" t="s">
        <v>416</v>
      </c>
      <c r="C287" s="197">
        <v>11</v>
      </c>
      <c r="D287" s="210">
        <v>9562.7225199999993</v>
      </c>
      <c r="E287" s="210">
        <v>9503.1505710109814</v>
      </c>
      <c r="F287" s="210">
        <v>9905.0042445761319</v>
      </c>
      <c r="G287" s="210">
        <v>5250.0598963693938</v>
      </c>
      <c r="H287" s="210">
        <v>5151.2893832693026</v>
      </c>
      <c r="I287" s="210">
        <v>3015.8412400000002</v>
      </c>
      <c r="J287" s="210">
        <v>3268.4013209999998</v>
      </c>
      <c r="K287" s="210">
        <v>3552.5622880000001</v>
      </c>
      <c r="L287" s="210">
        <v>2742.0262319999997</v>
      </c>
      <c r="M287" s="210">
        <v>2776.517128</v>
      </c>
      <c r="N287" s="210">
        <v>814.58531999999991</v>
      </c>
      <c r="O287" s="210">
        <v>880.05092830800015</v>
      </c>
      <c r="P287" s="210">
        <v>880.05092830800015</v>
      </c>
      <c r="Q287" s="210">
        <v>880.05092830800015</v>
      </c>
      <c r="R287" s="210">
        <v>880.05092830800015</v>
      </c>
      <c r="S287" s="210"/>
      <c r="T287" s="210"/>
      <c r="U287" s="210"/>
      <c r="V287" s="209"/>
      <c r="W287" s="209"/>
      <c r="X287" s="209"/>
      <c r="Y287" s="209"/>
    </row>
    <row r="288" spans="1:25" x14ac:dyDescent="0.2">
      <c r="A288" s="198">
        <v>927</v>
      </c>
      <c r="B288" s="199" t="s">
        <v>417</v>
      </c>
      <c r="C288" s="197">
        <v>1</v>
      </c>
      <c r="D288" s="210">
        <v>114643.58417</v>
      </c>
      <c r="E288" s="210">
        <v>116674.85024337958</v>
      </c>
      <c r="F288" s="210">
        <v>122607.53259533989</v>
      </c>
      <c r="G288" s="210">
        <v>62466.632962192933</v>
      </c>
      <c r="H288" s="210">
        <v>60370.023415886542</v>
      </c>
      <c r="I288" s="210">
        <v>3710.3828900000003</v>
      </c>
      <c r="J288" s="210">
        <v>3700.2440590000001</v>
      </c>
      <c r="K288" s="210">
        <v>4001.3948820000001</v>
      </c>
      <c r="L288" s="210">
        <v>3088.455273</v>
      </c>
      <c r="M288" s="210">
        <v>3127.3037669999994</v>
      </c>
      <c r="N288" s="210">
        <v>7451.69427</v>
      </c>
      <c r="O288" s="210">
        <v>7134.938557896</v>
      </c>
      <c r="P288" s="210">
        <v>7134.938557896</v>
      </c>
      <c r="Q288" s="210">
        <v>7134.938557896</v>
      </c>
      <c r="R288" s="210">
        <v>7134.938557896</v>
      </c>
      <c r="S288" s="210"/>
      <c r="T288" s="210"/>
      <c r="U288" s="210"/>
      <c r="V288" s="209"/>
      <c r="W288" s="209"/>
      <c r="X288" s="209"/>
      <c r="Y288" s="209"/>
    </row>
    <row r="289" spans="1:25" x14ac:dyDescent="0.2">
      <c r="A289" s="198">
        <v>931</v>
      </c>
      <c r="B289" s="199" t="s">
        <v>418</v>
      </c>
      <c r="C289" s="197">
        <v>13</v>
      </c>
      <c r="D289" s="210">
        <v>17401.740679999999</v>
      </c>
      <c r="E289" s="210">
        <v>16643.544942513003</v>
      </c>
      <c r="F289" s="210">
        <v>17689.115943942037</v>
      </c>
      <c r="G289" s="210">
        <v>9235.2187417424866</v>
      </c>
      <c r="H289" s="210">
        <v>9076.4454396240162</v>
      </c>
      <c r="I289" s="210">
        <v>2334.1047699999999</v>
      </c>
      <c r="J289" s="210">
        <v>2289.7640409999999</v>
      </c>
      <c r="K289" s="210">
        <v>2481.2646440000003</v>
      </c>
      <c r="L289" s="210">
        <v>1915.1508660000002</v>
      </c>
      <c r="M289" s="210">
        <v>1939.240814</v>
      </c>
      <c r="N289" s="210">
        <v>1898.18623</v>
      </c>
      <c r="O289" s="210">
        <v>1985.1330348672002</v>
      </c>
      <c r="P289" s="210">
        <v>1985.1330348672002</v>
      </c>
      <c r="Q289" s="210">
        <v>1985.1330348672002</v>
      </c>
      <c r="R289" s="210">
        <v>1985.1330348672002</v>
      </c>
      <c r="S289" s="210"/>
      <c r="T289" s="210"/>
      <c r="U289" s="210"/>
      <c r="V289" s="209"/>
      <c r="W289" s="209"/>
      <c r="X289" s="209"/>
      <c r="Y289" s="209"/>
    </row>
    <row r="290" spans="1:25" x14ac:dyDescent="0.2">
      <c r="A290" s="198">
        <v>934</v>
      </c>
      <c r="B290" s="199" t="s">
        <v>419</v>
      </c>
      <c r="C290" s="197">
        <v>14</v>
      </c>
      <c r="D290" s="210">
        <v>9088.370570000001</v>
      </c>
      <c r="E290" s="210">
        <v>9001.0531784776831</v>
      </c>
      <c r="F290" s="210">
        <v>9425.7622625867352</v>
      </c>
      <c r="G290" s="210">
        <v>5203.6529034742161</v>
      </c>
      <c r="H290" s="210">
        <v>5134.6135200789395</v>
      </c>
      <c r="I290" s="210">
        <v>648.54343999999992</v>
      </c>
      <c r="J290" s="210">
        <v>606.89765799999998</v>
      </c>
      <c r="K290" s="210">
        <v>652.91184999999996</v>
      </c>
      <c r="L290" s="210">
        <v>503.94652500000001</v>
      </c>
      <c r="M290" s="210">
        <v>510.28547499999996</v>
      </c>
      <c r="N290" s="210">
        <v>905.38962000000004</v>
      </c>
      <c r="O290" s="210">
        <v>798.46478230800005</v>
      </c>
      <c r="P290" s="210">
        <v>798.46478230800005</v>
      </c>
      <c r="Q290" s="210">
        <v>798.46478230800005</v>
      </c>
      <c r="R290" s="210">
        <v>798.46478230800005</v>
      </c>
      <c r="S290" s="210"/>
      <c r="T290" s="210"/>
      <c r="U290" s="210"/>
      <c r="V290" s="209"/>
      <c r="W290" s="209"/>
      <c r="X290" s="209"/>
      <c r="Y290" s="209"/>
    </row>
    <row r="291" spans="1:25" x14ac:dyDescent="0.2">
      <c r="A291" s="198">
        <v>935</v>
      </c>
      <c r="B291" s="199" t="s">
        <v>420</v>
      </c>
      <c r="C291" s="197">
        <v>8</v>
      </c>
      <c r="D291" s="210">
        <v>8399.9141899999995</v>
      </c>
      <c r="E291" s="210">
        <v>8248.7848750079993</v>
      </c>
      <c r="F291" s="210">
        <v>8709.472028168746</v>
      </c>
      <c r="G291" s="210">
        <v>4304.9020374010815</v>
      </c>
      <c r="H291" s="210">
        <v>4205.3201258350309</v>
      </c>
      <c r="I291" s="210">
        <v>1172.43724</v>
      </c>
      <c r="J291" s="210">
        <v>999.75285400000007</v>
      </c>
      <c r="K291" s="210">
        <v>1083.503968</v>
      </c>
      <c r="L291" s="210">
        <v>836.29675199999997</v>
      </c>
      <c r="M291" s="210">
        <v>846.81620799999996</v>
      </c>
      <c r="N291" s="210">
        <v>1405.59746</v>
      </c>
      <c r="O291" s="210">
        <v>1694.5615683599999</v>
      </c>
      <c r="P291" s="210">
        <v>1694.5615683599999</v>
      </c>
      <c r="Q291" s="210">
        <v>1694.5615683599999</v>
      </c>
      <c r="R291" s="210">
        <v>1694.5615683599999</v>
      </c>
      <c r="S291" s="210"/>
      <c r="T291" s="210"/>
      <c r="U291" s="210"/>
      <c r="V291" s="209"/>
      <c r="W291" s="209"/>
      <c r="X291" s="209"/>
      <c r="Y291" s="209"/>
    </row>
    <row r="292" spans="1:25" x14ac:dyDescent="0.2">
      <c r="A292" s="198">
        <v>936</v>
      </c>
      <c r="B292" s="199" t="s">
        <v>421</v>
      </c>
      <c r="C292" s="197">
        <v>6</v>
      </c>
      <c r="D292" s="210">
        <v>18134.48256</v>
      </c>
      <c r="E292" s="210">
        <v>18485.519126310188</v>
      </c>
      <c r="F292" s="210">
        <v>18843.576686931305</v>
      </c>
      <c r="G292" s="210">
        <v>9754.6790590119854</v>
      </c>
      <c r="H292" s="210">
        <v>9593.7551169827693</v>
      </c>
      <c r="I292" s="210">
        <v>2413.6939600000001</v>
      </c>
      <c r="J292" s="210">
        <v>2367.9087949999994</v>
      </c>
      <c r="K292" s="210">
        <v>2566.5976719999999</v>
      </c>
      <c r="L292" s="210">
        <v>1981.0147079999999</v>
      </c>
      <c r="M292" s="210">
        <v>2005.9331319999999</v>
      </c>
      <c r="N292" s="210">
        <v>1879.9746100000002</v>
      </c>
      <c r="O292" s="210">
        <v>1890.5328028224001</v>
      </c>
      <c r="P292" s="210">
        <v>1890.5328028224001</v>
      </c>
      <c r="Q292" s="210">
        <v>1890.5328028224001</v>
      </c>
      <c r="R292" s="210">
        <v>1890.5328028224001</v>
      </c>
      <c r="S292" s="210"/>
      <c r="T292" s="210"/>
      <c r="U292" s="210"/>
      <c r="V292" s="209"/>
      <c r="W292" s="209"/>
      <c r="X292" s="209"/>
      <c r="Y292" s="209"/>
    </row>
    <row r="293" spans="1:25" x14ac:dyDescent="0.2">
      <c r="A293" s="198">
        <v>946</v>
      </c>
      <c r="B293" s="199" t="s">
        <v>135</v>
      </c>
      <c r="C293" s="197">
        <v>15</v>
      </c>
      <c r="D293" s="210">
        <v>18913.14878</v>
      </c>
      <c r="E293" s="210">
        <v>18843.212696346032</v>
      </c>
      <c r="F293" s="210">
        <v>20078.898726617746</v>
      </c>
      <c r="G293" s="210">
        <v>10620.104787538385</v>
      </c>
      <c r="H293" s="210">
        <v>10405.846725404304</v>
      </c>
      <c r="I293" s="210">
        <v>2283.8829700000001</v>
      </c>
      <c r="J293" s="210">
        <v>1889.6977460000003</v>
      </c>
      <c r="K293" s="210">
        <v>2045.0685020000001</v>
      </c>
      <c r="L293" s="210">
        <v>1578.4752030000002</v>
      </c>
      <c r="M293" s="210">
        <v>1598.3302369999999</v>
      </c>
      <c r="N293" s="210">
        <v>1792.16236</v>
      </c>
      <c r="O293" s="210">
        <v>1755.2013118704003</v>
      </c>
      <c r="P293" s="210">
        <v>1755.2013118704003</v>
      </c>
      <c r="Q293" s="210">
        <v>1755.2013118704003</v>
      </c>
      <c r="R293" s="210">
        <v>1755.2013118704003</v>
      </c>
      <c r="S293" s="210"/>
      <c r="T293" s="210"/>
      <c r="U293" s="210"/>
      <c r="V293" s="209"/>
      <c r="W293" s="209"/>
      <c r="X293" s="209"/>
      <c r="Y293" s="209"/>
    </row>
    <row r="294" spans="1:25" x14ac:dyDescent="0.2">
      <c r="A294" s="198">
        <v>976</v>
      </c>
      <c r="B294" s="199" t="s">
        <v>422</v>
      </c>
      <c r="C294" s="197">
        <v>19</v>
      </c>
      <c r="D294" s="210">
        <v>10451.582400000001</v>
      </c>
      <c r="E294" s="210">
        <v>11106.443588974907</v>
      </c>
      <c r="F294" s="210">
        <v>11340.052457833333</v>
      </c>
      <c r="G294" s="210">
        <v>5665.3193471086142</v>
      </c>
      <c r="H294" s="210">
        <v>5525.6373854846752</v>
      </c>
      <c r="I294" s="210">
        <v>762.09906000000001</v>
      </c>
      <c r="J294" s="210">
        <v>710.02525900000001</v>
      </c>
      <c r="K294" s="210">
        <v>767.42930999999999</v>
      </c>
      <c r="L294" s="210">
        <v>592.33621499999992</v>
      </c>
      <c r="M294" s="210">
        <v>599.78698500000007</v>
      </c>
      <c r="N294" s="210">
        <v>1068.2768899999999</v>
      </c>
      <c r="O294" s="210">
        <v>1229.0985389040002</v>
      </c>
      <c r="P294" s="210">
        <v>1229.0985389040002</v>
      </c>
      <c r="Q294" s="210">
        <v>1229.0985389040002</v>
      </c>
      <c r="R294" s="210">
        <v>1229.0985389040002</v>
      </c>
      <c r="S294" s="210"/>
      <c r="T294" s="210"/>
      <c r="U294" s="210"/>
      <c r="V294" s="209"/>
      <c r="W294" s="209"/>
      <c r="X294" s="209"/>
      <c r="Y294" s="209"/>
    </row>
    <row r="295" spans="1:25" x14ac:dyDescent="0.2">
      <c r="A295" s="198">
        <v>977</v>
      </c>
      <c r="B295" s="199" t="s">
        <v>423</v>
      </c>
      <c r="C295" s="197">
        <v>17</v>
      </c>
      <c r="D295" s="210">
        <v>45779.7978</v>
      </c>
      <c r="E295" s="210">
        <v>47095.404917801323</v>
      </c>
      <c r="F295" s="210">
        <v>49823.569734271128</v>
      </c>
      <c r="G295" s="210">
        <v>27117.380860311492</v>
      </c>
      <c r="H295" s="210">
        <v>26523.486374127326</v>
      </c>
      <c r="I295" s="210">
        <v>3933.97892</v>
      </c>
      <c r="J295" s="210">
        <v>3343.121776</v>
      </c>
      <c r="K295" s="210">
        <v>3620.2722220000001</v>
      </c>
      <c r="L295" s="210">
        <v>2794.2877829999998</v>
      </c>
      <c r="M295" s="210">
        <v>2829.4360569999999</v>
      </c>
      <c r="N295" s="210">
        <v>4866.1797900000001</v>
      </c>
      <c r="O295" s="210">
        <v>4958.074800551999</v>
      </c>
      <c r="P295" s="210">
        <v>4958.074800551999</v>
      </c>
      <c r="Q295" s="210">
        <v>4958.074800551999</v>
      </c>
      <c r="R295" s="210">
        <v>4958.074800551999</v>
      </c>
      <c r="S295" s="210"/>
      <c r="T295" s="210"/>
      <c r="U295" s="210"/>
      <c r="V295" s="209"/>
      <c r="W295" s="209"/>
      <c r="X295" s="209"/>
      <c r="Y295" s="209"/>
    </row>
    <row r="296" spans="1:25" x14ac:dyDescent="0.2">
      <c r="A296" s="198">
        <v>980</v>
      </c>
      <c r="B296" s="199" t="s">
        <v>424</v>
      </c>
      <c r="C296" s="197">
        <v>6</v>
      </c>
      <c r="D296" s="210">
        <v>112635.23678000001</v>
      </c>
      <c r="E296" s="210">
        <v>115365.582208219</v>
      </c>
      <c r="F296" s="210">
        <v>121355.3812812828</v>
      </c>
      <c r="G296" s="210">
        <v>62028.722255653272</v>
      </c>
      <c r="H296" s="210">
        <v>60076.290118833589</v>
      </c>
      <c r="I296" s="210">
        <v>6037.4551300000003</v>
      </c>
      <c r="J296" s="210">
        <v>5907.6501420000004</v>
      </c>
      <c r="K296" s="210">
        <v>6403.7948980000001</v>
      </c>
      <c r="L296" s="210">
        <v>4942.7348969999994</v>
      </c>
      <c r="M296" s="210">
        <v>5004.907663</v>
      </c>
      <c r="N296" s="210">
        <v>7521.2158799999997</v>
      </c>
      <c r="O296" s="210">
        <v>7501.6174984008003</v>
      </c>
      <c r="P296" s="210">
        <v>7501.6174984008003</v>
      </c>
      <c r="Q296" s="210">
        <v>7501.6174984008003</v>
      </c>
      <c r="R296" s="210">
        <v>7501.6174984008003</v>
      </c>
      <c r="S296" s="210"/>
      <c r="T296" s="210"/>
      <c r="U296" s="210"/>
      <c r="V296" s="209"/>
      <c r="W296" s="209"/>
      <c r="X296" s="209"/>
      <c r="Y296" s="209"/>
    </row>
    <row r="297" spans="1:25" x14ac:dyDescent="0.2">
      <c r="A297" s="198">
        <v>981</v>
      </c>
      <c r="B297" s="237" t="s">
        <v>425</v>
      </c>
      <c r="C297" s="197">
        <v>5</v>
      </c>
      <c r="D297" s="210">
        <v>7096.13627</v>
      </c>
      <c r="E297" s="210">
        <v>7209.1943466164294</v>
      </c>
      <c r="F297" s="210">
        <v>7367.0711982691564</v>
      </c>
      <c r="G297" s="210">
        <v>4036.7196877842471</v>
      </c>
      <c r="H297" s="210">
        <v>3946.9867424153299</v>
      </c>
      <c r="I297" s="210">
        <v>362.05788999999999</v>
      </c>
      <c r="J297" s="210">
        <v>286.89648299999999</v>
      </c>
      <c r="K297" s="210">
        <v>310.959678</v>
      </c>
      <c r="L297" s="210">
        <v>240.01256699999996</v>
      </c>
      <c r="M297" s="210">
        <v>243.03159299999996</v>
      </c>
      <c r="N297" s="210">
        <v>510.03030000000001</v>
      </c>
      <c r="O297" s="210">
        <v>523.10199254399981</v>
      </c>
      <c r="P297" s="210">
        <v>523.10199254399981</v>
      </c>
      <c r="Q297" s="210">
        <v>523.10199254399981</v>
      </c>
      <c r="R297" s="210">
        <v>523.10199254399981</v>
      </c>
      <c r="S297" s="210"/>
      <c r="T297" s="210"/>
      <c r="U297" s="210"/>
      <c r="V297" s="209"/>
      <c r="W297" s="209"/>
      <c r="X297" s="209"/>
      <c r="Y297" s="209"/>
    </row>
    <row r="298" spans="1:25" x14ac:dyDescent="0.2">
      <c r="A298" s="198">
        <v>989</v>
      </c>
      <c r="B298" s="199" t="s">
        <v>426</v>
      </c>
      <c r="C298" s="197">
        <v>14</v>
      </c>
      <c r="D298" s="210">
        <v>17738.10068</v>
      </c>
      <c r="E298" s="210">
        <v>17652.692332487986</v>
      </c>
      <c r="F298" s="210">
        <v>18125.427616093351</v>
      </c>
      <c r="G298" s="210">
        <v>9915.1582690197993</v>
      </c>
      <c r="H298" s="210">
        <v>9826.0530173863717</v>
      </c>
      <c r="I298" s="210">
        <v>1472.85115</v>
      </c>
      <c r="J298" s="210">
        <v>1559.5890689999999</v>
      </c>
      <c r="K298" s="210">
        <v>1690.4640159999999</v>
      </c>
      <c r="L298" s="210">
        <v>1304.7756240000001</v>
      </c>
      <c r="M298" s="210">
        <v>1321.1878959999997</v>
      </c>
      <c r="N298" s="210">
        <v>2028.0361699999999</v>
      </c>
      <c r="O298" s="210">
        <v>2068.852144728</v>
      </c>
      <c r="P298" s="210">
        <v>2068.852144728</v>
      </c>
      <c r="Q298" s="210">
        <v>2068.852144728</v>
      </c>
      <c r="R298" s="210">
        <v>2068.852144728</v>
      </c>
      <c r="S298" s="210"/>
      <c r="T298" s="210"/>
      <c r="U298" s="210"/>
      <c r="V298" s="209"/>
      <c r="W298" s="209"/>
      <c r="X298" s="209"/>
      <c r="Y298" s="209"/>
    </row>
    <row r="299" spans="1:25" x14ac:dyDescent="0.2">
      <c r="A299" s="198">
        <v>992</v>
      </c>
      <c r="B299" s="237" t="s">
        <v>427</v>
      </c>
      <c r="C299" s="197">
        <v>13</v>
      </c>
      <c r="D299" s="210">
        <v>62983.824489999999</v>
      </c>
      <c r="E299" s="210">
        <v>64807.28480193967</v>
      </c>
      <c r="F299" s="210">
        <v>65952.305666560758</v>
      </c>
      <c r="G299" s="210">
        <v>34893.532380234574</v>
      </c>
      <c r="H299" s="210">
        <v>34419.828272044288</v>
      </c>
      <c r="I299" s="210">
        <v>8989.7920599999998</v>
      </c>
      <c r="J299" s="210">
        <v>9459.7810470000004</v>
      </c>
      <c r="K299" s="210">
        <v>10286.032788</v>
      </c>
      <c r="L299" s="210">
        <v>7939.2194820000004</v>
      </c>
      <c r="M299" s="210">
        <v>8039.0838780000004</v>
      </c>
      <c r="N299" s="210">
        <v>4722.4306500000002</v>
      </c>
      <c r="O299" s="210">
        <v>4833.7879346999989</v>
      </c>
      <c r="P299" s="210">
        <v>4833.7879346999989</v>
      </c>
      <c r="Q299" s="210">
        <v>4833.7879346999989</v>
      </c>
      <c r="R299" s="210">
        <v>4833.7879346999989</v>
      </c>
      <c r="S299" s="210"/>
      <c r="T299" s="210"/>
      <c r="U299" s="210"/>
      <c r="V299" s="209"/>
      <c r="W299" s="209"/>
      <c r="X299" s="209"/>
      <c r="Y299" s="209"/>
    </row>
    <row r="300" spans="1:25" x14ac:dyDescent="0.2">
      <c r="A300" s="198"/>
      <c r="B300" s="199" t="s">
        <v>583</v>
      </c>
      <c r="C300" s="209"/>
      <c r="D300" s="210">
        <f>SUM(D5:D299)</f>
        <v>18806462.939319998</v>
      </c>
      <c r="E300" s="210">
        <f t="shared" ref="E300:O300" si="0">SUM(E5:E299)</f>
        <v>19142849.980151705</v>
      </c>
      <c r="F300" s="210">
        <f t="shared" si="0"/>
        <v>19999819.090904366</v>
      </c>
      <c r="G300" s="210">
        <f t="shared" si="0"/>
        <v>9865134.7780126166</v>
      </c>
      <c r="H300" s="210">
        <f t="shared" si="0"/>
        <v>9527777.4861487653</v>
      </c>
      <c r="I300" s="210">
        <f t="shared" si="0"/>
        <v>1856939.4837299979</v>
      </c>
      <c r="J300" s="210">
        <f t="shared" si="0"/>
        <v>1899925.3447260002</v>
      </c>
      <c r="K300" s="210">
        <f t="shared" si="0"/>
        <v>2060000.0000000002</v>
      </c>
      <c r="L300" s="210">
        <f t="shared" si="0"/>
        <v>1590000.0000000009</v>
      </c>
      <c r="M300" s="210">
        <f t="shared" si="0"/>
        <v>1610000.0000000002</v>
      </c>
      <c r="N300" s="210">
        <f t="shared" si="0"/>
        <v>1770811.8996300003</v>
      </c>
      <c r="O300" s="210">
        <f t="shared" si="0"/>
        <v>1820184.7181128897</v>
      </c>
      <c r="P300" s="210">
        <f>SUM(P5:P299)</f>
        <v>1820184.7181128897</v>
      </c>
      <c r="Q300" s="210">
        <f>SUM(Q5:Q299)</f>
        <v>1820184.7181128897</v>
      </c>
      <c r="R300" s="210">
        <f>SUM(R5:R299)</f>
        <v>1820184.7181128897</v>
      </c>
      <c r="S300" s="210"/>
      <c r="T300" s="210"/>
      <c r="U300" s="210"/>
      <c r="V300" s="209"/>
      <c r="W300" s="209"/>
      <c r="X300" s="209"/>
      <c r="Y300" s="209"/>
    </row>
  </sheetData>
  <sheetProtection password="C9BA" sheet="1" objects="1" scenarios="1" selectLockedCells="1" selectUnlockedCell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9"/>
  <dimension ref="A1:AD328"/>
  <sheetViews>
    <sheetView topLeftCell="A3" workbookViewId="0">
      <selection activeCell="A4" sqref="A4"/>
    </sheetView>
  </sheetViews>
  <sheetFormatPr defaultRowHeight="12.75" x14ac:dyDescent="0.2"/>
  <cols>
    <col min="1" max="1" width="10.42578125" customWidth="1"/>
    <col min="2" max="2" width="17.7109375" customWidth="1"/>
    <col min="10" max="10" width="14.42578125" customWidth="1"/>
    <col min="11" max="11" width="19.140625" customWidth="1"/>
    <col min="12" max="12" width="17" customWidth="1"/>
    <col min="19" max="19" width="23.85546875" customWidth="1"/>
    <col min="20" max="20" width="27.42578125" customWidth="1"/>
    <col min="21" max="21" width="19.85546875" bestFit="1" customWidth="1"/>
  </cols>
  <sheetData>
    <row r="1" spans="1:30" ht="15" x14ac:dyDescent="0.25">
      <c r="A1" s="108" t="s">
        <v>514</v>
      </c>
      <c r="C1" s="99"/>
      <c r="D1" s="99"/>
      <c r="E1" s="99"/>
      <c r="F1" s="99"/>
      <c r="G1" s="99"/>
      <c r="H1" s="99"/>
      <c r="I1" s="99"/>
      <c r="M1" s="99"/>
      <c r="N1" s="99"/>
      <c r="O1" s="99"/>
      <c r="P1" s="99"/>
      <c r="Q1" s="99"/>
      <c r="R1" s="99"/>
      <c r="V1" s="99"/>
      <c r="W1" s="99"/>
      <c r="X1" s="99"/>
      <c r="Y1" s="99"/>
      <c r="Z1" s="99"/>
      <c r="AA1" s="99"/>
      <c r="AB1" s="99"/>
      <c r="AC1" s="99"/>
      <c r="AD1" s="99"/>
    </row>
    <row r="3" spans="1:30" ht="15" x14ac:dyDescent="0.25">
      <c r="A3" s="115" t="s">
        <v>520</v>
      </c>
      <c r="B3" s="99"/>
      <c r="C3" s="101" t="s">
        <v>519</v>
      </c>
      <c r="D3" s="101" t="s">
        <v>519</v>
      </c>
      <c r="E3" s="101" t="s">
        <v>519</v>
      </c>
      <c r="F3" s="101" t="s">
        <v>519</v>
      </c>
      <c r="G3" s="102" t="s">
        <v>515</v>
      </c>
      <c r="H3" s="102" t="s">
        <v>516</v>
      </c>
      <c r="I3" s="102" t="s">
        <v>517</v>
      </c>
      <c r="J3" s="103" t="s">
        <v>515</v>
      </c>
      <c r="K3" s="103" t="s">
        <v>516</v>
      </c>
      <c r="L3" s="103" t="s">
        <v>517</v>
      </c>
      <c r="M3" s="104" t="s">
        <v>515</v>
      </c>
      <c r="N3" s="104" t="s">
        <v>516</v>
      </c>
      <c r="O3" s="104" t="s">
        <v>517</v>
      </c>
      <c r="P3" s="107" t="s">
        <v>515</v>
      </c>
      <c r="Q3" s="107" t="s">
        <v>516</v>
      </c>
      <c r="R3" s="107" t="s">
        <v>517</v>
      </c>
      <c r="S3" s="106" t="s">
        <v>519</v>
      </c>
      <c r="T3" s="106" t="s">
        <v>519</v>
      </c>
      <c r="U3" s="106" t="s">
        <v>519</v>
      </c>
      <c r="V3" s="105" t="s">
        <v>515</v>
      </c>
      <c r="W3" s="105" t="s">
        <v>516</v>
      </c>
      <c r="X3" s="105" t="s">
        <v>517</v>
      </c>
      <c r="Y3" s="111" t="s">
        <v>515</v>
      </c>
      <c r="Z3" s="111" t="s">
        <v>516</v>
      </c>
      <c r="AA3" s="111" t="s">
        <v>517</v>
      </c>
      <c r="AB3" s="113" t="s">
        <v>515</v>
      </c>
      <c r="AC3" s="113" t="s">
        <v>516</v>
      </c>
      <c r="AD3" s="113" t="s">
        <v>517</v>
      </c>
    </row>
    <row r="4" spans="1:30" ht="15" x14ac:dyDescent="0.25">
      <c r="A4" s="3" t="s">
        <v>121</v>
      </c>
      <c r="B4" s="99" t="s">
        <v>102</v>
      </c>
      <c r="C4" s="101" t="s">
        <v>137</v>
      </c>
      <c r="D4" s="101" t="s">
        <v>138</v>
      </c>
      <c r="E4" s="101" t="s">
        <v>8</v>
      </c>
      <c r="F4" s="101" t="s">
        <v>503</v>
      </c>
      <c r="G4" s="102" t="s">
        <v>137</v>
      </c>
      <c r="H4" s="102" t="s">
        <v>137</v>
      </c>
      <c r="I4" s="102" t="s">
        <v>137</v>
      </c>
      <c r="J4" s="103" t="s">
        <v>138</v>
      </c>
      <c r="K4" s="103" t="s">
        <v>138</v>
      </c>
      <c r="L4" s="103" t="s">
        <v>138</v>
      </c>
      <c r="M4" s="104" t="s">
        <v>8</v>
      </c>
      <c r="N4" s="104" t="s">
        <v>8</v>
      </c>
      <c r="O4" s="104" t="s">
        <v>8</v>
      </c>
      <c r="P4" s="107" t="s">
        <v>503</v>
      </c>
      <c r="Q4" s="107" t="s">
        <v>503</v>
      </c>
      <c r="R4" s="107" t="s">
        <v>503</v>
      </c>
      <c r="S4" s="109" t="s">
        <v>139</v>
      </c>
      <c r="T4" s="109" t="s">
        <v>9</v>
      </c>
      <c r="U4" s="109" t="s">
        <v>518</v>
      </c>
      <c r="V4" s="110" t="s">
        <v>139</v>
      </c>
      <c r="W4" s="110" t="s">
        <v>139</v>
      </c>
      <c r="X4" s="110" t="s">
        <v>139</v>
      </c>
      <c r="Y4" s="112" t="s">
        <v>9</v>
      </c>
      <c r="Z4" s="112" t="s">
        <v>9</v>
      </c>
      <c r="AA4" s="112" t="s">
        <v>9</v>
      </c>
      <c r="AB4" s="114" t="s">
        <v>518</v>
      </c>
      <c r="AC4" s="114" t="s">
        <v>518</v>
      </c>
      <c r="AD4" s="114" t="s">
        <v>518</v>
      </c>
    </row>
    <row r="5" spans="1:30" ht="15" x14ac:dyDescent="0.25">
      <c r="A5">
        <v>5</v>
      </c>
      <c r="B5" s="100" t="s">
        <v>142</v>
      </c>
      <c r="C5" s="99">
        <v>44216</v>
      </c>
      <c r="D5" s="99">
        <v>0</v>
      </c>
      <c r="E5" s="99">
        <v>0</v>
      </c>
      <c r="F5" s="99">
        <v>0</v>
      </c>
      <c r="G5" s="99">
        <v>16</v>
      </c>
      <c r="H5" s="99">
        <v>27269</v>
      </c>
      <c r="I5" s="99">
        <v>0</v>
      </c>
      <c r="J5">
        <v>0</v>
      </c>
      <c r="K5">
        <v>0</v>
      </c>
      <c r="L5">
        <v>0</v>
      </c>
      <c r="M5" s="99">
        <v>0</v>
      </c>
      <c r="N5" s="99">
        <v>0</v>
      </c>
      <c r="O5" s="99">
        <v>0</v>
      </c>
      <c r="P5" s="99">
        <v>0</v>
      </c>
      <c r="Q5" s="99">
        <v>0</v>
      </c>
      <c r="R5" s="99">
        <v>0</v>
      </c>
      <c r="S5">
        <v>101014</v>
      </c>
      <c r="T5">
        <v>3095</v>
      </c>
      <c r="U5">
        <v>0</v>
      </c>
      <c r="V5" s="99">
        <v>209</v>
      </c>
      <c r="W5" s="99">
        <v>61548</v>
      </c>
      <c r="X5" s="99">
        <v>866</v>
      </c>
      <c r="Y5" s="99">
        <v>0</v>
      </c>
      <c r="Z5" s="99">
        <v>98</v>
      </c>
      <c r="AA5" s="99">
        <v>0</v>
      </c>
      <c r="AB5" s="99">
        <v>0</v>
      </c>
      <c r="AC5" s="99">
        <v>0</v>
      </c>
      <c r="AD5" s="99">
        <v>0</v>
      </c>
    </row>
    <row r="6" spans="1:30" ht="15" x14ac:dyDescent="0.25">
      <c r="A6">
        <v>9</v>
      </c>
      <c r="B6" s="100" t="s">
        <v>143</v>
      </c>
      <c r="C6" s="99">
        <v>3406</v>
      </c>
      <c r="D6" s="99">
        <v>0</v>
      </c>
      <c r="E6" s="99">
        <v>0</v>
      </c>
      <c r="F6" s="99">
        <v>0</v>
      </c>
      <c r="G6" s="99">
        <v>0</v>
      </c>
      <c r="H6" s="99">
        <v>13</v>
      </c>
      <c r="I6" s="99">
        <v>0</v>
      </c>
      <c r="J6">
        <v>0</v>
      </c>
      <c r="K6">
        <v>0</v>
      </c>
      <c r="L6">
        <v>0</v>
      </c>
      <c r="M6" s="99">
        <v>0</v>
      </c>
      <c r="N6" s="99">
        <v>0</v>
      </c>
      <c r="O6" s="99">
        <v>0</v>
      </c>
      <c r="P6" s="99">
        <v>0</v>
      </c>
      <c r="Q6" s="99">
        <v>0</v>
      </c>
      <c r="R6" s="99">
        <v>0</v>
      </c>
      <c r="S6">
        <v>18372</v>
      </c>
      <c r="T6">
        <v>795</v>
      </c>
      <c r="U6">
        <v>0</v>
      </c>
      <c r="V6" s="99">
        <v>0</v>
      </c>
      <c r="W6" s="99">
        <v>10116</v>
      </c>
      <c r="X6" s="99">
        <v>212</v>
      </c>
      <c r="Y6" s="99">
        <v>0</v>
      </c>
      <c r="Z6" s="99">
        <v>0</v>
      </c>
      <c r="AA6" s="99">
        <v>4</v>
      </c>
      <c r="AB6" s="99">
        <v>0</v>
      </c>
      <c r="AC6" s="99">
        <v>0</v>
      </c>
      <c r="AD6" s="99">
        <v>0</v>
      </c>
    </row>
    <row r="7" spans="1:30" ht="15" x14ac:dyDescent="0.25">
      <c r="A7">
        <v>10</v>
      </c>
      <c r="B7" s="100" t="s">
        <v>144</v>
      </c>
      <c r="C7" s="99">
        <v>21665</v>
      </c>
      <c r="D7" s="99">
        <v>0</v>
      </c>
      <c r="E7" s="99">
        <v>0</v>
      </c>
      <c r="F7" s="99">
        <v>0</v>
      </c>
      <c r="G7" s="99">
        <v>346</v>
      </c>
      <c r="H7" s="99">
        <v>5159</v>
      </c>
      <c r="I7" s="99">
        <v>0</v>
      </c>
      <c r="J7">
        <v>0</v>
      </c>
      <c r="K7">
        <v>0</v>
      </c>
      <c r="L7">
        <v>0</v>
      </c>
      <c r="M7" s="99">
        <v>0</v>
      </c>
      <c r="N7" s="99">
        <v>0</v>
      </c>
      <c r="O7" s="99">
        <v>0</v>
      </c>
      <c r="P7" s="99">
        <v>0</v>
      </c>
      <c r="Q7" s="99">
        <v>0</v>
      </c>
      <c r="R7" s="99">
        <v>0</v>
      </c>
      <c r="S7">
        <v>92219</v>
      </c>
      <c r="T7">
        <v>2982</v>
      </c>
      <c r="U7">
        <v>222</v>
      </c>
      <c r="V7" s="99">
        <v>782</v>
      </c>
      <c r="W7" s="99">
        <v>51289</v>
      </c>
      <c r="X7" s="99">
        <v>1031</v>
      </c>
      <c r="Y7" s="99">
        <v>13</v>
      </c>
      <c r="Z7" s="99">
        <v>310</v>
      </c>
      <c r="AA7" s="99">
        <v>0</v>
      </c>
      <c r="AB7" s="99">
        <v>0</v>
      </c>
      <c r="AC7" s="99">
        <v>0</v>
      </c>
      <c r="AD7" s="99">
        <v>0</v>
      </c>
    </row>
    <row r="8" spans="1:30" ht="15" x14ac:dyDescent="0.25">
      <c r="A8">
        <v>16</v>
      </c>
      <c r="B8" s="100" t="s">
        <v>145</v>
      </c>
      <c r="C8" s="99">
        <v>11752</v>
      </c>
      <c r="D8" s="99">
        <v>0</v>
      </c>
      <c r="E8" s="99">
        <v>4</v>
      </c>
      <c r="F8" s="99">
        <v>571</v>
      </c>
      <c r="G8" s="99">
        <v>34</v>
      </c>
      <c r="H8" s="99">
        <v>326</v>
      </c>
      <c r="I8" s="99">
        <v>0</v>
      </c>
      <c r="J8">
        <v>0</v>
      </c>
      <c r="K8">
        <v>0</v>
      </c>
      <c r="L8">
        <v>0</v>
      </c>
      <c r="M8" s="99">
        <v>0</v>
      </c>
      <c r="N8" s="99">
        <v>0</v>
      </c>
      <c r="O8" s="99">
        <v>0</v>
      </c>
      <c r="P8" s="99">
        <v>0</v>
      </c>
      <c r="Q8" s="99">
        <v>0</v>
      </c>
      <c r="R8" s="99">
        <v>0</v>
      </c>
      <c r="S8">
        <v>54180</v>
      </c>
      <c r="T8">
        <v>2037</v>
      </c>
      <c r="U8">
        <v>572</v>
      </c>
      <c r="V8" s="99">
        <v>974</v>
      </c>
      <c r="W8" s="99">
        <v>29470</v>
      </c>
      <c r="X8" s="99">
        <v>760</v>
      </c>
      <c r="Y8" s="99">
        <v>0</v>
      </c>
      <c r="Z8" s="99">
        <v>0</v>
      </c>
      <c r="AA8" s="99">
        <v>0</v>
      </c>
      <c r="AB8" s="99">
        <v>0</v>
      </c>
      <c r="AC8" s="99">
        <v>19</v>
      </c>
      <c r="AD8" s="99">
        <v>1</v>
      </c>
    </row>
    <row r="9" spans="1:30" ht="15" x14ac:dyDescent="0.25">
      <c r="A9">
        <v>18</v>
      </c>
      <c r="B9" s="100" t="s">
        <v>146</v>
      </c>
      <c r="C9" s="99">
        <v>7183</v>
      </c>
      <c r="D9" s="99">
        <v>0</v>
      </c>
      <c r="E9" s="99">
        <v>0</v>
      </c>
      <c r="F9" s="99">
        <v>0</v>
      </c>
      <c r="G9" s="99">
        <v>6</v>
      </c>
      <c r="H9" s="99">
        <v>1343</v>
      </c>
      <c r="I9" s="99">
        <v>111</v>
      </c>
      <c r="J9">
        <v>0</v>
      </c>
      <c r="K9">
        <v>0</v>
      </c>
      <c r="L9">
        <v>0</v>
      </c>
      <c r="M9" s="99">
        <v>0</v>
      </c>
      <c r="N9" s="99">
        <v>0</v>
      </c>
      <c r="O9" s="99">
        <v>0</v>
      </c>
      <c r="P9" s="99">
        <v>0</v>
      </c>
      <c r="Q9" s="99">
        <v>0</v>
      </c>
      <c r="R9" s="99">
        <v>0</v>
      </c>
      <c r="S9">
        <v>32291</v>
      </c>
      <c r="T9">
        <v>1104</v>
      </c>
      <c r="U9">
        <v>0</v>
      </c>
      <c r="V9" s="99">
        <v>286</v>
      </c>
      <c r="W9" s="99">
        <v>16073</v>
      </c>
      <c r="X9" s="99">
        <v>466</v>
      </c>
      <c r="Y9" s="99">
        <v>0</v>
      </c>
      <c r="Z9" s="99">
        <v>106</v>
      </c>
      <c r="AA9" s="99">
        <v>100</v>
      </c>
      <c r="AB9" s="99">
        <v>0</v>
      </c>
      <c r="AC9" s="99">
        <v>0</v>
      </c>
      <c r="AD9" s="99">
        <v>0</v>
      </c>
    </row>
    <row r="10" spans="1:30" ht="15" x14ac:dyDescent="0.25">
      <c r="A10">
        <v>19</v>
      </c>
      <c r="B10" s="100" t="s">
        <v>147</v>
      </c>
      <c r="C10" s="99">
        <v>5078</v>
      </c>
      <c r="D10" s="99">
        <v>0</v>
      </c>
      <c r="E10" s="99">
        <v>0</v>
      </c>
      <c r="F10" s="99">
        <v>595</v>
      </c>
      <c r="G10" s="99">
        <v>8</v>
      </c>
      <c r="H10" s="99">
        <v>888</v>
      </c>
      <c r="I10" s="99">
        <v>0</v>
      </c>
      <c r="J10">
        <v>0</v>
      </c>
      <c r="K10">
        <v>0</v>
      </c>
      <c r="L10">
        <v>0</v>
      </c>
      <c r="M10" s="99">
        <v>0</v>
      </c>
      <c r="N10" s="99">
        <v>0</v>
      </c>
      <c r="O10" s="99">
        <v>0</v>
      </c>
      <c r="P10" s="99">
        <v>5</v>
      </c>
      <c r="Q10" s="99">
        <v>85</v>
      </c>
      <c r="R10" s="99">
        <v>0</v>
      </c>
      <c r="S10">
        <v>23725</v>
      </c>
      <c r="T10">
        <v>784</v>
      </c>
      <c r="U10">
        <v>619</v>
      </c>
      <c r="V10" s="99">
        <v>217</v>
      </c>
      <c r="W10" s="99">
        <v>12202</v>
      </c>
      <c r="X10" s="99">
        <v>289</v>
      </c>
      <c r="Y10" s="99">
        <v>0</v>
      </c>
      <c r="Z10" s="99">
        <v>0</v>
      </c>
      <c r="AA10" s="99">
        <v>0</v>
      </c>
      <c r="AB10" s="99">
        <v>1</v>
      </c>
      <c r="AC10" s="99">
        <v>261</v>
      </c>
      <c r="AD10" s="99">
        <v>16</v>
      </c>
    </row>
    <row r="11" spans="1:30" ht="15" x14ac:dyDescent="0.25">
      <c r="A11">
        <v>20</v>
      </c>
      <c r="B11" s="100" t="s">
        <v>125</v>
      </c>
      <c r="C11" s="99">
        <v>35170</v>
      </c>
      <c r="D11" s="99">
        <v>0</v>
      </c>
      <c r="E11" s="99">
        <v>0</v>
      </c>
      <c r="F11" s="99">
        <v>0</v>
      </c>
      <c r="G11" s="99">
        <v>166</v>
      </c>
      <c r="H11" s="99">
        <v>18148</v>
      </c>
      <c r="I11" s="99">
        <v>0</v>
      </c>
      <c r="J11">
        <v>0</v>
      </c>
      <c r="K11">
        <v>0</v>
      </c>
      <c r="L11">
        <v>0</v>
      </c>
      <c r="M11" s="99">
        <v>0</v>
      </c>
      <c r="N11" s="99">
        <v>0</v>
      </c>
      <c r="O11" s="99">
        <v>0</v>
      </c>
      <c r="P11" s="99">
        <v>0</v>
      </c>
      <c r="Q11" s="99">
        <v>0</v>
      </c>
      <c r="R11" s="99">
        <v>0</v>
      </c>
      <c r="S11">
        <v>122902</v>
      </c>
      <c r="T11">
        <v>4202</v>
      </c>
      <c r="U11">
        <v>0</v>
      </c>
      <c r="V11" s="99">
        <v>1119</v>
      </c>
      <c r="W11" s="99">
        <v>73201</v>
      </c>
      <c r="X11" s="99">
        <v>1187</v>
      </c>
      <c r="Y11" s="99">
        <v>0</v>
      </c>
      <c r="Z11" s="99">
        <v>71</v>
      </c>
      <c r="AA11" s="99">
        <v>0</v>
      </c>
      <c r="AB11" s="99">
        <v>0</v>
      </c>
      <c r="AC11" s="99">
        <v>0</v>
      </c>
      <c r="AD11" s="99">
        <v>0</v>
      </c>
    </row>
    <row r="12" spans="1:30" ht="15" x14ac:dyDescent="0.25">
      <c r="A12">
        <v>46</v>
      </c>
      <c r="B12" s="100" t="s">
        <v>148</v>
      </c>
      <c r="C12" s="99">
        <v>3374</v>
      </c>
      <c r="D12" s="99">
        <v>0</v>
      </c>
      <c r="E12" s="99">
        <v>0</v>
      </c>
      <c r="F12" s="99">
        <v>11</v>
      </c>
      <c r="G12" s="99">
        <v>7</v>
      </c>
      <c r="H12" s="99">
        <v>592</v>
      </c>
      <c r="I12" s="99">
        <v>0</v>
      </c>
      <c r="J12">
        <v>0</v>
      </c>
      <c r="K12">
        <v>0</v>
      </c>
      <c r="L12">
        <v>0</v>
      </c>
      <c r="M12" s="99">
        <v>0</v>
      </c>
      <c r="N12" s="99">
        <v>0</v>
      </c>
      <c r="O12" s="99">
        <v>0</v>
      </c>
      <c r="P12" s="99">
        <v>0</v>
      </c>
      <c r="Q12" s="99">
        <v>0</v>
      </c>
      <c r="R12" s="99">
        <v>0</v>
      </c>
      <c r="S12">
        <v>12505</v>
      </c>
      <c r="T12">
        <v>511</v>
      </c>
      <c r="U12">
        <v>11</v>
      </c>
      <c r="V12" s="99">
        <v>8</v>
      </c>
      <c r="W12" s="99">
        <v>6921</v>
      </c>
      <c r="X12" s="99">
        <v>139</v>
      </c>
      <c r="Y12" s="99">
        <v>0</v>
      </c>
      <c r="Z12" s="99">
        <v>8</v>
      </c>
      <c r="AA12" s="99">
        <v>0</v>
      </c>
      <c r="AB12" s="99">
        <v>0</v>
      </c>
      <c r="AC12" s="99">
        <v>0</v>
      </c>
      <c r="AD12" s="99">
        <v>0</v>
      </c>
    </row>
    <row r="13" spans="1:30" ht="15" x14ac:dyDescent="0.25">
      <c r="A13">
        <v>47</v>
      </c>
      <c r="B13" s="100" t="s">
        <v>149</v>
      </c>
      <c r="C13" s="99">
        <v>2812</v>
      </c>
      <c r="D13" s="99">
        <v>0</v>
      </c>
      <c r="E13" s="99">
        <v>0</v>
      </c>
      <c r="F13" s="99">
        <v>664</v>
      </c>
      <c r="G13" s="99">
        <v>17</v>
      </c>
      <c r="H13" s="99">
        <v>636</v>
      </c>
      <c r="I13" s="99">
        <v>0</v>
      </c>
      <c r="J13">
        <v>0</v>
      </c>
      <c r="K13">
        <v>0</v>
      </c>
      <c r="L13">
        <v>0</v>
      </c>
      <c r="M13" s="99">
        <v>0</v>
      </c>
      <c r="N13" s="99">
        <v>0</v>
      </c>
      <c r="O13" s="99">
        <v>0</v>
      </c>
      <c r="P13" s="99">
        <v>0</v>
      </c>
      <c r="Q13" s="99">
        <v>0</v>
      </c>
      <c r="R13" s="99">
        <v>0</v>
      </c>
      <c r="S13">
        <v>17553</v>
      </c>
      <c r="T13">
        <v>484</v>
      </c>
      <c r="U13">
        <v>664</v>
      </c>
      <c r="V13" s="99">
        <v>55</v>
      </c>
      <c r="W13" s="99">
        <v>9063</v>
      </c>
      <c r="X13" s="99">
        <v>308</v>
      </c>
      <c r="Y13" s="99">
        <v>0</v>
      </c>
      <c r="Z13" s="99">
        <v>36</v>
      </c>
      <c r="AA13" s="99">
        <v>0</v>
      </c>
      <c r="AB13" s="99">
        <v>4</v>
      </c>
      <c r="AC13" s="99">
        <v>78</v>
      </c>
      <c r="AD13" s="99">
        <v>0</v>
      </c>
    </row>
    <row r="14" spans="1:30" ht="15" x14ac:dyDescent="0.25">
      <c r="A14">
        <v>49</v>
      </c>
      <c r="B14" s="100" t="s">
        <v>150</v>
      </c>
      <c r="C14" s="99">
        <v>682628</v>
      </c>
      <c r="D14" s="99">
        <v>0</v>
      </c>
      <c r="E14" s="99">
        <v>105609</v>
      </c>
      <c r="F14" s="99">
        <v>15741</v>
      </c>
      <c r="G14" s="99">
        <v>1094</v>
      </c>
      <c r="H14" s="99">
        <v>101470</v>
      </c>
      <c r="I14" s="99">
        <v>12005</v>
      </c>
      <c r="J14">
        <v>0</v>
      </c>
      <c r="K14">
        <v>0</v>
      </c>
      <c r="L14">
        <v>0</v>
      </c>
      <c r="M14" s="99">
        <v>0</v>
      </c>
      <c r="N14" s="99">
        <v>233</v>
      </c>
      <c r="O14" s="99">
        <v>0</v>
      </c>
      <c r="P14" s="99">
        <v>0</v>
      </c>
      <c r="Q14" s="99">
        <v>0</v>
      </c>
      <c r="R14" s="99">
        <v>0</v>
      </c>
      <c r="S14">
        <v>2101249</v>
      </c>
      <c r="T14">
        <v>126708</v>
      </c>
      <c r="U14">
        <v>15736</v>
      </c>
      <c r="V14" s="99">
        <v>22670</v>
      </c>
      <c r="W14" s="99">
        <v>804116</v>
      </c>
      <c r="X14" s="99">
        <v>28592</v>
      </c>
      <c r="Y14" s="99">
        <v>4</v>
      </c>
      <c r="Z14" s="99">
        <v>2128</v>
      </c>
      <c r="AA14" s="99">
        <v>1436</v>
      </c>
      <c r="AB14" s="99">
        <v>192</v>
      </c>
      <c r="AC14" s="99">
        <v>4275</v>
      </c>
      <c r="AD14" s="99">
        <v>432</v>
      </c>
    </row>
    <row r="15" spans="1:30" ht="15" x14ac:dyDescent="0.25">
      <c r="A15">
        <v>50</v>
      </c>
      <c r="B15" s="100" t="s">
        <v>151</v>
      </c>
      <c r="C15" s="99">
        <v>19747</v>
      </c>
      <c r="D15" s="99">
        <v>0</v>
      </c>
      <c r="E15" s="99">
        <v>0</v>
      </c>
      <c r="F15" s="99">
        <v>1167</v>
      </c>
      <c r="G15" s="99">
        <v>66</v>
      </c>
      <c r="H15" s="99">
        <v>4047</v>
      </c>
      <c r="I15" s="99">
        <v>0</v>
      </c>
      <c r="J15">
        <v>0</v>
      </c>
      <c r="K15">
        <v>0</v>
      </c>
      <c r="L15">
        <v>0</v>
      </c>
      <c r="M15" s="99">
        <v>0</v>
      </c>
      <c r="N15" s="99">
        <v>0</v>
      </c>
      <c r="O15" s="99">
        <v>0</v>
      </c>
      <c r="P15" s="99">
        <v>0</v>
      </c>
      <c r="Q15" s="99">
        <v>0</v>
      </c>
      <c r="R15" s="99">
        <v>0</v>
      </c>
      <c r="S15">
        <v>85715</v>
      </c>
      <c r="T15">
        <v>3300</v>
      </c>
      <c r="U15">
        <v>1166</v>
      </c>
      <c r="V15" s="99">
        <v>175</v>
      </c>
      <c r="W15" s="99">
        <v>45430</v>
      </c>
      <c r="X15" s="99">
        <v>1398</v>
      </c>
      <c r="Y15" s="99">
        <v>0</v>
      </c>
      <c r="Z15" s="99">
        <v>127</v>
      </c>
      <c r="AA15" s="99">
        <v>0</v>
      </c>
      <c r="AB15" s="99">
        <v>0</v>
      </c>
      <c r="AC15" s="99">
        <v>575</v>
      </c>
      <c r="AD15" s="99">
        <v>0</v>
      </c>
    </row>
    <row r="16" spans="1:30" ht="15" x14ac:dyDescent="0.25">
      <c r="A16">
        <v>51</v>
      </c>
      <c r="B16" s="100" t="s">
        <v>152</v>
      </c>
      <c r="C16" s="99">
        <v>5257</v>
      </c>
      <c r="D16" s="99">
        <v>0</v>
      </c>
      <c r="E16" s="99">
        <v>0</v>
      </c>
      <c r="F16" s="99">
        <v>1510</v>
      </c>
      <c r="G16" s="99">
        <v>18</v>
      </c>
      <c r="H16" s="99">
        <v>1358</v>
      </c>
      <c r="I16" s="99">
        <v>0</v>
      </c>
      <c r="J16">
        <v>0</v>
      </c>
      <c r="K16">
        <v>0</v>
      </c>
      <c r="L16">
        <v>0</v>
      </c>
      <c r="M16" s="99">
        <v>0</v>
      </c>
      <c r="N16" s="99">
        <v>0</v>
      </c>
      <c r="O16" s="99">
        <v>0</v>
      </c>
      <c r="P16" s="99">
        <v>0</v>
      </c>
      <c r="Q16" s="99">
        <v>0</v>
      </c>
      <c r="R16" s="99">
        <v>0</v>
      </c>
      <c r="S16">
        <v>43167</v>
      </c>
      <c r="T16">
        <v>3314</v>
      </c>
      <c r="U16">
        <v>1510</v>
      </c>
      <c r="V16" s="99">
        <v>424</v>
      </c>
      <c r="W16" s="99">
        <v>21151</v>
      </c>
      <c r="X16" s="99">
        <v>558</v>
      </c>
      <c r="Y16" s="99">
        <v>0</v>
      </c>
      <c r="Z16" s="99">
        <v>9</v>
      </c>
      <c r="AA16" s="99">
        <v>0</v>
      </c>
      <c r="AB16" s="99">
        <v>0</v>
      </c>
      <c r="AC16" s="99">
        <v>0</v>
      </c>
      <c r="AD16" s="99">
        <v>0</v>
      </c>
    </row>
    <row r="17" spans="1:30" ht="15" x14ac:dyDescent="0.25">
      <c r="A17">
        <v>52</v>
      </c>
      <c r="B17" s="100" t="s">
        <v>153</v>
      </c>
      <c r="C17" s="99">
        <v>2124</v>
      </c>
      <c r="D17" s="99">
        <v>0</v>
      </c>
      <c r="E17" s="99">
        <v>0</v>
      </c>
      <c r="F17" s="99">
        <v>40</v>
      </c>
      <c r="G17" s="99">
        <v>0</v>
      </c>
      <c r="H17" s="99">
        <v>0</v>
      </c>
      <c r="I17" s="99">
        <v>102</v>
      </c>
      <c r="J17">
        <v>0</v>
      </c>
      <c r="K17">
        <v>0</v>
      </c>
      <c r="L17">
        <v>0</v>
      </c>
      <c r="M17" s="99">
        <v>0</v>
      </c>
      <c r="N17" s="99">
        <v>0</v>
      </c>
      <c r="O17" s="99">
        <v>0</v>
      </c>
      <c r="P17" s="99">
        <v>0</v>
      </c>
      <c r="Q17" s="99">
        <v>0</v>
      </c>
      <c r="R17" s="99">
        <v>0</v>
      </c>
      <c r="S17">
        <v>18401</v>
      </c>
      <c r="T17">
        <v>409</v>
      </c>
      <c r="U17">
        <v>39</v>
      </c>
      <c r="V17" s="99">
        <v>62</v>
      </c>
      <c r="W17" s="99">
        <v>10781</v>
      </c>
      <c r="X17" s="99">
        <v>256</v>
      </c>
      <c r="Y17" s="99">
        <v>0</v>
      </c>
      <c r="Z17" s="99">
        <v>0</v>
      </c>
      <c r="AA17" s="99">
        <v>20</v>
      </c>
      <c r="AB17" s="99">
        <v>0</v>
      </c>
      <c r="AC17" s="99">
        <v>0</v>
      </c>
      <c r="AD17" s="99">
        <v>0</v>
      </c>
    </row>
    <row r="18" spans="1:30" ht="15" x14ac:dyDescent="0.25">
      <c r="A18">
        <v>61</v>
      </c>
      <c r="B18" s="100" t="s">
        <v>154</v>
      </c>
      <c r="C18" s="99">
        <v>26748</v>
      </c>
      <c r="D18" s="99">
        <v>0</v>
      </c>
      <c r="E18" s="99">
        <v>0</v>
      </c>
      <c r="F18" s="99">
        <v>0</v>
      </c>
      <c r="G18" s="99">
        <v>1023</v>
      </c>
      <c r="H18" s="99">
        <v>1669</v>
      </c>
      <c r="I18" s="99">
        <v>1</v>
      </c>
      <c r="J18">
        <v>0</v>
      </c>
      <c r="K18">
        <v>0</v>
      </c>
      <c r="L18">
        <v>0</v>
      </c>
      <c r="M18" s="99">
        <v>0</v>
      </c>
      <c r="N18" s="99">
        <v>0</v>
      </c>
      <c r="O18" s="99">
        <v>0</v>
      </c>
      <c r="P18" s="99">
        <v>0</v>
      </c>
      <c r="Q18" s="99">
        <v>0</v>
      </c>
      <c r="R18" s="99">
        <v>0</v>
      </c>
      <c r="S18">
        <v>119276</v>
      </c>
      <c r="T18">
        <v>5985</v>
      </c>
      <c r="U18">
        <v>0</v>
      </c>
      <c r="V18" s="99">
        <v>3276</v>
      </c>
      <c r="W18" s="99">
        <v>63082</v>
      </c>
      <c r="X18" s="99">
        <v>1362</v>
      </c>
      <c r="Y18" s="99">
        <v>0</v>
      </c>
      <c r="Z18" s="99">
        <v>9</v>
      </c>
      <c r="AA18" s="99">
        <v>0</v>
      </c>
      <c r="AB18" s="99">
        <v>0</v>
      </c>
      <c r="AC18" s="99">
        <v>0</v>
      </c>
      <c r="AD18" s="99">
        <v>0</v>
      </c>
    </row>
    <row r="19" spans="1:30" ht="15" x14ac:dyDescent="0.25">
      <c r="A19">
        <v>69</v>
      </c>
      <c r="B19" s="100" t="s">
        <v>155</v>
      </c>
      <c r="C19" s="99">
        <v>8707</v>
      </c>
      <c r="D19" s="99">
        <v>0</v>
      </c>
      <c r="E19" s="99">
        <v>0</v>
      </c>
      <c r="F19" s="99">
        <v>341</v>
      </c>
      <c r="G19" s="99">
        <v>0</v>
      </c>
      <c r="H19" s="99">
        <v>80</v>
      </c>
      <c r="I19" s="99">
        <v>0</v>
      </c>
      <c r="J19">
        <v>0</v>
      </c>
      <c r="K19">
        <v>0</v>
      </c>
      <c r="L19">
        <v>0</v>
      </c>
      <c r="M19" s="99">
        <v>0</v>
      </c>
      <c r="N19" s="99">
        <v>0</v>
      </c>
      <c r="O19" s="99">
        <v>0</v>
      </c>
      <c r="P19" s="99">
        <v>0</v>
      </c>
      <c r="Q19" s="99">
        <v>0</v>
      </c>
      <c r="R19" s="99">
        <v>0</v>
      </c>
      <c r="S19">
        <v>53364</v>
      </c>
      <c r="T19">
        <v>1623</v>
      </c>
      <c r="U19">
        <v>340</v>
      </c>
      <c r="V19" s="99">
        <v>580</v>
      </c>
      <c r="W19" s="99">
        <v>28183</v>
      </c>
      <c r="X19" s="99">
        <v>698</v>
      </c>
      <c r="Y19" s="99">
        <v>0</v>
      </c>
      <c r="Z19" s="99">
        <v>0</v>
      </c>
      <c r="AA19" s="99">
        <v>24</v>
      </c>
      <c r="AB19" s="99">
        <v>0</v>
      </c>
      <c r="AC19" s="99">
        <v>23</v>
      </c>
      <c r="AD19" s="99">
        <v>0</v>
      </c>
    </row>
    <row r="20" spans="1:30" ht="15" x14ac:dyDescent="0.25">
      <c r="A20">
        <v>71</v>
      </c>
      <c r="B20" s="100" t="s">
        <v>156</v>
      </c>
      <c r="C20" s="99">
        <v>44611</v>
      </c>
      <c r="D20" s="99">
        <v>0</v>
      </c>
      <c r="E20" s="99">
        <v>111</v>
      </c>
      <c r="F20" s="99">
        <v>0</v>
      </c>
      <c r="G20" s="99">
        <v>0</v>
      </c>
      <c r="H20" s="99">
        <v>25958</v>
      </c>
      <c r="I20" s="99">
        <v>0</v>
      </c>
      <c r="J20">
        <v>0</v>
      </c>
      <c r="K20">
        <v>0</v>
      </c>
      <c r="L20">
        <v>0</v>
      </c>
      <c r="M20" s="99">
        <v>0</v>
      </c>
      <c r="N20" s="99">
        <v>0</v>
      </c>
      <c r="O20" s="99">
        <v>0</v>
      </c>
      <c r="P20" s="99">
        <v>0</v>
      </c>
      <c r="Q20" s="99">
        <v>0</v>
      </c>
      <c r="R20" s="99">
        <v>0</v>
      </c>
      <c r="S20">
        <v>87144</v>
      </c>
      <c r="T20">
        <v>2398</v>
      </c>
      <c r="U20">
        <v>0</v>
      </c>
      <c r="V20" s="99">
        <v>0</v>
      </c>
      <c r="W20" s="99">
        <v>51555</v>
      </c>
      <c r="X20" s="99">
        <v>696</v>
      </c>
      <c r="Y20" s="99">
        <v>0</v>
      </c>
      <c r="Z20" s="99">
        <v>221</v>
      </c>
      <c r="AA20" s="99">
        <v>0</v>
      </c>
      <c r="AB20" s="99">
        <v>0</v>
      </c>
      <c r="AC20" s="99">
        <v>0</v>
      </c>
      <c r="AD20" s="99">
        <v>0</v>
      </c>
    </row>
    <row r="21" spans="1:30" ht="15" x14ac:dyDescent="0.25">
      <c r="A21">
        <v>72</v>
      </c>
      <c r="B21" s="100" t="s">
        <v>157</v>
      </c>
      <c r="C21" s="99">
        <v>2008</v>
      </c>
      <c r="D21" s="99">
        <v>0</v>
      </c>
      <c r="E21" s="99">
        <v>0</v>
      </c>
      <c r="F21" s="99">
        <v>0</v>
      </c>
      <c r="G21" s="99">
        <v>3</v>
      </c>
      <c r="H21" s="99">
        <v>491</v>
      </c>
      <c r="I21" s="99">
        <v>0</v>
      </c>
      <c r="J21">
        <v>0</v>
      </c>
      <c r="K21">
        <v>0</v>
      </c>
      <c r="L21">
        <v>0</v>
      </c>
      <c r="M21" s="99">
        <v>0</v>
      </c>
      <c r="N21" s="99">
        <v>0</v>
      </c>
      <c r="O21" s="99">
        <v>0</v>
      </c>
      <c r="P21" s="99">
        <v>0</v>
      </c>
      <c r="Q21" s="99">
        <v>0</v>
      </c>
      <c r="R21" s="99">
        <v>0</v>
      </c>
      <c r="S21">
        <v>8355</v>
      </c>
      <c r="T21">
        <v>415</v>
      </c>
      <c r="U21">
        <v>0</v>
      </c>
      <c r="V21" s="99">
        <v>11</v>
      </c>
      <c r="W21" s="99">
        <v>4483</v>
      </c>
      <c r="X21" s="99">
        <v>63</v>
      </c>
      <c r="Y21" s="99">
        <v>0</v>
      </c>
      <c r="Z21" s="99">
        <v>13</v>
      </c>
      <c r="AA21" s="99">
        <v>0</v>
      </c>
      <c r="AB21" s="99">
        <v>0</v>
      </c>
      <c r="AC21" s="99">
        <v>0</v>
      </c>
      <c r="AD21" s="99">
        <v>0</v>
      </c>
    </row>
    <row r="22" spans="1:30" ht="15" x14ac:dyDescent="0.25">
      <c r="A22">
        <v>74</v>
      </c>
      <c r="B22" s="100" t="s">
        <v>158</v>
      </c>
      <c r="C22" s="99">
        <v>1064</v>
      </c>
      <c r="D22" s="99">
        <v>0</v>
      </c>
      <c r="E22" s="99">
        <v>0</v>
      </c>
      <c r="F22" s="99">
        <v>150</v>
      </c>
      <c r="G22" s="99">
        <v>0</v>
      </c>
      <c r="H22" s="99">
        <v>8</v>
      </c>
      <c r="I22" s="99">
        <v>0</v>
      </c>
      <c r="J22">
        <v>0</v>
      </c>
      <c r="K22">
        <v>0</v>
      </c>
      <c r="L22">
        <v>0</v>
      </c>
      <c r="M22" s="99">
        <v>0</v>
      </c>
      <c r="N22" s="99">
        <v>0</v>
      </c>
      <c r="O22" s="99">
        <v>0</v>
      </c>
      <c r="P22" s="99">
        <v>0</v>
      </c>
      <c r="Q22" s="99">
        <v>0</v>
      </c>
      <c r="R22" s="99">
        <v>0</v>
      </c>
      <c r="S22">
        <v>8553</v>
      </c>
      <c r="T22">
        <v>121</v>
      </c>
      <c r="U22">
        <v>150</v>
      </c>
      <c r="V22" s="99">
        <v>3</v>
      </c>
      <c r="W22" s="99">
        <v>4996</v>
      </c>
      <c r="X22" s="99">
        <v>106</v>
      </c>
      <c r="Y22" s="99">
        <v>0</v>
      </c>
      <c r="Z22" s="99">
        <v>0</v>
      </c>
      <c r="AA22" s="99">
        <v>16</v>
      </c>
      <c r="AB22" s="99">
        <v>0</v>
      </c>
      <c r="AC22" s="99">
        <v>0</v>
      </c>
      <c r="AD22" s="99">
        <v>0</v>
      </c>
    </row>
    <row r="23" spans="1:30" ht="15" x14ac:dyDescent="0.25">
      <c r="A23">
        <v>75</v>
      </c>
      <c r="B23" s="100" t="s">
        <v>159</v>
      </c>
      <c r="C23" s="99">
        <v>46752</v>
      </c>
      <c r="D23" s="99">
        <v>0</v>
      </c>
      <c r="E23" s="99">
        <v>529</v>
      </c>
      <c r="F23" s="99">
        <v>3466</v>
      </c>
      <c r="G23" s="99">
        <v>342</v>
      </c>
      <c r="H23" s="99">
        <v>8538</v>
      </c>
      <c r="I23" s="99">
        <v>0</v>
      </c>
      <c r="J23">
        <v>0</v>
      </c>
      <c r="K23">
        <v>0</v>
      </c>
      <c r="L23">
        <v>0</v>
      </c>
      <c r="M23" s="99">
        <v>0</v>
      </c>
      <c r="N23" s="99">
        <v>0</v>
      </c>
      <c r="O23" s="99">
        <v>0</v>
      </c>
      <c r="P23" s="99">
        <v>0</v>
      </c>
      <c r="Q23" s="99">
        <v>314</v>
      </c>
      <c r="R23" s="99">
        <v>0</v>
      </c>
      <c r="S23">
        <v>155207</v>
      </c>
      <c r="T23">
        <v>9506</v>
      </c>
      <c r="U23">
        <v>3466</v>
      </c>
      <c r="V23" s="99">
        <v>2241</v>
      </c>
      <c r="W23" s="99">
        <v>82879</v>
      </c>
      <c r="X23" s="99">
        <v>2665</v>
      </c>
      <c r="Y23" s="99">
        <v>0</v>
      </c>
      <c r="Z23" s="99">
        <v>209</v>
      </c>
      <c r="AA23" s="99">
        <v>0</v>
      </c>
      <c r="AB23" s="99">
        <v>9</v>
      </c>
      <c r="AC23" s="99">
        <v>1456</v>
      </c>
      <c r="AD23" s="99">
        <v>0</v>
      </c>
    </row>
    <row r="24" spans="1:30" ht="15" x14ac:dyDescent="0.25">
      <c r="A24">
        <v>77</v>
      </c>
      <c r="B24" s="100" t="s">
        <v>160</v>
      </c>
      <c r="C24" s="99">
        <v>13120</v>
      </c>
      <c r="D24" s="99">
        <v>0</v>
      </c>
      <c r="E24" s="99">
        <v>0</v>
      </c>
      <c r="F24" s="99">
        <v>889</v>
      </c>
      <c r="G24" s="99">
        <v>44</v>
      </c>
      <c r="H24" s="99">
        <v>2673</v>
      </c>
      <c r="I24" s="99">
        <v>0</v>
      </c>
      <c r="J24">
        <v>0</v>
      </c>
      <c r="K24">
        <v>0</v>
      </c>
      <c r="L24">
        <v>0</v>
      </c>
      <c r="M24" s="99">
        <v>0</v>
      </c>
      <c r="N24" s="99">
        <v>0</v>
      </c>
      <c r="O24" s="99">
        <v>0</v>
      </c>
      <c r="P24" s="99">
        <v>0</v>
      </c>
      <c r="Q24" s="99">
        <v>0</v>
      </c>
      <c r="R24" s="99">
        <v>0</v>
      </c>
      <c r="S24">
        <v>46066</v>
      </c>
      <c r="T24">
        <v>1634</v>
      </c>
      <c r="U24">
        <v>880</v>
      </c>
      <c r="V24" s="99">
        <v>209</v>
      </c>
      <c r="W24" s="99">
        <v>24643</v>
      </c>
      <c r="X24" s="99">
        <v>403</v>
      </c>
      <c r="Y24" s="99">
        <v>0</v>
      </c>
      <c r="Z24" s="99">
        <v>64</v>
      </c>
      <c r="AA24" s="99">
        <v>0</v>
      </c>
      <c r="AB24" s="99">
        <v>3</v>
      </c>
      <c r="AC24" s="99">
        <v>301</v>
      </c>
      <c r="AD24" s="99">
        <v>11</v>
      </c>
    </row>
    <row r="25" spans="1:30" ht="15" x14ac:dyDescent="0.25">
      <c r="A25">
        <v>78</v>
      </c>
      <c r="B25" s="100" t="s">
        <v>161</v>
      </c>
      <c r="C25" s="99">
        <v>21398</v>
      </c>
      <c r="D25" s="99">
        <v>0</v>
      </c>
      <c r="E25" s="99">
        <v>428</v>
      </c>
      <c r="F25" s="99">
        <v>0</v>
      </c>
      <c r="G25" s="99">
        <v>276</v>
      </c>
      <c r="H25" s="99">
        <v>5369</v>
      </c>
      <c r="I25" s="99">
        <v>0</v>
      </c>
      <c r="J25">
        <v>0</v>
      </c>
      <c r="K25">
        <v>0</v>
      </c>
      <c r="L25">
        <v>0</v>
      </c>
      <c r="M25" s="99">
        <v>0</v>
      </c>
      <c r="N25" s="99">
        <v>0</v>
      </c>
      <c r="O25" s="99">
        <v>0</v>
      </c>
      <c r="P25" s="99">
        <v>0</v>
      </c>
      <c r="Q25" s="99">
        <v>0</v>
      </c>
      <c r="R25" s="99">
        <v>0</v>
      </c>
      <c r="S25">
        <v>73317</v>
      </c>
      <c r="T25">
        <v>3745</v>
      </c>
      <c r="U25">
        <v>0</v>
      </c>
      <c r="V25" s="99">
        <v>1011</v>
      </c>
      <c r="W25" s="99">
        <v>40956</v>
      </c>
      <c r="X25" s="99">
        <v>683</v>
      </c>
      <c r="Y25" s="99">
        <v>0</v>
      </c>
      <c r="Z25" s="99">
        <v>0</v>
      </c>
      <c r="AA25" s="99">
        <v>0</v>
      </c>
      <c r="AB25" s="99">
        <v>0</v>
      </c>
      <c r="AC25" s="99">
        <v>0</v>
      </c>
      <c r="AD25" s="99">
        <v>0</v>
      </c>
    </row>
    <row r="26" spans="1:30" ht="15" x14ac:dyDescent="0.25">
      <c r="A26">
        <v>79</v>
      </c>
      <c r="B26" s="100" t="s">
        <v>162</v>
      </c>
      <c r="C26" s="99">
        <v>11406</v>
      </c>
      <c r="D26" s="99">
        <v>0</v>
      </c>
      <c r="E26" s="99">
        <v>14</v>
      </c>
      <c r="F26" s="99">
        <v>604</v>
      </c>
      <c r="G26" s="99">
        <v>131</v>
      </c>
      <c r="H26" s="99">
        <v>1987</v>
      </c>
      <c r="I26" s="99">
        <v>0</v>
      </c>
      <c r="J26">
        <v>0</v>
      </c>
      <c r="K26">
        <v>0</v>
      </c>
      <c r="L26">
        <v>0</v>
      </c>
      <c r="M26" s="99">
        <v>0</v>
      </c>
      <c r="N26" s="99">
        <v>0</v>
      </c>
      <c r="O26" s="99">
        <v>0</v>
      </c>
      <c r="P26" s="99">
        <v>0</v>
      </c>
      <c r="Q26" s="99">
        <v>61</v>
      </c>
      <c r="R26" s="99">
        <v>0</v>
      </c>
      <c r="S26">
        <v>53136</v>
      </c>
      <c r="T26">
        <v>2180</v>
      </c>
      <c r="U26">
        <v>604</v>
      </c>
      <c r="V26" s="99">
        <v>614</v>
      </c>
      <c r="W26" s="99">
        <v>30311</v>
      </c>
      <c r="X26" s="99">
        <v>777</v>
      </c>
      <c r="Y26" s="99">
        <v>0</v>
      </c>
      <c r="Z26" s="99">
        <v>0</v>
      </c>
      <c r="AA26" s="99">
        <v>0</v>
      </c>
      <c r="AB26" s="99">
        <v>10</v>
      </c>
      <c r="AC26" s="99">
        <v>186</v>
      </c>
      <c r="AD26" s="99">
        <v>1</v>
      </c>
    </row>
    <row r="27" spans="1:30" ht="15" x14ac:dyDescent="0.25">
      <c r="A27">
        <v>81</v>
      </c>
      <c r="B27" s="100" t="s">
        <v>163</v>
      </c>
      <c r="C27" s="99">
        <v>4668</v>
      </c>
      <c r="D27" s="99">
        <v>0</v>
      </c>
      <c r="E27" s="99">
        <v>47</v>
      </c>
      <c r="F27" s="99">
        <v>311</v>
      </c>
      <c r="G27" s="99">
        <v>0</v>
      </c>
      <c r="H27" s="99">
        <v>17</v>
      </c>
      <c r="I27" s="99">
        <v>0</v>
      </c>
      <c r="J27">
        <v>0</v>
      </c>
      <c r="K27">
        <v>0</v>
      </c>
      <c r="L27">
        <v>0</v>
      </c>
      <c r="M27" s="99">
        <v>0</v>
      </c>
      <c r="N27" s="99">
        <v>0</v>
      </c>
      <c r="O27" s="99">
        <v>0</v>
      </c>
      <c r="P27" s="99">
        <v>0</v>
      </c>
      <c r="Q27" s="99">
        <v>0</v>
      </c>
      <c r="R27" s="99">
        <v>0</v>
      </c>
      <c r="S27">
        <v>22222</v>
      </c>
      <c r="T27">
        <v>556</v>
      </c>
      <c r="U27">
        <v>311</v>
      </c>
      <c r="V27" s="99">
        <v>331</v>
      </c>
      <c r="W27" s="99">
        <v>12750</v>
      </c>
      <c r="X27" s="99">
        <v>272</v>
      </c>
      <c r="Y27" s="99">
        <v>0</v>
      </c>
      <c r="Z27" s="99">
        <v>0</v>
      </c>
      <c r="AA27" s="99">
        <v>0</v>
      </c>
      <c r="AB27" s="99">
        <v>0</v>
      </c>
      <c r="AC27" s="99">
        <v>0</v>
      </c>
      <c r="AD27" s="99">
        <v>1</v>
      </c>
    </row>
    <row r="28" spans="1:30" ht="15" x14ac:dyDescent="0.25">
      <c r="A28">
        <v>82</v>
      </c>
      <c r="B28" s="100" t="s">
        <v>164</v>
      </c>
      <c r="C28" s="99">
        <v>10551</v>
      </c>
      <c r="D28" s="99">
        <v>0</v>
      </c>
      <c r="E28" s="99">
        <v>15</v>
      </c>
      <c r="F28" s="99">
        <v>0</v>
      </c>
      <c r="G28" s="99">
        <v>113</v>
      </c>
      <c r="H28" s="99">
        <v>2428</v>
      </c>
      <c r="I28" s="99">
        <v>0</v>
      </c>
      <c r="J28">
        <v>0</v>
      </c>
      <c r="K28">
        <v>0</v>
      </c>
      <c r="L28">
        <v>0</v>
      </c>
      <c r="M28" s="99">
        <v>0</v>
      </c>
      <c r="N28" s="99">
        <v>0</v>
      </c>
      <c r="O28" s="99">
        <v>0</v>
      </c>
      <c r="P28" s="99">
        <v>0</v>
      </c>
      <c r="Q28" s="99">
        <v>0</v>
      </c>
      <c r="R28" s="99">
        <v>0</v>
      </c>
      <c r="S28">
        <v>53612</v>
      </c>
      <c r="T28">
        <v>1549</v>
      </c>
      <c r="U28">
        <v>0</v>
      </c>
      <c r="V28" s="99">
        <v>636</v>
      </c>
      <c r="W28" s="99">
        <v>27360</v>
      </c>
      <c r="X28" s="99">
        <v>600</v>
      </c>
      <c r="Y28" s="99">
        <v>3</v>
      </c>
      <c r="Z28" s="99">
        <v>81</v>
      </c>
      <c r="AA28" s="99">
        <v>0</v>
      </c>
      <c r="AB28" s="99">
        <v>0</v>
      </c>
      <c r="AC28" s="99">
        <v>0</v>
      </c>
      <c r="AD28" s="99">
        <v>0</v>
      </c>
    </row>
    <row r="29" spans="1:30" ht="15" x14ac:dyDescent="0.25">
      <c r="A29">
        <v>86</v>
      </c>
      <c r="B29" s="100" t="s">
        <v>165</v>
      </c>
      <c r="C29" s="99">
        <v>10739</v>
      </c>
      <c r="D29" s="99">
        <v>0</v>
      </c>
      <c r="E29" s="99">
        <v>33</v>
      </c>
      <c r="F29" s="99">
        <v>1071</v>
      </c>
      <c r="G29" s="99">
        <v>46</v>
      </c>
      <c r="H29" s="99">
        <v>2517</v>
      </c>
      <c r="I29" s="99">
        <v>0</v>
      </c>
      <c r="J29">
        <v>0</v>
      </c>
      <c r="K29">
        <v>0</v>
      </c>
      <c r="L29">
        <v>0</v>
      </c>
      <c r="M29" s="99">
        <v>0</v>
      </c>
      <c r="N29" s="99">
        <v>0</v>
      </c>
      <c r="O29" s="99">
        <v>0</v>
      </c>
      <c r="P29" s="99">
        <v>0</v>
      </c>
      <c r="Q29" s="99">
        <v>0</v>
      </c>
      <c r="R29" s="99">
        <v>0</v>
      </c>
      <c r="S29">
        <v>51953</v>
      </c>
      <c r="T29">
        <v>2386</v>
      </c>
      <c r="U29">
        <v>1071</v>
      </c>
      <c r="V29" s="99">
        <v>88</v>
      </c>
      <c r="W29" s="99">
        <v>28161</v>
      </c>
      <c r="X29" s="99">
        <v>547</v>
      </c>
      <c r="Y29" s="99">
        <v>0</v>
      </c>
      <c r="Z29" s="99">
        <v>14</v>
      </c>
      <c r="AA29" s="99">
        <v>16</v>
      </c>
      <c r="AB29" s="99">
        <v>3</v>
      </c>
      <c r="AC29" s="99">
        <v>381</v>
      </c>
      <c r="AD29" s="99">
        <v>15</v>
      </c>
    </row>
    <row r="30" spans="1:30" ht="15" x14ac:dyDescent="0.25">
      <c r="A30">
        <v>90</v>
      </c>
      <c r="B30" s="100" t="s">
        <v>167</v>
      </c>
      <c r="C30" s="99">
        <v>7939</v>
      </c>
      <c r="D30" s="99">
        <v>0</v>
      </c>
      <c r="E30" s="99">
        <v>0</v>
      </c>
      <c r="F30" s="99">
        <v>565</v>
      </c>
      <c r="G30" s="99">
        <v>48</v>
      </c>
      <c r="H30" s="99">
        <v>2132</v>
      </c>
      <c r="I30" s="99">
        <v>0</v>
      </c>
      <c r="J30">
        <v>0</v>
      </c>
      <c r="K30">
        <v>0</v>
      </c>
      <c r="L30">
        <v>0</v>
      </c>
      <c r="M30" s="99">
        <v>0</v>
      </c>
      <c r="N30" s="99">
        <v>0</v>
      </c>
      <c r="O30" s="99">
        <v>0</v>
      </c>
      <c r="P30" s="99">
        <v>0</v>
      </c>
      <c r="Q30" s="99">
        <v>0</v>
      </c>
      <c r="R30" s="99">
        <v>0</v>
      </c>
      <c r="S30">
        <v>32301</v>
      </c>
      <c r="T30">
        <v>1677</v>
      </c>
      <c r="U30">
        <v>565</v>
      </c>
      <c r="V30" s="99">
        <v>236</v>
      </c>
      <c r="W30" s="99">
        <v>20120</v>
      </c>
      <c r="X30" s="99">
        <v>358</v>
      </c>
      <c r="Y30" s="99">
        <v>0</v>
      </c>
      <c r="Z30" s="99">
        <v>55</v>
      </c>
      <c r="AA30" s="99">
        <v>0</v>
      </c>
      <c r="AB30" s="99">
        <v>8</v>
      </c>
      <c r="AC30" s="99">
        <v>246</v>
      </c>
      <c r="AD30" s="99">
        <v>0</v>
      </c>
    </row>
    <row r="31" spans="1:30" ht="15" x14ac:dyDescent="0.25">
      <c r="A31">
        <v>91</v>
      </c>
      <c r="B31" s="100" t="s">
        <v>168</v>
      </c>
      <c r="C31" s="99">
        <v>1937815</v>
      </c>
      <c r="D31" s="99">
        <v>0</v>
      </c>
      <c r="E31" s="99">
        <v>114805</v>
      </c>
      <c r="F31" s="99">
        <v>0</v>
      </c>
      <c r="G31" s="99">
        <v>738</v>
      </c>
      <c r="H31" s="99">
        <v>306975</v>
      </c>
      <c r="I31" s="99">
        <v>14943</v>
      </c>
      <c r="J31">
        <v>0</v>
      </c>
      <c r="K31">
        <v>0</v>
      </c>
      <c r="L31">
        <v>0</v>
      </c>
      <c r="M31" s="99">
        <v>0</v>
      </c>
      <c r="N31" s="99">
        <v>0</v>
      </c>
      <c r="O31" s="99">
        <v>0</v>
      </c>
      <c r="P31" s="99">
        <v>0</v>
      </c>
      <c r="Q31" s="99">
        <v>0</v>
      </c>
      <c r="R31" s="99">
        <v>0</v>
      </c>
      <c r="S31">
        <v>5163159</v>
      </c>
      <c r="T31">
        <v>385620</v>
      </c>
      <c r="U31">
        <v>0</v>
      </c>
      <c r="V31" s="99">
        <v>86650</v>
      </c>
      <c r="W31" s="99">
        <v>2310024</v>
      </c>
      <c r="X31" s="99">
        <v>51826</v>
      </c>
      <c r="Y31" s="99">
        <v>61</v>
      </c>
      <c r="Z31" s="99">
        <v>6310</v>
      </c>
      <c r="AA31" s="99">
        <v>1629</v>
      </c>
      <c r="AB31" s="99">
        <v>0</v>
      </c>
      <c r="AC31" s="99">
        <v>0</v>
      </c>
      <c r="AD31" s="99">
        <v>0</v>
      </c>
    </row>
    <row r="32" spans="1:30" ht="15" x14ac:dyDescent="0.25">
      <c r="A32">
        <v>92</v>
      </c>
      <c r="B32" s="100" t="s">
        <v>410</v>
      </c>
      <c r="C32" s="99">
        <v>408106</v>
      </c>
      <c r="D32" s="99">
        <v>0</v>
      </c>
      <c r="E32" s="99">
        <v>109842</v>
      </c>
      <c r="F32" s="99">
        <v>36951</v>
      </c>
      <c r="G32" s="99">
        <v>747</v>
      </c>
      <c r="H32" s="99">
        <v>94044</v>
      </c>
      <c r="I32" s="99">
        <v>17616</v>
      </c>
      <c r="J32">
        <v>0</v>
      </c>
      <c r="K32">
        <v>0</v>
      </c>
      <c r="L32">
        <v>0</v>
      </c>
      <c r="M32" s="99">
        <v>0</v>
      </c>
      <c r="N32" s="99">
        <v>762</v>
      </c>
      <c r="O32" s="99">
        <v>0</v>
      </c>
      <c r="P32" s="99">
        <v>0</v>
      </c>
      <c r="Q32" s="99">
        <v>0</v>
      </c>
      <c r="R32" s="99">
        <v>0</v>
      </c>
      <c r="S32">
        <v>1533544</v>
      </c>
      <c r="T32">
        <v>98084</v>
      </c>
      <c r="U32">
        <v>36953</v>
      </c>
      <c r="V32" s="99">
        <v>21495</v>
      </c>
      <c r="W32" s="99">
        <v>697547</v>
      </c>
      <c r="X32" s="99">
        <v>24864</v>
      </c>
      <c r="Y32" s="99">
        <v>0</v>
      </c>
      <c r="Z32" s="99">
        <v>853</v>
      </c>
      <c r="AA32" s="99">
        <v>1748</v>
      </c>
      <c r="AB32" s="99">
        <v>849</v>
      </c>
      <c r="AC32" s="99">
        <v>13518</v>
      </c>
      <c r="AD32" s="99">
        <v>0</v>
      </c>
    </row>
    <row r="33" spans="1:30" ht="15" x14ac:dyDescent="0.25">
      <c r="A33">
        <v>97</v>
      </c>
      <c r="B33" s="100" t="s">
        <v>169</v>
      </c>
      <c r="C33" s="99">
        <v>3739</v>
      </c>
      <c r="D33" s="99">
        <v>0</v>
      </c>
      <c r="E33" s="99">
        <v>0</v>
      </c>
      <c r="F33" s="99">
        <v>0</v>
      </c>
      <c r="G33" s="99">
        <v>0</v>
      </c>
      <c r="H33" s="99">
        <v>264</v>
      </c>
      <c r="I33" s="99">
        <v>0</v>
      </c>
      <c r="J33">
        <v>0</v>
      </c>
      <c r="K33">
        <v>0</v>
      </c>
      <c r="L33">
        <v>0</v>
      </c>
      <c r="M33" s="99">
        <v>0</v>
      </c>
      <c r="N33" s="99">
        <v>0</v>
      </c>
      <c r="O33" s="99">
        <v>0</v>
      </c>
      <c r="P33" s="99">
        <v>0</v>
      </c>
      <c r="Q33" s="99">
        <v>0</v>
      </c>
      <c r="R33" s="99">
        <v>0</v>
      </c>
      <c r="S33">
        <v>17256</v>
      </c>
      <c r="T33">
        <v>816</v>
      </c>
      <c r="U33">
        <v>0</v>
      </c>
      <c r="V33" s="99">
        <v>175</v>
      </c>
      <c r="W33" s="99">
        <v>9214</v>
      </c>
      <c r="X33" s="99">
        <v>199</v>
      </c>
      <c r="Y33" s="99">
        <v>0</v>
      </c>
      <c r="Z33" s="99">
        <v>0</v>
      </c>
      <c r="AA33" s="99">
        <v>0</v>
      </c>
      <c r="AB33" s="99">
        <v>0</v>
      </c>
      <c r="AC33" s="99">
        <v>0</v>
      </c>
      <c r="AD33" s="99">
        <v>0</v>
      </c>
    </row>
    <row r="34" spans="1:30" ht="15" x14ac:dyDescent="0.25">
      <c r="A34">
        <v>98</v>
      </c>
      <c r="B34" s="100" t="s">
        <v>170</v>
      </c>
      <c r="C34" s="99">
        <v>113663</v>
      </c>
      <c r="D34" s="99">
        <v>0</v>
      </c>
      <c r="E34" s="99">
        <v>160</v>
      </c>
      <c r="F34" s="99">
        <v>1823</v>
      </c>
      <c r="G34" s="99">
        <v>1287</v>
      </c>
      <c r="H34" s="99">
        <v>78115</v>
      </c>
      <c r="I34" s="99">
        <v>0</v>
      </c>
      <c r="J34">
        <v>0</v>
      </c>
      <c r="K34">
        <v>0</v>
      </c>
      <c r="L34">
        <v>0</v>
      </c>
      <c r="M34" s="99">
        <v>0</v>
      </c>
      <c r="N34" s="99">
        <v>0</v>
      </c>
      <c r="O34" s="99">
        <v>0</v>
      </c>
      <c r="P34" s="99">
        <v>0</v>
      </c>
      <c r="Q34" s="99">
        <v>4</v>
      </c>
      <c r="R34" s="99">
        <v>0</v>
      </c>
      <c r="S34">
        <v>218411</v>
      </c>
      <c r="T34">
        <v>9859</v>
      </c>
      <c r="U34">
        <v>1823</v>
      </c>
      <c r="V34" s="99">
        <v>3388</v>
      </c>
      <c r="W34" s="99">
        <v>142305</v>
      </c>
      <c r="X34" s="99">
        <v>1933</v>
      </c>
      <c r="Y34" s="99">
        <v>3</v>
      </c>
      <c r="Z34" s="99">
        <v>99</v>
      </c>
      <c r="AA34" s="99">
        <v>0</v>
      </c>
      <c r="AB34" s="99">
        <v>0</v>
      </c>
      <c r="AC34" s="99">
        <v>4</v>
      </c>
      <c r="AD34" s="99">
        <v>0</v>
      </c>
    </row>
    <row r="35" spans="1:30" ht="15" x14ac:dyDescent="0.25">
      <c r="A35">
        <v>99</v>
      </c>
      <c r="B35" s="100" t="s">
        <v>171</v>
      </c>
      <c r="C35" s="99">
        <v>8100</v>
      </c>
      <c r="D35" s="99">
        <v>0</v>
      </c>
      <c r="E35" s="99">
        <v>0</v>
      </c>
      <c r="F35" s="99">
        <v>189</v>
      </c>
      <c r="G35" s="99">
        <v>0</v>
      </c>
      <c r="H35" s="99">
        <v>64</v>
      </c>
      <c r="I35" s="99">
        <v>74</v>
      </c>
      <c r="J35">
        <v>0</v>
      </c>
      <c r="K35">
        <v>0</v>
      </c>
      <c r="L35">
        <v>0</v>
      </c>
      <c r="M35" s="99">
        <v>0</v>
      </c>
      <c r="N35" s="99">
        <v>0</v>
      </c>
      <c r="O35" s="99">
        <v>0</v>
      </c>
      <c r="P35" s="99">
        <v>0</v>
      </c>
      <c r="Q35" s="99">
        <v>0</v>
      </c>
      <c r="R35" s="99">
        <v>0</v>
      </c>
      <c r="S35">
        <v>18043</v>
      </c>
      <c r="T35">
        <v>354</v>
      </c>
      <c r="U35">
        <v>189</v>
      </c>
      <c r="V35" s="99">
        <v>63</v>
      </c>
      <c r="W35" s="99">
        <v>6650</v>
      </c>
      <c r="X35" s="99">
        <v>246</v>
      </c>
      <c r="Y35" s="99">
        <v>0</v>
      </c>
      <c r="Z35" s="99">
        <v>0</v>
      </c>
      <c r="AA35" s="99">
        <v>4</v>
      </c>
      <c r="AB35" s="99">
        <v>0</v>
      </c>
      <c r="AC35" s="99">
        <v>2</v>
      </c>
      <c r="AD35" s="99">
        <v>1</v>
      </c>
    </row>
    <row r="36" spans="1:30" ht="15" x14ac:dyDescent="0.25">
      <c r="A36">
        <v>102</v>
      </c>
      <c r="B36" s="100" t="s">
        <v>172</v>
      </c>
      <c r="C36" s="99">
        <v>23929</v>
      </c>
      <c r="D36" s="99">
        <v>0</v>
      </c>
      <c r="E36" s="99">
        <v>3</v>
      </c>
      <c r="F36" s="99">
        <v>2404</v>
      </c>
      <c r="G36" s="99">
        <v>366</v>
      </c>
      <c r="H36" s="99">
        <v>5181</v>
      </c>
      <c r="I36" s="99">
        <v>0</v>
      </c>
      <c r="J36">
        <v>0</v>
      </c>
      <c r="K36">
        <v>0</v>
      </c>
      <c r="L36">
        <v>0</v>
      </c>
      <c r="M36" s="99">
        <v>0</v>
      </c>
      <c r="N36" s="99">
        <v>0</v>
      </c>
      <c r="O36" s="99">
        <v>0</v>
      </c>
      <c r="P36" s="99">
        <v>0</v>
      </c>
      <c r="Q36" s="99">
        <v>0</v>
      </c>
      <c r="R36" s="99">
        <v>0</v>
      </c>
      <c r="S36">
        <v>77139</v>
      </c>
      <c r="T36">
        <v>3476</v>
      </c>
      <c r="U36">
        <v>2403</v>
      </c>
      <c r="V36" s="99">
        <v>989</v>
      </c>
      <c r="W36" s="99">
        <v>38903</v>
      </c>
      <c r="X36" s="99">
        <v>1095</v>
      </c>
      <c r="Y36" s="99">
        <v>3</v>
      </c>
      <c r="Z36" s="99">
        <v>90</v>
      </c>
      <c r="AA36" s="99">
        <v>0</v>
      </c>
      <c r="AB36" s="99">
        <v>31</v>
      </c>
      <c r="AC36" s="99">
        <v>1053</v>
      </c>
      <c r="AD36" s="99">
        <v>53</v>
      </c>
    </row>
    <row r="37" spans="1:30" ht="15" x14ac:dyDescent="0.25">
      <c r="A37">
        <v>103</v>
      </c>
      <c r="B37" s="100" t="s">
        <v>173</v>
      </c>
      <c r="C37" s="99">
        <v>2426</v>
      </c>
      <c r="D37" s="99">
        <v>0</v>
      </c>
      <c r="E37" s="99">
        <v>0</v>
      </c>
      <c r="F37" s="99">
        <v>330</v>
      </c>
      <c r="G37" s="99">
        <v>22</v>
      </c>
      <c r="H37" s="99">
        <v>70</v>
      </c>
      <c r="I37" s="99">
        <v>0</v>
      </c>
      <c r="J37">
        <v>0</v>
      </c>
      <c r="K37">
        <v>0</v>
      </c>
      <c r="L37">
        <v>0</v>
      </c>
      <c r="M37" s="99">
        <v>0</v>
      </c>
      <c r="N37" s="99">
        <v>0</v>
      </c>
      <c r="O37" s="99">
        <v>0</v>
      </c>
      <c r="P37" s="99">
        <v>0</v>
      </c>
      <c r="Q37" s="99">
        <v>0</v>
      </c>
      <c r="R37" s="99">
        <v>0</v>
      </c>
      <c r="S37">
        <v>15453</v>
      </c>
      <c r="T37">
        <v>424</v>
      </c>
      <c r="U37">
        <v>332</v>
      </c>
      <c r="V37" s="99">
        <v>145</v>
      </c>
      <c r="W37" s="99">
        <v>8249</v>
      </c>
      <c r="X37" s="99">
        <v>195</v>
      </c>
      <c r="Y37" s="99">
        <v>0</v>
      </c>
      <c r="Z37" s="99">
        <v>2</v>
      </c>
      <c r="AA37" s="99">
        <v>0</v>
      </c>
      <c r="AB37" s="99">
        <v>0</v>
      </c>
      <c r="AC37" s="99">
        <v>0</v>
      </c>
      <c r="AD37" s="99">
        <v>0</v>
      </c>
    </row>
    <row r="38" spans="1:30" ht="15" x14ac:dyDescent="0.25">
      <c r="A38">
        <v>105</v>
      </c>
      <c r="B38" s="100" t="s">
        <v>174</v>
      </c>
      <c r="C38" s="99">
        <v>3457</v>
      </c>
      <c r="D38" s="99">
        <v>0</v>
      </c>
      <c r="E38" s="99">
        <v>0</v>
      </c>
      <c r="F38" s="99">
        <v>77</v>
      </c>
      <c r="G38" s="99">
        <v>0</v>
      </c>
      <c r="H38" s="99">
        <v>15</v>
      </c>
      <c r="I38" s="99">
        <v>0</v>
      </c>
      <c r="J38">
        <v>0</v>
      </c>
      <c r="K38">
        <v>0</v>
      </c>
      <c r="L38">
        <v>0</v>
      </c>
      <c r="M38" s="99">
        <v>0</v>
      </c>
      <c r="N38" s="99">
        <v>0</v>
      </c>
      <c r="O38" s="99">
        <v>0</v>
      </c>
      <c r="P38" s="99">
        <v>0</v>
      </c>
      <c r="Q38" s="99">
        <v>0</v>
      </c>
      <c r="R38" s="99">
        <v>0</v>
      </c>
      <c r="S38">
        <v>21316</v>
      </c>
      <c r="T38">
        <v>535</v>
      </c>
      <c r="U38">
        <v>77</v>
      </c>
      <c r="V38" s="99">
        <v>36</v>
      </c>
      <c r="W38" s="99">
        <v>12074</v>
      </c>
      <c r="X38" s="99">
        <v>212</v>
      </c>
      <c r="Y38" s="99">
        <v>0</v>
      </c>
      <c r="Z38" s="99">
        <v>0</v>
      </c>
      <c r="AA38" s="99">
        <v>0</v>
      </c>
      <c r="AB38" s="99">
        <v>0</v>
      </c>
      <c r="AC38" s="99">
        <v>0</v>
      </c>
      <c r="AD38" s="99">
        <v>0</v>
      </c>
    </row>
    <row r="39" spans="1:30" ht="15" x14ac:dyDescent="0.25">
      <c r="A39">
        <v>106</v>
      </c>
      <c r="B39" s="100" t="s">
        <v>175</v>
      </c>
      <c r="C39" s="99">
        <v>92160</v>
      </c>
      <c r="D39" s="99">
        <v>0</v>
      </c>
      <c r="E39" s="99">
        <v>7527</v>
      </c>
      <c r="F39" s="99">
        <v>16567</v>
      </c>
      <c r="G39" s="99">
        <v>620</v>
      </c>
      <c r="H39" s="99">
        <v>22892</v>
      </c>
      <c r="I39" s="99">
        <v>10</v>
      </c>
      <c r="J39">
        <v>0</v>
      </c>
      <c r="K39">
        <v>0</v>
      </c>
      <c r="L39">
        <v>0</v>
      </c>
      <c r="M39" s="99">
        <v>0</v>
      </c>
      <c r="N39" s="99">
        <v>0</v>
      </c>
      <c r="O39" s="99">
        <v>0</v>
      </c>
      <c r="P39" s="99">
        <v>343</v>
      </c>
      <c r="Q39" s="99">
        <v>7242</v>
      </c>
      <c r="R39" s="99">
        <v>169</v>
      </c>
      <c r="S39">
        <v>325758</v>
      </c>
      <c r="T39">
        <v>19721</v>
      </c>
      <c r="U39">
        <v>16567</v>
      </c>
      <c r="V39" s="99">
        <v>5281</v>
      </c>
      <c r="W39" s="99">
        <v>168534</v>
      </c>
      <c r="X39" s="99">
        <v>3571</v>
      </c>
      <c r="Y39" s="99">
        <v>0</v>
      </c>
      <c r="Z39" s="99">
        <v>197</v>
      </c>
      <c r="AA39" s="99">
        <v>3</v>
      </c>
      <c r="AB39" s="99">
        <v>471</v>
      </c>
      <c r="AC39" s="99">
        <v>8591</v>
      </c>
      <c r="AD39" s="99">
        <v>12</v>
      </c>
    </row>
    <row r="40" spans="1:30" ht="15" x14ac:dyDescent="0.25">
      <c r="A40">
        <v>108</v>
      </c>
      <c r="B40" s="100" t="s">
        <v>176</v>
      </c>
      <c r="C40" s="99">
        <v>19201</v>
      </c>
      <c r="D40" s="99">
        <v>0</v>
      </c>
      <c r="E40" s="99">
        <v>138</v>
      </c>
      <c r="F40" s="99">
        <v>0</v>
      </c>
      <c r="G40" s="99">
        <v>193</v>
      </c>
      <c r="H40" s="99">
        <v>6389</v>
      </c>
      <c r="I40" s="99">
        <v>0</v>
      </c>
      <c r="J40">
        <v>0</v>
      </c>
      <c r="K40">
        <v>0</v>
      </c>
      <c r="L40">
        <v>0</v>
      </c>
      <c r="M40" s="99">
        <v>0</v>
      </c>
      <c r="N40" s="99">
        <v>0</v>
      </c>
      <c r="O40" s="99">
        <v>0</v>
      </c>
      <c r="P40" s="99">
        <v>0</v>
      </c>
      <c r="Q40" s="99">
        <v>0</v>
      </c>
      <c r="R40" s="99">
        <v>0</v>
      </c>
      <c r="S40">
        <v>74720</v>
      </c>
      <c r="T40">
        <v>3629</v>
      </c>
      <c r="U40">
        <v>0</v>
      </c>
      <c r="V40" s="99">
        <v>1054</v>
      </c>
      <c r="W40" s="99">
        <v>39211</v>
      </c>
      <c r="X40" s="99">
        <v>717</v>
      </c>
      <c r="Y40" s="99">
        <v>8</v>
      </c>
      <c r="Z40" s="99">
        <v>175</v>
      </c>
      <c r="AA40" s="99">
        <v>0</v>
      </c>
      <c r="AB40" s="99">
        <v>0</v>
      </c>
      <c r="AC40" s="99">
        <v>0</v>
      </c>
      <c r="AD40" s="99">
        <v>0</v>
      </c>
    </row>
    <row r="41" spans="1:30" ht="15" x14ac:dyDescent="0.25">
      <c r="A41">
        <v>109</v>
      </c>
      <c r="B41" s="100" t="s">
        <v>177</v>
      </c>
      <c r="C41" s="99">
        <v>136090</v>
      </c>
      <c r="D41" s="99">
        <v>0</v>
      </c>
      <c r="E41" s="99">
        <v>5364</v>
      </c>
      <c r="F41" s="99">
        <v>11028</v>
      </c>
      <c r="G41" s="99">
        <v>52</v>
      </c>
      <c r="H41" s="99">
        <v>35203</v>
      </c>
      <c r="I41" s="99">
        <v>16267</v>
      </c>
      <c r="J41">
        <v>0</v>
      </c>
      <c r="K41">
        <v>0</v>
      </c>
      <c r="L41">
        <v>0</v>
      </c>
      <c r="M41" s="99">
        <v>0</v>
      </c>
      <c r="N41" s="99">
        <v>0</v>
      </c>
      <c r="O41" s="99">
        <v>0</v>
      </c>
      <c r="P41" s="99">
        <v>2</v>
      </c>
      <c r="Q41" s="99">
        <v>3529</v>
      </c>
      <c r="R41" s="99">
        <v>0</v>
      </c>
      <c r="S41">
        <v>491645</v>
      </c>
      <c r="T41">
        <v>17467</v>
      </c>
      <c r="U41">
        <v>11027</v>
      </c>
      <c r="V41" s="99">
        <v>1325</v>
      </c>
      <c r="W41" s="99">
        <v>260180</v>
      </c>
      <c r="X41" s="99">
        <v>22425</v>
      </c>
      <c r="Y41" s="99">
        <v>0</v>
      </c>
      <c r="Z41" s="99">
        <v>217</v>
      </c>
      <c r="AA41" s="99">
        <v>535</v>
      </c>
      <c r="AB41" s="99">
        <v>31</v>
      </c>
      <c r="AC41" s="99">
        <v>6842</v>
      </c>
      <c r="AD41" s="99">
        <v>0</v>
      </c>
    </row>
    <row r="42" spans="1:30" ht="15" x14ac:dyDescent="0.25">
      <c r="A42">
        <v>111</v>
      </c>
      <c r="B42" s="100" t="s">
        <v>166</v>
      </c>
      <c r="C42" s="99">
        <v>37965</v>
      </c>
      <c r="D42" s="99">
        <v>0</v>
      </c>
      <c r="E42" s="99">
        <v>439</v>
      </c>
      <c r="F42" s="99">
        <v>716</v>
      </c>
      <c r="G42" s="99">
        <v>88</v>
      </c>
      <c r="H42" s="99">
        <v>8096</v>
      </c>
      <c r="I42" s="99">
        <v>0</v>
      </c>
      <c r="J42">
        <v>0</v>
      </c>
      <c r="K42">
        <v>0</v>
      </c>
      <c r="L42">
        <v>0</v>
      </c>
      <c r="M42" s="99">
        <v>0</v>
      </c>
      <c r="N42" s="99">
        <v>0</v>
      </c>
      <c r="O42" s="99">
        <v>0</v>
      </c>
      <c r="P42" s="99">
        <v>0</v>
      </c>
      <c r="Q42" s="99">
        <v>0</v>
      </c>
      <c r="R42" s="99">
        <v>0</v>
      </c>
      <c r="S42">
        <v>146195</v>
      </c>
      <c r="T42">
        <v>5487</v>
      </c>
      <c r="U42">
        <v>716</v>
      </c>
      <c r="V42" s="99">
        <v>2015</v>
      </c>
      <c r="W42" s="99">
        <v>78921</v>
      </c>
      <c r="X42" s="99">
        <v>2219</v>
      </c>
      <c r="Y42" s="99">
        <v>0</v>
      </c>
      <c r="Z42" s="99">
        <v>836</v>
      </c>
      <c r="AA42" s="99">
        <v>163</v>
      </c>
      <c r="AB42" s="99">
        <v>0</v>
      </c>
      <c r="AC42" s="99">
        <v>251</v>
      </c>
      <c r="AD42" s="99">
        <v>0</v>
      </c>
    </row>
    <row r="43" spans="1:30" ht="15" x14ac:dyDescent="0.25">
      <c r="A43">
        <v>139</v>
      </c>
      <c r="B43" s="100" t="s">
        <v>178</v>
      </c>
      <c r="C43" s="99">
        <v>13059</v>
      </c>
      <c r="D43" s="99">
        <v>0</v>
      </c>
      <c r="E43" s="99">
        <v>8</v>
      </c>
      <c r="F43" s="99">
        <v>1045</v>
      </c>
      <c r="G43" s="99">
        <v>0</v>
      </c>
      <c r="H43" s="99">
        <v>0</v>
      </c>
      <c r="I43" s="99">
        <v>0</v>
      </c>
      <c r="J43">
        <v>0</v>
      </c>
      <c r="K43">
        <v>0</v>
      </c>
      <c r="L43">
        <v>0</v>
      </c>
      <c r="M43" s="99">
        <v>0</v>
      </c>
      <c r="N43" s="99">
        <v>0</v>
      </c>
      <c r="O43" s="99">
        <v>0</v>
      </c>
      <c r="P43" s="99">
        <v>0</v>
      </c>
      <c r="Q43" s="99">
        <v>0</v>
      </c>
      <c r="R43" s="99">
        <v>0</v>
      </c>
      <c r="S43">
        <v>67512</v>
      </c>
      <c r="T43">
        <v>2603</v>
      </c>
      <c r="U43">
        <v>1038</v>
      </c>
      <c r="V43" s="99">
        <v>560</v>
      </c>
      <c r="W43" s="99">
        <v>30906</v>
      </c>
      <c r="X43" s="99">
        <v>605</v>
      </c>
      <c r="Y43" s="99">
        <v>0</v>
      </c>
      <c r="Z43" s="99">
        <v>65</v>
      </c>
      <c r="AA43" s="99">
        <v>0</v>
      </c>
      <c r="AB43" s="99">
        <v>3</v>
      </c>
      <c r="AC43" s="99">
        <v>13</v>
      </c>
      <c r="AD43" s="99">
        <v>22</v>
      </c>
    </row>
    <row r="44" spans="1:30" ht="15" x14ac:dyDescent="0.25">
      <c r="A44">
        <v>140</v>
      </c>
      <c r="B44" s="100" t="s">
        <v>179</v>
      </c>
      <c r="C44" s="99">
        <v>39308</v>
      </c>
      <c r="D44" s="99">
        <v>0</v>
      </c>
      <c r="E44" s="99">
        <v>0</v>
      </c>
      <c r="F44" s="99">
        <v>4041</v>
      </c>
      <c r="G44" s="99">
        <v>1</v>
      </c>
      <c r="H44" s="99">
        <v>463</v>
      </c>
      <c r="I44" s="99">
        <v>1</v>
      </c>
      <c r="J44">
        <v>0</v>
      </c>
      <c r="K44">
        <v>0</v>
      </c>
      <c r="L44">
        <v>0</v>
      </c>
      <c r="M44" s="99">
        <v>0</v>
      </c>
      <c r="N44" s="99">
        <v>0</v>
      </c>
      <c r="O44" s="99">
        <v>0</v>
      </c>
      <c r="P44" s="99">
        <v>0</v>
      </c>
      <c r="Q44" s="99">
        <v>0</v>
      </c>
      <c r="R44" s="99">
        <v>6</v>
      </c>
      <c r="S44">
        <v>155743</v>
      </c>
      <c r="T44">
        <v>7199</v>
      </c>
      <c r="U44">
        <v>4041</v>
      </c>
      <c r="V44" s="99">
        <v>1224</v>
      </c>
      <c r="W44" s="99">
        <v>75948</v>
      </c>
      <c r="X44" s="99">
        <v>1805</v>
      </c>
      <c r="Y44" s="99">
        <v>0</v>
      </c>
      <c r="Z44" s="99">
        <v>0</v>
      </c>
      <c r="AA44" s="99">
        <v>0</v>
      </c>
      <c r="AB44" s="99">
        <v>11</v>
      </c>
      <c r="AC44" s="99">
        <v>161</v>
      </c>
      <c r="AD44" s="99">
        <v>8</v>
      </c>
    </row>
    <row r="45" spans="1:30" ht="15" x14ac:dyDescent="0.25">
      <c r="A45">
        <v>142</v>
      </c>
      <c r="B45" s="100" t="s">
        <v>180</v>
      </c>
      <c r="C45" s="99">
        <v>7348</v>
      </c>
      <c r="D45" s="99">
        <v>0</v>
      </c>
      <c r="E45" s="99">
        <v>0</v>
      </c>
      <c r="F45" s="99">
        <v>0</v>
      </c>
      <c r="G45" s="99">
        <v>0</v>
      </c>
      <c r="H45" s="99">
        <v>0</v>
      </c>
      <c r="I45" s="99">
        <v>0</v>
      </c>
      <c r="J45">
        <v>0</v>
      </c>
      <c r="K45">
        <v>0</v>
      </c>
      <c r="L45">
        <v>0</v>
      </c>
      <c r="M45" s="99">
        <v>0</v>
      </c>
      <c r="N45" s="99">
        <v>0</v>
      </c>
      <c r="O45" s="99">
        <v>0</v>
      </c>
      <c r="P45" s="99">
        <v>0</v>
      </c>
      <c r="Q45" s="99">
        <v>0</v>
      </c>
      <c r="R45" s="99">
        <v>0</v>
      </c>
      <c r="S45">
        <v>43709</v>
      </c>
      <c r="T45">
        <v>1810</v>
      </c>
      <c r="U45">
        <v>0</v>
      </c>
      <c r="V45" s="99">
        <v>733</v>
      </c>
      <c r="W45" s="99">
        <v>24152</v>
      </c>
      <c r="X45" s="99">
        <v>601</v>
      </c>
      <c r="Y45" s="99">
        <v>0</v>
      </c>
      <c r="Z45" s="99">
        <v>2</v>
      </c>
      <c r="AA45" s="99">
        <v>0</v>
      </c>
      <c r="AB45" s="99">
        <v>0</v>
      </c>
      <c r="AC45" s="99">
        <v>0</v>
      </c>
      <c r="AD45" s="99">
        <v>0</v>
      </c>
    </row>
    <row r="46" spans="1:30" ht="15" x14ac:dyDescent="0.25">
      <c r="A46">
        <v>143</v>
      </c>
      <c r="B46" s="100" t="s">
        <v>181</v>
      </c>
      <c r="C46" s="99">
        <v>11555</v>
      </c>
      <c r="D46" s="99">
        <v>0</v>
      </c>
      <c r="E46" s="99">
        <v>0</v>
      </c>
      <c r="F46" s="99">
        <v>148</v>
      </c>
      <c r="G46" s="99">
        <v>127</v>
      </c>
      <c r="H46" s="99">
        <v>3435</v>
      </c>
      <c r="I46" s="99">
        <v>0</v>
      </c>
      <c r="J46">
        <v>0</v>
      </c>
      <c r="K46">
        <v>0</v>
      </c>
      <c r="L46">
        <v>0</v>
      </c>
      <c r="M46" s="99">
        <v>0</v>
      </c>
      <c r="N46" s="99">
        <v>0</v>
      </c>
      <c r="O46" s="99">
        <v>0</v>
      </c>
      <c r="P46" s="99">
        <v>0</v>
      </c>
      <c r="Q46" s="99">
        <v>0</v>
      </c>
      <c r="R46" s="99">
        <v>0</v>
      </c>
      <c r="S46">
        <v>51952</v>
      </c>
      <c r="T46">
        <v>2386</v>
      </c>
      <c r="U46">
        <v>523</v>
      </c>
      <c r="V46" s="99">
        <v>414</v>
      </c>
      <c r="W46" s="99">
        <v>28900</v>
      </c>
      <c r="X46" s="99">
        <v>537</v>
      </c>
      <c r="Y46" s="99">
        <v>0</v>
      </c>
      <c r="Z46" s="99">
        <v>146</v>
      </c>
      <c r="AA46" s="99">
        <v>0</v>
      </c>
      <c r="AB46" s="99">
        <v>5</v>
      </c>
      <c r="AC46" s="99">
        <v>241</v>
      </c>
      <c r="AD46" s="99">
        <v>0</v>
      </c>
    </row>
    <row r="47" spans="1:30" ht="15" x14ac:dyDescent="0.25">
      <c r="A47">
        <v>145</v>
      </c>
      <c r="B47" s="100" t="s">
        <v>182</v>
      </c>
      <c r="C47" s="99">
        <v>9998</v>
      </c>
      <c r="D47" s="99">
        <v>0</v>
      </c>
      <c r="E47" s="99">
        <v>81</v>
      </c>
      <c r="F47" s="99">
        <v>5847</v>
      </c>
      <c r="G47" s="99">
        <v>169</v>
      </c>
      <c r="H47" s="99">
        <v>874</v>
      </c>
      <c r="I47" s="99">
        <v>0</v>
      </c>
      <c r="J47">
        <v>0</v>
      </c>
      <c r="K47">
        <v>0</v>
      </c>
      <c r="L47">
        <v>0</v>
      </c>
      <c r="M47" s="99">
        <v>0</v>
      </c>
      <c r="N47" s="99">
        <v>0</v>
      </c>
      <c r="O47" s="99">
        <v>0</v>
      </c>
      <c r="P47" s="99">
        <v>0</v>
      </c>
      <c r="Q47" s="99">
        <v>0</v>
      </c>
      <c r="R47" s="99">
        <v>0</v>
      </c>
      <c r="S47">
        <v>72705</v>
      </c>
      <c r="T47">
        <v>3059</v>
      </c>
      <c r="U47">
        <v>5845</v>
      </c>
      <c r="V47" s="99">
        <v>243</v>
      </c>
      <c r="W47" s="99">
        <v>38006</v>
      </c>
      <c r="X47" s="99">
        <v>1002</v>
      </c>
      <c r="Y47" s="99">
        <v>6</v>
      </c>
      <c r="Z47" s="99">
        <v>25</v>
      </c>
      <c r="AA47" s="99">
        <v>53</v>
      </c>
      <c r="AB47" s="99">
        <v>8</v>
      </c>
      <c r="AC47" s="99">
        <v>258</v>
      </c>
      <c r="AD47" s="99">
        <v>0</v>
      </c>
    </row>
    <row r="48" spans="1:30" ht="15" x14ac:dyDescent="0.25">
      <c r="A48">
        <v>146</v>
      </c>
      <c r="B48" s="100" t="s">
        <v>183</v>
      </c>
      <c r="C48" s="99">
        <v>11839</v>
      </c>
      <c r="D48" s="99">
        <v>0</v>
      </c>
      <c r="E48" s="99">
        <v>267</v>
      </c>
      <c r="F48" s="99">
        <v>0</v>
      </c>
      <c r="G48" s="99">
        <v>16</v>
      </c>
      <c r="H48" s="99">
        <v>4283</v>
      </c>
      <c r="I48" s="99">
        <v>0</v>
      </c>
      <c r="J48">
        <v>0</v>
      </c>
      <c r="K48">
        <v>0</v>
      </c>
      <c r="L48">
        <v>0</v>
      </c>
      <c r="M48" s="99">
        <v>0</v>
      </c>
      <c r="N48" s="99">
        <v>0</v>
      </c>
      <c r="O48" s="99">
        <v>0</v>
      </c>
      <c r="P48" s="99">
        <v>0</v>
      </c>
      <c r="Q48" s="99">
        <v>0</v>
      </c>
      <c r="R48" s="99">
        <v>0</v>
      </c>
      <c r="S48">
        <v>51070</v>
      </c>
      <c r="T48">
        <v>1772</v>
      </c>
      <c r="U48">
        <v>0</v>
      </c>
      <c r="V48" s="99">
        <v>445</v>
      </c>
      <c r="W48" s="99">
        <v>31132</v>
      </c>
      <c r="X48" s="99">
        <v>402</v>
      </c>
      <c r="Y48" s="99">
        <v>0</v>
      </c>
      <c r="Z48" s="99">
        <v>121</v>
      </c>
      <c r="AA48" s="99">
        <v>0</v>
      </c>
      <c r="AB48" s="99">
        <v>0</v>
      </c>
      <c r="AC48" s="99">
        <v>0</v>
      </c>
      <c r="AD48" s="99">
        <v>0</v>
      </c>
    </row>
    <row r="49" spans="1:30" ht="15" x14ac:dyDescent="0.25">
      <c r="A49">
        <v>148</v>
      </c>
      <c r="B49" s="100" t="s">
        <v>185</v>
      </c>
      <c r="C49" s="99">
        <v>14712</v>
      </c>
      <c r="D49" s="99">
        <v>0</v>
      </c>
      <c r="E49" s="99">
        <v>0</v>
      </c>
      <c r="F49" s="99">
        <v>197</v>
      </c>
      <c r="G49" s="99">
        <v>80</v>
      </c>
      <c r="H49" s="99">
        <v>4771</v>
      </c>
      <c r="I49" s="99">
        <v>0</v>
      </c>
      <c r="J49">
        <v>0</v>
      </c>
      <c r="K49">
        <v>0</v>
      </c>
      <c r="L49">
        <v>0</v>
      </c>
      <c r="M49" s="99">
        <v>0</v>
      </c>
      <c r="N49" s="99">
        <v>0</v>
      </c>
      <c r="O49" s="99">
        <v>0</v>
      </c>
      <c r="P49" s="99">
        <v>0</v>
      </c>
      <c r="Q49" s="99">
        <v>197</v>
      </c>
      <c r="R49" s="99">
        <v>0</v>
      </c>
      <c r="S49">
        <v>60171</v>
      </c>
      <c r="T49">
        <v>1851</v>
      </c>
      <c r="U49">
        <v>197</v>
      </c>
      <c r="V49" s="99">
        <v>954</v>
      </c>
      <c r="W49" s="99">
        <v>31809</v>
      </c>
      <c r="X49" s="99">
        <v>704</v>
      </c>
      <c r="Y49" s="99">
        <v>0</v>
      </c>
      <c r="Z49" s="99">
        <v>193</v>
      </c>
      <c r="AA49" s="99">
        <v>10</v>
      </c>
      <c r="AB49" s="99">
        <v>0</v>
      </c>
      <c r="AC49" s="99">
        <v>197</v>
      </c>
      <c r="AD49" s="99">
        <v>0</v>
      </c>
    </row>
    <row r="50" spans="1:30" ht="15" x14ac:dyDescent="0.25">
      <c r="A50">
        <v>149</v>
      </c>
      <c r="B50" s="100" t="s">
        <v>186</v>
      </c>
      <c r="C50" s="99">
        <v>6382</v>
      </c>
      <c r="D50" s="99">
        <v>0</v>
      </c>
      <c r="E50" s="99">
        <v>0</v>
      </c>
      <c r="F50" s="99">
        <v>0</v>
      </c>
      <c r="G50" s="99">
        <v>23</v>
      </c>
      <c r="H50" s="99">
        <v>1478</v>
      </c>
      <c r="I50" s="99">
        <v>0</v>
      </c>
      <c r="J50">
        <v>0</v>
      </c>
      <c r="K50">
        <v>0</v>
      </c>
      <c r="L50">
        <v>0</v>
      </c>
      <c r="M50" s="99">
        <v>0</v>
      </c>
      <c r="N50" s="99">
        <v>0</v>
      </c>
      <c r="O50" s="99">
        <v>0</v>
      </c>
      <c r="P50" s="99">
        <v>0</v>
      </c>
      <c r="Q50" s="99">
        <v>0</v>
      </c>
      <c r="R50" s="99">
        <v>0</v>
      </c>
      <c r="S50">
        <v>35401</v>
      </c>
      <c r="T50">
        <v>1430</v>
      </c>
      <c r="U50">
        <v>0</v>
      </c>
      <c r="V50" s="99">
        <v>345</v>
      </c>
      <c r="W50" s="99">
        <v>17873</v>
      </c>
      <c r="X50" s="99">
        <v>352</v>
      </c>
      <c r="Y50" s="99">
        <v>1</v>
      </c>
      <c r="Z50" s="99">
        <v>36</v>
      </c>
      <c r="AA50" s="99">
        <v>0</v>
      </c>
      <c r="AB50" s="99">
        <v>0</v>
      </c>
      <c r="AC50" s="99">
        <v>0</v>
      </c>
      <c r="AD50" s="99">
        <v>0</v>
      </c>
    </row>
    <row r="51" spans="1:30" ht="15" x14ac:dyDescent="0.25">
      <c r="A51">
        <v>151</v>
      </c>
      <c r="B51" s="100" t="s">
        <v>187</v>
      </c>
      <c r="C51" s="99">
        <v>2371</v>
      </c>
      <c r="D51" s="99">
        <v>0</v>
      </c>
      <c r="E51" s="99">
        <v>0</v>
      </c>
      <c r="F51" s="99">
        <v>473</v>
      </c>
      <c r="G51" s="99">
        <v>0</v>
      </c>
      <c r="H51" s="99">
        <v>37</v>
      </c>
      <c r="I51" s="99">
        <v>0</v>
      </c>
      <c r="J51">
        <v>0</v>
      </c>
      <c r="K51">
        <v>0</v>
      </c>
      <c r="L51">
        <v>0</v>
      </c>
      <c r="M51" s="99">
        <v>0</v>
      </c>
      <c r="N51" s="99">
        <v>0</v>
      </c>
      <c r="O51" s="99">
        <v>0</v>
      </c>
      <c r="P51" s="99">
        <v>0</v>
      </c>
      <c r="Q51" s="99">
        <v>0</v>
      </c>
      <c r="R51" s="99">
        <v>0</v>
      </c>
      <c r="S51">
        <v>16251</v>
      </c>
      <c r="T51">
        <v>529</v>
      </c>
      <c r="U51">
        <v>818</v>
      </c>
      <c r="V51" s="99">
        <v>35</v>
      </c>
      <c r="W51" s="99">
        <v>10019</v>
      </c>
      <c r="X51" s="99">
        <v>187</v>
      </c>
      <c r="Y51" s="99">
        <v>0</v>
      </c>
      <c r="Z51" s="99">
        <v>0</v>
      </c>
      <c r="AA51" s="99">
        <v>0</v>
      </c>
      <c r="AB51" s="99">
        <v>0</v>
      </c>
      <c r="AC51" s="99">
        <v>0</v>
      </c>
      <c r="AD51" s="99">
        <v>6</v>
      </c>
    </row>
    <row r="52" spans="1:30" ht="15" x14ac:dyDescent="0.25">
      <c r="A52">
        <v>152</v>
      </c>
      <c r="B52" s="100" t="s">
        <v>188</v>
      </c>
      <c r="C52" s="99">
        <v>7561</v>
      </c>
      <c r="D52" s="99">
        <v>0</v>
      </c>
      <c r="E52" s="99">
        <v>0</v>
      </c>
      <c r="F52" s="99">
        <v>165</v>
      </c>
      <c r="G52" s="99">
        <v>0</v>
      </c>
      <c r="H52" s="99">
        <v>1560</v>
      </c>
      <c r="I52" s="99">
        <v>0</v>
      </c>
      <c r="J52">
        <v>0</v>
      </c>
      <c r="K52">
        <v>0</v>
      </c>
      <c r="L52">
        <v>0</v>
      </c>
      <c r="M52" s="99">
        <v>0</v>
      </c>
      <c r="N52" s="99">
        <v>0</v>
      </c>
      <c r="O52" s="99">
        <v>0</v>
      </c>
      <c r="P52" s="99">
        <v>0</v>
      </c>
      <c r="Q52" s="99">
        <v>0</v>
      </c>
      <c r="R52" s="99">
        <v>0</v>
      </c>
      <c r="S52">
        <v>33095</v>
      </c>
      <c r="T52">
        <v>1129</v>
      </c>
      <c r="U52">
        <v>165</v>
      </c>
      <c r="V52" s="99">
        <v>118</v>
      </c>
      <c r="W52" s="99">
        <v>17651</v>
      </c>
      <c r="X52" s="99">
        <v>357</v>
      </c>
      <c r="Y52" s="99">
        <v>0</v>
      </c>
      <c r="Z52" s="99">
        <v>0</v>
      </c>
      <c r="AA52" s="99">
        <v>4</v>
      </c>
      <c r="AB52" s="99">
        <v>0</v>
      </c>
      <c r="AC52" s="99">
        <v>62</v>
      </c>
      <c r="AD52" s="99">
        <v>0</v>
      </c>
    </row>
    <row r="53" spans="1:30" ht="15" x14ac:dyDescent="0.25">
      <c r="A53">
        <v>153</v>
      </c>
      <c r="B53" s="100" t="s">
        <v>184</v>
      </c>
      <c r="C53" s="99">
        <v>44305</v>
      </c>
      <c r="D53" s="99">
        <v>0</v>
      </c>
      <c r="E53" s="99">
        <v>0</v>
      </c>
      <c r="F53" s="99">
        <v>0</v>
      </c>
      <c r="G53" s="99">
        <v>1077</v>
      </c>
      <c r="H53" s="99">
        <v>14111</v>
      </c>
      <c r="I53" s="99">
        <v>0</v>
      </c>
      <c r="J53">
        <v>0</v>
      </c>
      <c r="K53">
        <v>0</v>
      </c>
      <c r="L53">
        <v>0</v>
      </c>
      <c r="M53" s="99">
        <v>0</v>
      </c>
      <c r="N53" s="99">
        <v>0</v>
      </c>
      <c r="O53" s="99">
        <v>0</v>
      </c>
      <c r="P53" s="99">
        <v>0</v>
      </c>
      <c r="Q53" s="99">
        <v>0</v>
      </c>
      <c r="R53" s="99">
        <v>0</v>
      </c>
      <c r="S53">
        <v>188557</v>
      </c>
      <c r="T53">
        <v>8439</v>
      </c>
      <c r="U53">
        <v>0</v>
      </c>
      <c r="V53" s="99">
        <v>4281</v>
      </c>
      <c r="W53" s="99">
        <v>103481</v>
      </c>
      <c r="X53" s="99">
        <v>2390</v>
      </c>
      <c r="Y53" s="99">
        <v>8</v>
      </c>
      <c r="Z53" s="99">
        <v>306</v>
      </c>
      <c r="AA53" s="99">
        <v>0</v>
      </c>
      <c r="AB53" s="99">
        <v>0</v>
      </c>
      <c r="AC53" s="99">
        <v>0</v>
      </c>
      <c r="AD53" s="99">
        <v>0</v>
      </c>
    </row>
    <row r="54" spans="1:30" ht="15" x14ac:dyDescent="0.25">
      <c r="A54">
        <v>164</v>
      </c>
      <c r="B54" s="100" t="s">
        <v>504</v>
      </c>
      <c r="C54" s="99">
        <v>17781</v>
      </c>
      <c r="D54" s="99">
        <v>0</v>
      </c>
      <c r="E54" s="99">
        <v>0</v>
      </c>
      <c r="F54" s="99">
        <v>826</v>
      </c>
      <c r="G54" s="99">
        <v>179</v>
      </c>
      <c r="H54" s="99">
        <v>492</v>
      </c>
      <c r="I54" s="99">
        <v>0</v>
      </c>
      <c r="J54">
        <v>0</v>
      </c>
      <c r="K54">
        <v>0</v>
      </c>
      <c r="L54">
        <v>0</v>
      </c>
      <c r="M54" s="99">
        <v>0</v>
      </c>
      <c r="N54" s="99">
        <v>0</v>
      </c>
      <c r="O54" s="99">
        <v>0</v>
      </c>
      <c r="P54" s="99">
        <v>0</v>
      </c>
      <c r="Q54" s="99">
        <v>0</v>
      </c>
      <c r="R54" s="99">
        <v>0</v>
      </c>
      <c r="S54">
        <v>66010</v>
      </c>
      <c r="T54">
        <v>2289</v>
      </c>
      <c r="U54">
        <v>827</v>
      </c>
      <c r="V54" s="99">
        <v>350</v>
      </c>
      <c r="W54" s="99">
        <v>29931</v>
      </c>
      <c r="X54" s="99">
        <v>694</v>
      </c>
      <c r="Y54" s="99">
        <v>0</v>
      </c>
      <c r="Z54" s="99">
        <v>0</v>
      </c>
      <c r="AA54" s="99">
        <v>0</v>
      </c>
      <c r="AB54" s="99">
        <v>0</v>
      </c>
      <c r="AC54" s="99">
        <v>45</v>
      </c>
      <c r="AD54" s="99">
        <v>0</v>
      </c>
    </row>
    <row r="55" spans="1:30" ht="15" x14ac:dyDescent="0.25">
      <c r="A55">
        <v>165</v>
      </c>
      <c r="B55" s="100" t="s">
        <v>189</v>
      </c>
      <c r="C55" s="99">
        <v>32617</v>
      </c>
      <c r="D55" s="99">
        <v>0</v>
      </c>
      <c r="E55" s="99">
        <v>167</v>
      </c>
      <c r="F55" s="99">
        <v>2101</v>
      </c>
      <c r="G55" s="99">
        <v>127</v>
      </c>
      <c r="H55" s="99">
        <v>11979</v>
      </c>
      <c r="I55" s="99">
        <v>0</v>
      </c>
      <c r="J55">
        <v>0</v>
      </c>
      <c r="K55">
        <v>0</v>
      </c>
      <c r="L55">
        <v>0</v>
      </c>
      <c r="M55" s="99">
        <v>0</v>
      </c>
      <c r="N55" s="99">
        <v>33</v>
      </c>
      <c r="O55" s="99">
        <v>0</v>
      </c>
      <c r="P55" s="99">
        <v>0</v>
      </c>
      <c r="Q55" s="99">
        <v>0</v>
      </c>
      <c r="R55" s="99">
        <v>0</v>
      </c>
      <c r="S55">
        <v>114192</v>
      </c>
      <c r="T55">
        <v>5126</v>
      </c>
      <c r="U55">
        <v>2101</v>
      </c>
      <c r="V55" s="99">
        <v>502</v>
      </c>
      <c r="W55" s="99">
        <v>62205</v>
      </c>
      <c r="X55" s="99">
        <v>1130</v>
      </c>
      <c r="Y55" s="99">
        <v>3</v>
      </c>
      <c r="Z55" s="99">
        <v>124</v>
      </c>
      <c r="AA55" s="99">
        <v>0</v>
      </c>
      <c r="AB55" s="99">
        <v>24</v>
      </c>
      <c r="AC55" s="99">
        <v>921</v>
      </c>
      <c r="AD55" s="99">
        <v>7</v>
      </c>
    </row>
    <row r="56" spans="1:30" ht="15" x14ac:dyDescent="0.25">
      <c r="A56">
        <v>167</v>
      </c>
      <c r="B56" s="100" t="s">
        <v>190</v>
      </c>
      <c r="C56" s="99">
        <v>257220</v>
      </c>
      <c r="D56" s="99">
        <v>0</v>
      </c>
      <c r="E56" s="99">
        <v>5880</v>
      </c>
      <c r="F56" s="99">
        <v>0</v>
      </c>
      <c r="G56" s="99">
        <v>906</v>
      </c>
      <c r="H56" s="99">
        <v>115468</v>
      </c>
      <c r="I56" s="99">
        <v>7701</v>
      </c>
      <c r="J56">
        <v>0</v>
      </c>
      <c r="K56">
        <v>0</v>
      </c>
      <c r="L56">
        <v>0</v>
      </c>
      <c r="M56" s="99">
        <v>0</v>
      </c>
      <c r="N56" s="99">
        <v>1</v>
      </c>
      <c r="O56" s="99">
        <v>0</v>
      </c>
      <c r="P56" s="99">
        <v>0</v>
      </c>
      <c r="Q56" s="99">
        <v>0</v>
      </c>
      <c r="R56" s="99">
        <v>0</v>
      </c>
      <c r="S56">
        <v>628196</v>
      </c>
      <c r="T56">
        <v>27095</v>
      </c>
      <c r="U56">
        <v>0</v>
      </c>
      <c r="V56" s="99">
        <v>10698</v>
      </c>
      <c r="W56" s="99">
        <v>358964</v>
      </c>
      <c r="X56" s="99">
        <v>12544</v>
      </c>
      <c r="Y56" s="99">
        <v>2</v>
      </c>
      <c r="Z56" s="99">
        <v>811</v>
      </c>
      <c r="AA56" s="99">
        <v>502</v>
      </c>
      <c r="AB56" s="99">
        <v>0</v>
      </c>
      <c r="AC56" s="99">
        <v>0</v>
      </c>
      <c r="AD56" s="99">
        <v>0</v>
      </c>
    </row>
    <row r="57" spans="1:30" ht="15" x14ac:dyDescent="0.25">
      <c r="A57">
        <v>169</v>
      </c>
      <c r="B57" s="100" t="s">
        <v>191</v>
      </c>
      <c r="C57" s="99">
        <v>7097</v>
      </c>
      <c r="D57" s="99">
        <v>0</v>
      </c>
      <c r="E57" s="99">
        <v>0</v>
      </c>
      <c r="F57" s="99">
        <v>668</v>
      </c>
      <c r="G57" s="99">
        <v>20</v>
      </c>
      <c r="H57" s="99">
        <v>50</v>
      </c>
      <c r="I57" s="99">
        <v>0</v>
      </c>
      <c r="J57">
        <v>0</v>
      </c>
      <c r="K57">
        <v>0</v>
      </c>
      <c r="L57">
        <v>0</v>
      </c>
      <c r="M57" s="99">
        <v>0</v>
      </c>
      <c r="N57" s="99">
        <v>0</v>
      </c>
      <c r="O57" s="99">
        <v>0</v>
      </c>
      <c r="P57" s="99">
        <v>0</v>
      </c>
      <c r="Q57" s="99">
        <v>0</v>
      </c>
      <c r="R57" s="99">
        <v>0</v>
      </c>
      <c r="S57">
        <v>33400</v>
      </c>
      <c r="T57">
        <v>1366</v>
      </c>
      <c r="U57">
        <v>667</v>
      </c>
      <c r="V57" s="99">
        <v>28</v>
      </c>
      <c r="W57" s="99">
        <v>15306</v>
      </c>
      <c r="X57" s="99">
        <v>374</v>
      </c>
      <c r="Y57" s="99">
        <v>0</v>
      </c>
      <c r="Z57" s="99">
        <v>0</v>
      </c>
      <c r="AA57" s="99">
        <v>0</v>
      </c>
      <c r="AB57" s="99">
        <v>0</v>
      </c>
      <c r="AC57" s="99">
        <v>0</v>
      </c>
      <c r="AD57" s="99">
        <v>0</v>
      </c>
    </row>
    <row r="58" spans="1:30" ht="15" x14ac:dyDescent="0.25">
      <c r="A58">
        <v>171</v>
      </c>
      <c r="B58" s="100" t="s">
        <v>192</v>
      </c>
      <c r="C58" s="99">
        <v>6375</v>
      </c>
      <c r="D58" s="99">
        <v>0</v>
      </c>
      <c r="E58" s="99">
        <v>61</v>
      </c>
      <c r="F58" s="99">
        <v>0</v>
      </c>
      <c r="G58" s="99">
        <v>0</v>
      </c>
      <c r="H58" s="99">
        <v>117</v>
      </c>
      <c r="I58" s="99">
        <v>0</v>
      </c>
      <c r="J58">
        <v>0</v>
      </c>
      <c r="K58">
        <v>0</v>
      </c>
      <c r="L58">
        <v>0</v>
      </c>
      <c r="M58" s="99">
        <v>0</v>
      </c>
      <c r="N58" s="99">
        <v>0</v>
      </c>
      <c r="O58" s="99">
        <v>0</v>
      </c>
      <c r="P58" s="99">
        <v>0</v>
      </c>
      <c r="Q58" s="99">
        <v>0</v>
      </c>
      <c r="R58" s="99">
        <v>0</v>
      </c>
      <c r="S58">
        <v>34640</v>
      </c>
      <c r="T58">
        <v>1034</v>
      </c>
      <c r="U58">
        <v>0</v>
      </c>
      <c r="V58" s="99">
        <v>121</v>
      </c>
      <c r="W58" s="99">
        <v>18336</v>
      </c>
      <c r="X58" s="99">
        <v>469</v>
      </c>
      <c r="Y58" s="99">
        <v>0</v>
      </c>
      <c r="Z58" s="99">
        <v>0</v>
      </c>
      <c r="AA58" s="99">
        <v>4</v>
      </c>
      <c r="AB58" s="99">
        <v>0</v>
      </c>
      <c r="AC58" s="99">
        <v>0</v>
      </c>
      <c r="AD58" s="99">
        <v>0</v>
      </c>
    </row>
    <row r="59" spans="1:30" ht="15" x14ac:dyDescent="0.25">
      <c r="A59">
        <v>172</v>
      </c>
      <c r="B59" s="100" t="s">
        <v>193</v>
      </c>
      <c r="C59" s="99">
        <v>9905</v>
      </c>
      <c r="D59" s="99">
        <v>0</v>
      </c>
      <c r="E59" s="99">
        <v>37</v>
      </c>
      <c r="F59" s="99">
        <v>0</v>
      </c>
      <c r="G59" s="99">
        <v>73</v>
      </c>
      <c r="H59" s="99">
        <v>2023</v>
      </c>
      <c r="I59" s="99">
        <v>0</v>
      </c>
      <c r="J59">
        <v>0</v>
      </c>
      <c r="K59">
        <v>0</v>
      </c>
      <c r="L59">
        <v>0</v>
      </c>
      <c r="M59" s="99">
        <v>0</v>
      </c>
      <c r="N59" s="99">
        <v>0</v>
      </c>
      <c r="O59" s="99">
        <v>0</v>
      </c>
      <c r="P59" s="99">
        <v>0</v>
      </c>
      <c r="Q59" s="99">
        <v>0</v>
      </c>
      <c r="R59" s="99">
        <v>0</v>
      </c>
      <c r="S59">
        <v>36291</v>
      </c>
      <c r="T59">
        <v>1268</v>
      </c>
      <c r="U59">
        <v>0</v>
      </c>
      <c r="V59" s="99">
        <v>585</v>
      </c>
      <c r="W59" s="99">
        <v>20383</v>
      </c>
      <c r="X59" s="99">
        <v>407</v>
      </c>
      <c r="Y59" s="99">
        <v>0</v>
      </c>
      <c r="Z59" s="99">
        <v>0</v>
      </c>
      <c r="AA59" s="99">
        <v>0</v>
      </c>
      <c r="AB59" s="99">
        <v>0</v>
      </c>
      <c r="AC59" s="99">
        <v>0</v>
      </c>
      <c r="AD59" s="99">
        <v>0</v>
      </c>
    </row>
    <row r="60" spans="1:30" ht="15" x14ac:dyDescent="0.25">
      <c r="A60">
        <v>174</v>
      </c>
      <c r="B60" s="100" t="s">
        <v>194</v>
      </c>
      <c r="C60" s="99">
        <v>10673</v>
      </c>
      <c r="D60" s="99">
        <v>0</v>
      </c>
      <c r="E60" s="99">
        <v>0</v>
      </c>
      <c r="F60" s="99">
        <v>640</v>
      </c>
      <c r="G60" s="99">
        <v>15</v>
      </c>
      <c r="H60" s="99">
        <v>2042</v>
      </c>
      <c r="I60" s="99">
        <v>0</v>
      </c>
      <c r="J60">
        <v>0</v>
      </c>
      <c r="K60">
        <v>0</v>
      </c>
      <c r="L60">
        <v>0</v>
      </c>
      <c r="M60" s="99">
        <v>0</v>
      </c>
      <c r="N60" s="99">
        <v>0</v>
      </c>
      <c r="O60" s="99">
        <v>0</v>
      </c>
      <c r="P60" s="99">
        <v>0</v>
      </c>
      <c r="Q60" s="99">
        <v>104</v>
      </c>
      <c r="R60" s="99">
        <v>0</v>
      </c>
      <c r="S60">
        <v>40776</v>
      </c>
      <c r="T60">
        <v>1454</v>
      </c>
      <c r="U60">
        <v>640</v>
      </c>
      <c r="V60" s="99">
        <v>480</v>
      </c>
      <c r="W60" s="99">
        <v>23945</v>
      </c>
      <c r="X60" s="99">
        <v>386</v>
      </c>
      <c r="Y60" s="99">
        <v>0</v>
      </c>
      <c r="Z60" s="99">
        <v>11</v>
      </c>
      <c r="AA60" s="99">
        <v>0</v>
      </c>
      <c r="AB60" s="99">
        <v>0</v>
      </c>
      <c r="AC60" s="99">
        <v>217</v>
      </c>
      <c r="AD60" s="99">
        <v>0</v>
      </c>
    </row>
    <row r="61" spans="1:30" ht="15" x14ac:dyDescent="0.25">
      <c r="A61">
        <v>176</v>
      </c>
      <c r="B61" s="100" t="s">
        <v>195</v>
      </c>
      <c r="C61" s="99">
        <v>14053</v>
      </c>
      <c r="D61" s="99">
        <v>0</v>
      </c>
      <c r="E61" s="99">
        <v>0</v>
      </c>
      <c r="F61" s="99">
        <v>0</v>
      </c>
      <c r="G61" s="99">
        <v>113</v>
      </c>
      <c r="H61" s="99">
        <v>4175</v>
      </c>
      <c r="I61" s="99">
        <v>0</v>
      </c>
      <c r="J61">
        <v>0</v>
      </c>
      <c r="K61">
        <v>0</v>
      </c>
      <c r="L61">
        <v>0</v>
      </c>
      <c r="M61" s="99">
        <v>0</v>
      </c>
      <c r="N61" s="99">
        <v>0</v>
      </c>
      <c r="O61" s="99">
        <v>0</v>
      </c>
      <c r="P61" s="99">
        <v>0</v>
      </c>
      <c r="Q61" s="99">
        <v>0</v>
      </c>
      <c r="R61" s="99">
        <v>0</v>
      </c>
      <c r="S61">
        <v>47310</v>
      </c>
      <c r="T61">
        <v>2021</v>
      </c>
      <c r="U61">
        <v>0</v>
      </c>
      <c r="V61" s="99">
        <v>630</v>
      </c>
      <c r="W61" s="99">
        <v>28871</v>
      </c>
      <c r="X61" s="99">
        <v>400</v>
      </c>
      <c r="Y61" s="99">
        <v>0</v>
      </c>
      <c r="Z61" s="99">
        <v>84</v>
      </c>
      <c r="AA61" s="99">
        <v>0</v>
      </c>
      <c r="AB61" s="99">
        <v>0</v>
      </c>
      <c r="AC61" s="99">
        <v>0</v>
      </c>
      <c r="AD61" s="99">
        <v>0</v>
      </c>
    </row>
    <row r="62" spans="1:30" ht="15" x14ac:dyDescent="0.25">
      <c r="A62">
        <v>177</v>
      </c>
      <c r="B62" s="100" t="s">
        <v>196</v>
      </c>
      <c r="C62" s="99">
        <v>1881</v>
      </c>
      <c r="D62" s="99">
        <v>0</v>
      </c>
      <c r="E62" s="99">
        <v>0</v>
      </c>
      <c r="F62" s="99">
        <v>309</v>
      </c>
      <c r="G62" s="99">
        <v>0</v>
      </c>
      <c r="H62" s="99">
        <v>14</v>
      </c>
      <c r="I62" s="99">
        <v>0</v>
      </c>
      <c r="J62">
        <v>0</v>
      </c>
      <c r="K62">
        <v>0</v>
      </c>
      <c r="L62">
        <v>0</v>
      </c>
      <c r="M62" s="99">
        <v>0</v>
      </c>
      <c r="N62" s="99">
        <v>0</v>
      </c>
      <c r="O62" s="99">
        <v>0</v>
      </c>
      <c r="P62" s="99">
        <v>0</v>
      </c>
      <c r="Q62" s="99">
        <v>0</v>
      </c>
      <c r="R62" s="99">
        <v>0</v>
      </c>
      <c r="S62">
        <v>12637</v>
      </c>
      <c r="T62">
        <v>475</v>
      </c>
      <c r="U62">
        <v>309</v>
      </c>
      <c r="V62" s="99">
        <v>9</v>
      </c>
      <c r="W62" s="99">
        <v>6960</v>
      </c>
      <c r="X62" s="99">
        <v>140</v>
      </c>
      <c r="Y62" s="99">
        <v>0</v>
      </c>
      <c r="Z62" s="99">
        <v>0</v>
      </c>
      <c r="AA62" s="99">
        <v>0</v>
      </c>
      <c r="AB62" s="99">
        <v>0</v>
      </c>
      <c r="AC62" s="99">
        <v>44</v>
      </c>
      <c r="AD62" s="99">
        <v>0</v>
      </c>
    </row>
    <row r="63" spans="1:30" ht="15" x14ac:dyDescent="0.25">
      <c r="A63">
        <v>178</v>
      </c>
      <c r="B63" s="100" t="s">
        <v>197</v>
      </c>
      <c r="C63" s="99">
        <v>8602</v>
      </c>
      <c r="D63" s="99">
        <v>0</v>
      </c>
      <c r="E63" s="99">
        <v>0</v>
      </c>
      <c r="F63" s="99">
        <v>0</v>
      </c>
      <c r="G63" s="99">
        <v>41</v>
      </c>
      <c r="H63" s="99">
        <v>4076</v>
      </c>
      <c r="I63" s="99">
        <v>12</v>
      </c>
      <c r="J63">
        <v>0</v>
      </c>
      <c r="K63">
        <v>0</v>
      </c>
      <c r="L63">
        <v>0</v>
      </c>
      <c r="M63" s="99">
        <v>0</v>
      </c>
      <c r="N63" s="99">
        <v>0</v>
      </c>
      <c r="O63" s="99">
        <v>0</v>
      </c>
      <c r="P63" s="99">
        <v>0</v>
      </c>
      <c r="Q63" s="99">
        <v>0</v>
      </c>
      <c r="R63" s="99">
        <v>0</v>
      </c>
      <c r="S63">
        <v>46686</v>
      </c>
      <c r="T63">
        <v>1594</v>
      </c>
      <c r="U63">
        <v>0</v>
      </c>
      <c r="V63" s="99">
        <v>188</v>
      </c>
      <c r="W63" s="99">
        <v>29157</v>
      </c>
      <c r="X63" s="99">
        <v>537</v>
      </c>
      <c r="Y63" s="99">
        <v>0</v>
      </c>
      <c r="Z63" s="99">
        <v>329</v>
      </c>
      <c r="AA63" s="99">
        <v>0</v>
      </c>
      <c r="AB63" s="99">
        <v>0</v>
      </c>
      <c r="AC63" s="99">
        <v>0</v>
      </c>
      <c r="AD63" s="99">
        <v>0</v>
      </c>
    </row>
    <row r="64" spans="1:30" ht="15" x14ac:dyDescent="0.25">
      <c r="A64">
        <v>179</v>
      </c>
      <c r="B64" s="100" t="s">
        <v>198</v>
      </c>
      <c r="C64" s="99">
        <v>315008</v>
      </c>
      <c r="D64" s="99">
        <v>0</v>
      </c>
      <c r="E64" s="99">
        <v>0</v>
      </c>
      <c r="F64" s="99">
        <v>0</v>
      </c>
      <c r="G64" s="99">
        <v>2111</v>
      </c>
      <c r="H64" s="99">
        <v>74485</v>
      </c>
      <c r="I64" s="99">
        <v>20103</v>
      </c>
      <c r="J64">
        <v>0</v>
      </c>
      <c r="K64">
        <v>0</v>
      </c>
      <c r="L64">
        <v>0</v>
      </c>
      <c r="M64" s="99">
        <v>0</v>
      </c>
      <c r="N64" s="99">
        <v>0</v>
      </c>
      <c r="O64" s="99">
        <v>0</v>
      </c>
      <c r="P64" s="99">
        <v>0</v>
      </c>
      <c r="Q64" s="99">
        <v>0</v>
      </c>
      <c r="R64" s="99">
        <v>0</v>
      </c>
      <c r="S64">
        <v>934412</v>
      </c>
      <c r="T64">
        <v>54039</v>
      </c>
      <c r="U64">
        <v>0</v>
      </c>
      <c r="V64" s="99">
        <v>24253</v>
      </c>
      <c r="W64" s="99">
        <v>470462</v>
      </c>
      <c r="X64" s="99">
        <v>29402</v>
      </c>
      <c r="Y64" s="99">
        <v>1</v>
      </c>
      <c r="Z64" s="99">
        <v>1838</v>
      </c>
      <c r="AA64" s="99">
        <v>1368</v>
      </c>
      <c r="AB64" s="99">
        <v>0</v>
      </c>
      <c r="AC64" s="99">
        <v>0</v>
      </c>
      <c r="AD64" s="99">
        <v>0</v>
      </c>
    </row>
    <row r="65" spans="1:30" ht="15" x14ac:dyDescent="0.25">
      <c r="A65">
        <v>181</v>
      </c>
      <c r="B65" s="100" t="s">
        <v>199</v>
      </c>
      <c r="C65" s="99">
        <v>1124</v>
      </c>
      <c r="D65" s="99">
        <v>0</v>
      </c>
      <c r="E65" s="99">
        <v>0</v>
      </c>
      <c r="F65" s="99">
        <v>0</v>
      </c>
      <c r="G65" s="99">
        <v>0</v>
      </c>
      <c r="H65" s="99">
        <v>22</v>
      </c>
      <c r="I65" s="99">
        <v>48</v>
      </c>
      <c r="J65">
        <v>0</v>
      </c>
      <c r="K65">
        <v>0</v>
      </c>
      <c r="L65">
        <v>0</v>
      </c>
      <c r="M65" s="99">
        <v>0</v>
      </c>
      <c r="N65" s="99">
        <v>0</v>
      </c>
      <c r="O65" s="99">
        <v>0</v>
      </c>
      <c r="P65" s="99">
        <v>0</v>
      </c>
      <c r="Q65" s="99">
        <v>0</v>
      </c>
      <c r="R65" s="99">
        <v>0</v>
      </c>
      <c r="S65">
        <v>12344</v>
      </c>
      <c r="T65">
        <v>354</v>
      </c>
      <c r="U65">
        <v>0</v>
      </c>
      <c r="V65" s="99">
        <v>55</v>
      </c>
      <c r="W65" s="99">
        <v>7428</v>
      </c>
      <c r="X65" s="99">
        <v>226</v>
      </c>
      <c r="Y65" s="99">
        <v>0</v>
      </c>
      <c r="Z65" s="99">
        <v>0</v>
      </c>
      <c r="AA65" s="99">
        <v>2</v>
      </c>
      <c r="AB65" s="99">
        <v>0</v>
      </c>
      <c r="AC65" s="99">
        <v>0</v>
      </c>
      <c r="AD65" s="99">
        <v>0</v>
      </c>
    </row>
    <row r="66" spans="1:30" ht="15" x14ac:dyDescent="0.25">
      <c r="A66">
        <v>182</v>
      </c>
      <c r="B66" s="100" t="s">
        <v>126</v>
      </c>
      <c r="C66" s="99">
        <v>62287</v>
      </c>
      <c r="D66" s="99">
        <v>0</v>
      </c>
      <c r="E66" s="99">
        <v>381</v>
      </c>
      <c r="F66" s="99">
        <v>876</v>
      </c>
      <c r="G66" s="99">
        <v>220</v>
      </c>
      <c r="H66" s="99">
        <v>28597</v>
      </c>
      <c r="I66" s="99">
        <v>0</v>
      </c>
      <c r="J66">
        <v>0</v>
      </c>
      <c r="K66">
        <v>0</v>
      </c>
      <c r="L66">
        <v>0</v>
      </c>
      <c r="M66" s="99">
        <v>0</v>
      </c>
      <c r="N66" s="99">
        <v>0</v>
      </c>
      <c r="O66" s="99">
        <v>0</v>
      </c>
      <c r="P66" s="99">
        <v>0</v>
      </c>
      <c r="Q66" s="99">
        <v>0</v>
      </c>
      <c r="R66" s="99">
        <v>0</v>
      </c>
      <c r="S66">
        <v>185169</v>
      </c>
      <c r="T66">
        <v>8197</v>
      </c>
      <c r="U66">
        <v>876</v>
      </c>
      <c r="V66" s="99">
        <v>3482</v>
      </c>
      <c r="W66" s="99">
        <v>113103</v>
      </c>
      <c r="X66" s="99">
        <v>1798</v>
      </c>
      <c r="Y66" s="99">
        <v>0</v>
      </c>
      <c r="Z66" s="99">
        <v>243</v>
      </c>
      <c r="AA66" s="99">
        <v>0</v>
      </c>
      <c r="AB66" s="99">
        <v>9</v>
      </c>
      <c r="AC66" s="99">
        <v>9</v>
      </c>
      <c r="AD66" s="99">
        <v>19</v>
      </c>
    </row>
    <row r="67" spans="1:30" ht="15" x14ac:dyDescent="0.25">
      <c r="A67">
        <v>186</v>
      </c>
      <c r="B67" s="100" t="s">
        <v>200</v>
      </c>
      <c r="C67" s="99">
        <v>68434</v>
      </c>
      <c r="D67" s="99">
        <v>0</v>
      </c>
      <c r="E67" s="99">
        <v>1184</v>
      </c>
      <c r="F67" s="99">
        <v>8100</v>
      </c>
      <c r="G67" s="99">
        <v>546</v>
      </c>
      <c r="H67" s="99">
        <v>16094</v>
      </c>
      <c r="I67" s="99">
        <v>0</v>
      </c>
      <c r="J67">
        <v>0</v>
      </c>
      <c r="K67">
        <v>0</v>
      </c>
      <c r="L67">
        <v>0</v>
      </c>
      <c r="M67" s="99">
        <v>0</v>
      </c>
      <c r="N67" s="99">
        <v>0</v>
      </c>
      <c r="O67" s="99">
        <v>0</v>
      </c>
      <c r="P67" s="99">
        <v>0</v>
      </c>
      <c r="Q67" s="99">
        <v>0</v>
      </c>
      <c r="R67" s="99">
        <v>0</v>
      </c>
      <c r="S67">
        <v>259398</v>
      </c>
      <c r="T67">
        <v>15149</v>
      </c>
      <c r="U67">
        <v>8100</v>
      </c>
      <c r="V67" s="99">
        <v>4726</v>
      </c>
      <c r="W67" s="99">
        <v>135870</v>
      </c>
      <c r="X67" s="99">
        <v>2777</v>
      </c>
      <c r="Y67" s="99">
        <v>1</v>
      </c>
      <c r="Z67" s="99">
        <v>121</v>
      </c>
      <c r="AA67" s="99">
        <v>7</v>
      </c>
      <c r="AB67" s="99">
        <v>182</v>
      </c>
      <c r="AC67" s="99">
        <v>3832</v>
      </c>
      <c r="AD67" s="99">
        <v>47</v>
      </c>
    </row>
    <row r="68" spans="1:30" ht="15" x14ac:dyDescent="0.25">
      <c r="A68">
        <v>202</v>
      </c>
      <c r="B68" s="100" t="s">
        <v>201</v>
      </c>
      <c r="C68" s="99">
        <v>54181</v>
      </c>
      <c r="D68" s="99">
        <v>0</v>
      </c>
      <c r="E68" s="99">
        <v>292</v>
      </c>
      <c r="F68" s="99">
        <v>2059</v>
      </c>
      <c r="G68" s="99">
        <v>403</v>
      </c>
      <c r="H68" s="99">
        <v>11626</v>
      </c>
      <c r="I68" s="99">
        <v>0</v>
      </c>
      <c r="J68">
        <v>0</v>
      </c>
      <c r="K68">
        <v>0</v>
      </c>
      <c r="L68">
        <v>0</v>
      </c>
      <c r="M68" s="99">
        <v>0</v>
      </c>
      <c r="N68" s="99">
        <v>0</v>
      </c>
      <c r="O68" s="99">
        <v>0</v>
      </c>
      <c r="P68" s="99">
        <v>127</v>
      </c>
      <c r="Q68" s="99">
        <v>2059</v>
      </c>
      <c r="R68" s="99">
        <v>0</v>
      </c>
      <c r="S68">
        <v>206692</v>
      </c>
      <c r="T68">
        <v>7877</v>
      </c>
      <c r="U68">
        <v>2059</v>
      </c>
      <c r="V68" s="99">
        <v>1791</v>
      </c>
      <c r="W68" s="99">
        <v>102298</v>
      </c>
      <c r="X68" s="99">
        <v>2242</v>
      </c>
      <c r="Y68" s="99">
        <v>0</v>
      </c>
      <c r="Z68" s="99">
        <v>274</v>
      </c>
      <c r="AA68" s="99">
        <v>0</v>
      </c>
      <c r="AB68" s="99">
        <v>0</v>
      </c>
      <c r="AC68" s="99">
        <v>2025</v>
      </c>
      <c r="AD68" s="99">
        <v>0</v>
      </c>
    </row>
    <row r="69" spans="1:30" ht="15" x14ac:dyDescent="0.25">
      <c r="A69">
        <v>204</v>
      </c>
      <c r="B69" s="100" t="s">
        <v>202</v>
      </c>
      <c r="C69" s="99">
        <v>6208</v>
      </c>
      <c r="D69" s="99">
        <v>0</v>
      </c>
      <c r="E69" s="99">
        <v>0</v>
      </c>
      <c r="F69" s="99">
        <v>0</v>
      </c>
      <c r="G69" s="99">
        <v>43</v>
      </c>
      <c r="H69" s="99">
        <v>1270</v>
      </c>
      <c r="I69" s="99">
        <v>0</v>
      </c>
      <c r="J69">
        <v>0</v>
      </c>
      <c r="K69">
        <v>0</v>
      </c>
      <c r="L69">
        <v>0</v>
      </c>
      <c r="M69" s="99">
        <v>0</v>
      </c>
      <c r="N69" s="99">
        <v>0</v>
      </c>
      <c r="O69" s="99">
        <v>0</v>
      </c>
      <c r="P69" s="99">
        <v>0</v>
      </c>
      <c r="Q69" s="99">
        <v>0</v>
      </c>
      <c r="R69" s="99">
        <v>0</v>
      </c>
      <c r="S69">
        <v>27455</v>
      </c>
      <c r="T69">
        <v>709</v>
      </c>
      <c r="U69">
        <v>0</v>
      </c>
      <c r="V69" s="99">
        <v>285</v>
      </c>
      <c r="W69" s="99">
        <v>16661</v>
      </c>
      <c r="X69" s="99">
        <v>273</v>
      </c>
      <c r="Y69" s="99">
        <v>0</v>
      </c>
      <c r="Z69" s="99">
        <v>6</v>
      </c>
      <c r="AA69" s="99">
        <v>0</v>
      </c>
      <c r="AB69" s="99">
        <v>0</v>
      </c>
      <c r="AC69" s="99">
        <v>0</v>
      </c>
      <c r="AD69" s="99">
        <v>0</v>
      </c>
    </row>
    <row r="70" spans="1:30" ht="15" x14ac:dyDescent="0.25">
      <c r="A70">
        <v>205</v>
      </c>
      <c r="B70" s="100" t="s">
        <v>203</v>
      </c>
      <c r="C70" s="99">
        <v>73662</v>
      </c>
      <c r="D70" s="99">
        <v>0</v>
      </c>
      <c r="E70" s="99">
        <v>876</v>
      </c>
      <c r="F70" s="99">
        <v>5787</v>
      </c>
      <c r="G70" s="99">
        <v>0</v>
      </c>
      <c r="H70" s="99">
        <v>4849</v>
      </c>
      <c r="I70" s="99">
        <v>3866</v>
      </c>
      <c r="J70">
        <v>0</v>
      </c>
      <c r="K70">
        <v>0</v>
      </c>
      <c r="L70">
        <v>0</v>
      </c>
      <c r="M70" s="99">
        <v>0</v>
      </c>
      <c r="N70" s="99">
        <v>0</v>
      </c>
      <c r="O70" s="99">
        <v>0</v>
      </c>
      <c r="P70" s="99">
        <v>0</v>
      </c>
      <c r="Q70" s="99">
        <v>0</v>
      </c>
      <c r="R70" s="99">
        <v>0</v>
      </c>
      <c r="S70">
        <v>308074</v>
      </c>
      <c r="T70">
        <v>13353</v>
      </c>
      <c r="U70">
        <v>5787</v>
      </c>
      <c r="V70" s="99">
        <v>512</v>
      </c>
      <c r="W70" s="99">
        <v>132985</v>
      </c>
      <c r="X70" s="99">
        <v>6987</v>
      </c>
      <c r="Y70" s="99">
        <v>0</v>
      </c>
      <c r="Z70" s="99">
        <v>0</v>
      </c>
      <c r="AA70" s="99">
        <v>321</v>
      </c>
      <c r="AB70" s="99">
        <v>0</v>
      </c>
      <c r="AC70" s="99">
        <v>29</v>
      </c>
      <c r="AD70" s="99">
        <v>43</v>
      </c>
    </row>
    <row r="71" spans="1:30" ht="15" x14ac:dyDescent="0.25">
      <c r="A71">
        <v>208</v>
      </c>
      <c r="B71" s="100" t="s">
        <v>204</v>
      </c>
      <c r="C71" s="99">
        <v>21745</v>
      </c>
      <c r="D71" s="99">
        <v>0</v>
      </c>
      <c r="E71" s="99">
        <v>288</v>
      </c>
      <c r="F71" s="99">
        <v>11963</v>
      </c>
      <c r="G71" s="99">
        <v>602</v>
      </c>
      <c r="H71" s="99">
        <v>10410</v>
      </c>
      <c r="I71" s="99">
        <v>46</v>
      </c>
      <c r="J71">
        <v>0</v>
      </c>
      <c r="K71">
        <v>0</v>
      </c>
      <c r="L71">
        <v>0</v>
      </c>
      <c r="M71" s="99">
        <v>0</v>
      </c>
      <c r="N71" s="99">
        <v>0</v>
      </c>
      <c r="O71" s="99">
        <v>0</v>
      </c>
      <c r="P71" s="99">
        <v>402</v>
      </c>
      <c r="Q71" s="99">
        <v>471</v>
      </c>
      <c r="R71" s="99">
        <v>0</v>
      </c>
      <c r="S71">
        <v>83359</v>
      </c>
      <c r="T71">
        <v>5005</v>
      </c>
      <c r="U71">
        <v>11253</v>
      </c>
      <c r="V71" s="99">
        <v>1613</v>
      </c>
      <c r="W71" s="99">
        <v>41222</v>
      </c>
      <c r="X71" s="99">
        <v>1152</v>
      </c>
      <c r="Y71" s="99">
        <v>0</v>
      </c>
      <c r="Z71" s="99">
        <v>102</v>
      </c>
      <c r="AA71" s="99">
        <v>3</v>
      </c>
      <c r="AB71" s="99">
        <v>271</v>
      </c>
      <c r="AC71" s="99">
        <v>2965</v>
      </c>
      <c r="AD71" s="99">
        <v>14</v>
      </c>
    </row>
    <row r="72" spans="1:30" ht="15" x14ac:dyDescent="0.25">
      <c r="A72">
        <v>211</v>
      </c>
      <c r="B72" s="100" t="s">
        <v>205</v>
      </c>
      <c r="C72" s="99">
        <v>73567</v>
      </c>
      <c r="D72" s="99">
        <v>0</v>
      </c>
      <c r="E72" s="99">
        <v>35</v>
      </c>
      <c r="F72" s="99">
        <v>0</v>
      </c>
      <c r="G72" s="99">
        <v>153</v>
      </c>
      <c r="H72" s="99">
        <v>28534</v>
      </c>
      <c r="I72" s="99">
        <v>0</v>
      </c>
      <c r="J72">
        <v>0</v>
      </c>
      <c r="K72">
        <v>0</v>
      </c>
      <c r="L72">
        <v>0</v>
      </c>
      <c r="M72" s="99">
        <v>0</v>
      </c>
      <c r="N72" s="99">
        <v>0</v>
      </c>
      <c r="O72" s="99">
        <v>0</v>
      </c>
      <c r="P72" s="99">
        <v>0</v>
      </c>
      <c r="Q72" s="99">
        <v>0</v>
      </c>
      <c r="R72" s="99">
        <v>0</v>
      </c>
      <c r="S72">
        <v>214111</v>
      </c>
      <c r="T72">
        <v>12707</v>
      </c>
      <c r="U72">
        <v>0</v>
      </c>
      <c r="V72" s="99">
        <v>193</v>
      </c>
      <c r="W72" s="99">
        <v>110086</v>
      </c>
      <c r="X72" s="99">
        <v>2057</v>
      </c>
      <c r="Y72" s="99">
        <v>0</v>
      </c>
      <c r="Z72" s="99">
        <v>183</v>
      </c>
      <c r="AA72" s="99">
        <v>0</v>
      </c>
      <c r="AB72" s="99">
        <v>0</v>
      </c>
      <c r="AC72" s="99">
        <v>0</v>
      </c>
      <c r="AD72" s="99">
        <v>0</v>
      </c>
    </row>
    <row r="73" spans="1:30" ht="15" x14ac:dyDescent="0.25">
      <c r="A73">
        <v>213</v>
      </c>
      <c r="B73" s="100" t="s">
        <v>206</v>
      </c>
      <c r="C73" s="99">
        <v>9259</v>
      </c>
      <c r="D73" s="99">
        <v>0</v>
      </c>
      <c r="E73" s="99">
        <v>0</v>
      </c>
      <c r="F73" s="99">
        <v>638</v>
      </c>
      <c r="G73" s="99">
        <v>36</v>
      </c>
      <c r="H73" s="99">
        <v>2979</v>
      </c>
      <c r="I73" s="99">
        <v>62</v>
      </c>
      <c r="J73">
        <v>0</v>
      </c>
      <c r="K73">
        <v>0</v>
      </c>
      <c r="L73">
        <v>0</v>
      </c>
      <c r="M73" s="99">
        <v>0</v>
      </c>
      <c r="N73" s="99">
        <v>0</v>
      </c>
      <c r="O73" s="99">
        <v>0</v>
      </c>
      <c r="P73" s="99">
        <v>0</v>
      </c>
      <c r="Q73" s="99">
        <v>0</v>
      </c>
      <c r="R73" s="99">
        <v>0</v>
      </c>
      <c r="S73">
        <v>44577</v>
      </c>
      <c r="T73">
        <v>1978</v>
      </c>
      <c r="U73">
        <v>638</v>
      </c>
      <c r="V73" s="99">
        <v>237</v>
      </c>
      <c r="W73" s="99">
        <v>26561</v>
      </c>
      <c r="X73" s="99">
        <v>554</v>
      </c>
      <c r="Y73" s="99">
        <v>0</v>
      </c>
      <c r="Z73" s="99">
        <v>67</v>
      </c>
      <c r="AA73" s="99">
        <v>9</v>
      </c>
      <c r="AB73" s="99">
        <v>0</v>
      </c>
      <c r="AC73" s="99">
        <v>481</v>
      </c>
      <c r="AD73" s="99">
        <v>0</v>
      </c>
    </row>
    <row r="74" spans="1:30" ht="15" x14ac:dyDescent="0.25">
      <c r="A74">
        <v>214</v>
      </c>
      <c r="B74" s="100" t="s">
        <v>207</v>
      </c>
      <c r="C74" s="99">
        <v>14547</v>
      </c>
      <c r="D74" s="99">
        <v>0</v>
      </c>
      <c r="E74" s="99">
        <v>111</v>
      </c>
      <c r="F74" s="99">
        <v>0</v>
      </c>
      <c r="G74" s="99">
        <v>141</v>
      </c>
      <c r="H74" s="99">
        <v>839</v>
      </c>
      <c r="I74" s="99">
        <v>0</v>
      </c>
      <c r="J74">
        <v>0</v>
      </c>
      <c r="K74">
        <v>0</v>
      </c>
      <c r="L74">
        <v>0</v>
      </c>
      <c r="M74" s="99">
        <v>0</v>
      </c>
      <c r="N74" s="99">
        <v>0</v>
      </c>
      <c r="O74" s="99">
        <v>0</v>
      </c>
      <c r="P74" s="99">
        <v>0</v>
      </c>
      <c r="Q74" s="99">
        <v>0</v>
      </c>
      <c r="R74" s="99">
        <v>0</v>
      </c>
      <c r="S74">
        <v>80213</v>
      </c>
      <c r="T74">
        <v>2508</v>
      </c>
      <c r="U74">
        <v>0</v>
      </c>
      <c r="V74" s="99">
        <v>963</v>
      </c>
      <c r="W74" s="99">
        <v>40962</v>
      </c>
      <c r="X74" s="99">
        <v>1153</v>
      </c>
      <c r="Y74" s="99">
        <v>0</v>
      </c>
      <c r="Z74" s="99">
        <v>0</v>
      </c>
      <c r="AA74" s="99">
        <v>0</v>
      </c>
      <c r="AB74" s="99">
        <v>0</v>
      </c>
      <c r="AC74" s="99">
        <v>0</v>
      </c>
      <c r="AD74" s="99">
        <v>0</v>
      </c>
    </row>
    <row r="75" spans="1:30" ht="15" x14ac:dyDescent="0.25">
      <c r="A75">
        <v>216</v>
      </c>
      <c r="B75" s="100" t="s">
        <v>208</v>
      </c>
      <c r="C75" s="99">
        <v>6128</v>
      </c>
      <c r="D75" s="99">
        <v>0</v>
      </c>
      <c r="E75" s="99">
        <v>0</v>
      </c>
      <c r="F75" s="99">
        <v>167</v>
      </c>
      <c r="G75" s="99">
        <v>0</v>
      </c>
      <c r="H75" s="99">
        <v>6</v>
      </c>
      <c r="I75" s="99">
        <v>0</v>
      </c>
      <c r="J75">
        <v>0</v>
      </c>
      <c r="K75">
        <v>0</v>
      </c>
      <c r="L75">
        <v>0</v>
      </c>
      <c r="M75" s="99">
        <v>0</v>
      </c>
      <c r="N75" s="99">
        <v>0</v>
      </c>
      <c r="O75" s="99">
        <v>0</v>
      </c>
      <c r="P75" s="99">
        <v>0</v>
      </c>
      <c r="Q75" s="99">
        <v>0</v>
      </c>
      <c r="R75" s="99">
        <v>0</v>
      </c>
      <c r="S75">
        <v>15235</v>
      </c>
      <c r="T75">
        <v>943</v>
      </c>
      <c r="U75">
        <v>167</v>
      </c>
      <c r="V75" s="99">
        <v>117</v>
      </c>
      <c r="W75" s="99">
        <v>6986</v>
      </c>
      <c r="X75" s="99">
        <v>128</v>
      </c>
      <c r="Y75" s="99">
        <v>0</v>
      </c>
      <c r="Z75" s="99">
        <v>0</v>
      </c>
      <c r="AA75" s="99">
        <v>0</v>
      </c>
      <c r="AB75" s="99">
        <v>0</v>
      </c>
      <c r="AC75" s="99">
        <v>0</v>
      </c>
      <c r="AD75" s="99">
        <v>0</v>
      </c>
    </row>
    <row r="76" spans="1:30" ht="15" x14ac:dyDescent="0.25">
      <c r="A76">
        <v>217</v>
      </c>
      <c r="B76" s="100" t="s">
        <v>209</v>
      </c>
      <c r="C76" s="99">
        <v>6745</v>
      </c>
      <c r="D76" s="99">
        <v>0</v>
      </c>
      <c r="E76" s="99">
        <v>0</v>
      </c>
      <c r="F76" s="99">
        <v>0</v>
      </c>
      <c r="G76" s="99">
        <v>0</v>
      </c>
      <c r="H76" s="99">
        <v>84</v>
      </c>
      <c r="I76" s="99">
        <v>0</v>
      </c>
      <c r="J76">
        <v>0</v>
      </c>
      <c r="K76">
        <v>0</v>
      </c>
      <c r="L76">
        <v>0</v>
      </c>
      <c r="M76" s="99">
        <v>0</v>
      </c>
      <c r="N76" s="99">
        <v>0</v>
      </c>
      <c r="O76" s="99">
        <v>0</v>
      </c>
      <c r="P76" s="99">
        <v>0</v>
      </c>
      <c r="Q76" s="99">
        <v>0</v>
      </c>
      <c r="R76" s="99">
        <v>0</v>
      </c>
      <c r="S76">
        <v>36387</v>
      </c>
      <c r="T76">
        <v>1071</v>
      </c>
      <c r="U76">
        <v>0</v>
      </c>
      <c r="V76" s="99">
        <v>119</v>
      </c>
      <c r="W76" s="99">
        <v>18437</v>
      </c>
      <c r="X76" s="99">
        <v>462</v>
      </c>
      <c r="Y76" s="99">
        <v>0</v>
      </c>
      <c r="Z76" s="99">
        <v>0</v>
      </c>
      <c r="AA76" s="99">
        <v>20</v>
      </c>
      <c r="AB76" s="99">
        <v>0</v>
      </c>
      <c r="AC76" s="99">
        <v>0</v>
      </c>
      <c r="AD76" s="99">
        <v>0</v>
      </c>
    </row>
    <row r="77" spans="1:30" ht="15" x14ac:dyDescent="0.25">
      <c r="A77">
        <v>218</v>
      </c>
      <c r="B77" s="100" t="s">
        <v>210</v>
      </c>
      <c r="C77" s="99">
        <v>1242</v>
      </c>
      <c r="D77" s="99">
        <v>0</v>
      </c>
      <c r="E77" s="99">
        <v>0</v>
      </c>
      <c r="F77" s="99">
        <v>147</v>
      </c>
      <c r="G77" s="99">
        <v>0</v>
      </c>
      <c r="H77" s="99">
        <v>40</v>
      </c>
      <c r="I77" s="99">
        <v>0</v>
      </c>
      <c r="J77">
        <v>0</v>
      </c>
      <c r="K77">
        <v>0</v>
      </c>
      <c r="L77">
        <v>0</v>
      </c>
      <c r="M77" s="99">
        <v>0</v>
      </c>
      <c r="N77" s="99">
        <v>0</v>
      </c>
      <c r="O77" s="99">
        <v>0</v>
      </c>
      <c r="P77" s="99">
        <v>0</v>
      </c>
      <c r="Q77" s="99">
        <v>0</v>
      </c>
      <c r="R77" s="99">
        <v>0</v>
      </c>
      <c r="S77">
        <v>9288</v>
      </c>
      <c r="T77">
        <v>249</v>
      </c>
      <c r="U77">
        <v>147</v>
      </c>
      <c r="V77" s="99">
        <v>12</v>
      </c>
      <c r="W77" s="99">
        <v>5635</v>
      </c>
      <c r="X77" s="99">
        <v>124</v>
      </c>
      <c r="Y77" s="99">
        <v>0</v>
      </c>
      <c r="Z77" s="99">
        <v>0</v>
      </c>
      <c r="AA77" s="99">
        <v>0</v>
      </c>
      <c r="AB77" s="99">
        <v>0</v>
      </c>
      <c r="AC77" s="99">
        <v>0</v>
      </c>
      <c r="AD77" s="99">
        <v>0</v>
      </c>
    </row>
    <row r="78" spans="1:30" ht="15" x14ac:dyDescent="0.25">
      <c r="A78">
        <v>224</v>
      </c>
      <c r="B78" s="100" t="s">
        <v>211</v>
      </c>
      <c r="C78" s="99">
        <v>13798</v>
      </c>
      <c r="D78" s="99">
        <v>0</v>
      </c>
      <c r="E78" s="99">
        <v>0</v>
      </c>
      <c r="F78" s="99">
        <v>0</v>
      </c>
      <c r="G78" s="99">
        <v>8</v>
      </c>
      <c r="H78" s="99">
        <v>468</v>
      </c>
      <c r="I78" s="99">
        <v>0</v>
      </c>
      <c r="J78">
        <v>0</v>
      </c>
      <c r="K78">
        <v>0</v>
      </c>
      <c r="L78">
        <v>0</v>
      </c>
      <c r="M78" s="99">
        <v>0</v>
      </c>
      <c r="N78" s="99">
        <v>0</v>
      </c>
      <c r="O78" s="99">
        <v>0</v>
      </c>
      <c r="P78" s="99">
        <v>0</v>
      </c>
      <c r="Q78" s="99">
        <v>0</v>
      </c>
      <c r="R78" s="99">
        <v>0</v>
      </c>
      <c r="S78">
        <v>58880</v>
      </c>
      <c r="T78">
        <v>2013</v>
      </c>
      <c r="U78">
        <v>0</v>
      </c>
      <c r="V78" s="99">
        <v>660</v>
      </c>
      <c r="W78" s="99">
        <v>30999</v>
      </c>
      <c r="X78" s="99">
        <v>604</v>
      </c>
      <c r="Y78" s="99">
        <v>0</v>
      </c>
      <c r="Z78" s="99">
        <v>0</v>
      </c>
      <c r="AA78" s="99">
        <v>0</v>
      </c>
      <c r="AB78" s="99">
        <v>0</v>
      </c>
      <c r="AC78" s="99">
        <v>0</v>
      </c>
      <c r="AD78" s="99">
        <v>0</v>
      </c>
    </row>
    <row r="79" spans="1:30" ht="15" x14ac:dyDescent="0.25">
      <c r="A79">
        <v>226</v>
      </c>
      <c r="B79" s="100" t="s">
        <v>212</v>
      </c>
      <c r="C79" s="99">
        <v>11358</v>
      </c>
      <c r="D79" s="99">
        <v>0</v>
      </c>
      <c r="E79" s="99">
        <v>0</v>
      </c>
      <c r="F79" s="99">
        <v>0</v>
      </c>
      <c r="G79" s="99">
        <v>30</v>
      </c>
      <c r="H79" s="99">
        <v>99</v>
      </c>
      <c r="I79" s="99">
        <v>0</v>
      </c>
      <c r="J79">
        <v>0</v>
      </c>
      <c r="K79">
        <v>0</v>
      </c>
      <c r="L79">
        <v>0</v>
      </c>
      <c r="M79" s="99">
        <v>0</v>
      </c>
      <c r="N79" s="99">
        <v>0</v>
      </c>
      <c r="O79" s="99">
        <v>0</v>
      </c>
      <c r="P79" s="99">
        <v>0</v>
      </c>
      <c r="Q79" s="99">
        <v>0</v>
      </c>
      <c r="R79" s="99">
        <v>0</v>
      </c>
      <c r="S79">
        <v>36119</v>
      </c>
      <c r="T79">
        <v>1892</v>
      </c>
      <c r="U79">
        <v>0</v>
      </c>
      <c r="V79" s="99">
        <v>117</v>
      </c>
      <c r="W79" s="99">
        <v>16657</v>
      </c>
      <c r="X79" s="99">
        <v>353</v>
      </c>
      <c r="Y79" s="99">
        <v>0</v>
      </c>
      <c r="Z79" s="99">
        <v>6</v>
      </c>
      <c r="AA79" s="99">
        <v>0</v>
      </c>
      <c r="AB79" s="99">
        <v>0</v>
      </c>
      <c r="AC79" s="99">
        <v>0</v>
      </c>
      <c r="AD79" s="99">
        <v>0</v>
      </c>
    </row>
    <row r="80" spans="1:30" ht="15" x14ac:dyDescent="0.25">
      <c r="A80">
        <v>230</v>
      </c>
      <c r="B80" s="100" t="s">
        <v>213</v>
      </c>
      <c r="C80" s="99">
        <v>1556</v>
      </c>
      <c r="D80" s="99">
        <v>0</v>
      </c>
      <c r="E80" s="99">
        <v>0</v>
      </c>
      <c r="F80" s="99">
        <v>881</v>
      </c>
      <c r="G80" s="99">
        <v>0</v>
      </c>
      <c r="H80" s="99">
        <v>46</v>
      </c>
      <c r="I80" s="99">
        <v>0</v>
      </c>
      <c r="J80">
        <v>0</v>
      </c>
      <c r="K80">
        <v>0</v>
      </c>
      <c r="L80">
        <v>0</v>
      </c>
      <c r="M80" s="99">
        <v>0</v>
      </c>
      <c r="N80" s="99">
        <v>0</v>
      </c>
      <c r="O80" s="99">
        <v>0</v>
      </c>
      <c r="P80" s="99">
        <v>0</v>
      </c>
      <c r="Q80" s="99">
        <v>13</v>
      </c>
      <c r="R80" s="99">
        <v>0</v>
      </c>
      <c r="S80">
        <v>16067</v>
      </c>
      <c r="T80">
        <v>830</v>
      </c>
      <c r="U80">
        <v>883</v>
      </c>
      <c r="V80" s="99">
        <v>149</v>
      </c>
      <c r="W80" s="99">
        <v>9355</v>
      </c>
      <c r="X80" s="99">
        <v>387</v>
      </c>
      <c r="Y80" s="99">
        <v>0</v>
      </c>
      <c r="Z80" s="99">
        <v>0</v>
      </c>
      <c r="AA80" s="99">
        <v>0</v>
      </c>
      <c r="AB80" s="99">
        <v>0</v>
      </c>
      <c r="AC80" s="99">
        <v>22</v>
      </c>
      <c r="AD80" s="99">
        <v>1</v>
      </c>
    </row>
    <row r="81" spans="1:30" ht="15" x14ac:dyDescent="0.25">
      <c r="A81">
        <v>231</v>
      </c>
      <c r="B81" s="100" t="s">
        <v>214</v>
      </c>
      <c r="C81" s="99">
        <v>4154</v>
      </c>
      <c r="D81" s="99">
        <v>0</v>
      </c>
      <c r="E81" s="99">
        <v>0</v>
      </c>
      <c r="F81" s="99">
        <v>0</v>
      </c>
      <c r="G81" s="99">
        <v>0</v>
      </c>
      <c r="H81" s="99">
        <v>449</v>
      </c>
      <c r="I81" s="99">
        <v>25</v>
      </c>
      <c r="J81">
        <v>0</v>
      </c>
      <c r="K81">
        <v>0</v>
      </c>
      <c r="L81">
        <v>0</v>
      </c>
      <c r="M81" s="99">
        <v>0</v>
      </c>
      <c r="N81" s="99">
        <v>0</v>
      </c>
      <c r="O81" s="99">
        <v>0</v>
      </c>
      <c r="P81" s="99">
        <v>0</v>
      </c>
      <c r="Q81" s="99">
        <v>0</v>
      </c>
      <c r="R81" s="99">
        <v>0</v>
      </c>
      <c r="S81">
        <v>11884</v>
      </c>
      <c r="T81">
        <v>900</v>
      </c>
      <c r="U81">
        <v>0</v>
      </c>
      <c r="V81" s="99">
        <v>0</v>
      </c>
      <c r="W81" s="99">
        <v>5718</v>
      </c>
      <c r="X81" s="99">
        <v>95</v>
      </c>
      <c r="Y81" s="99">
        <v>0</v>
      </c>
      <c r="Z81" s="99">
        <v>6</v>
      </c>
      <c r="AA81" s="99">
        <v>0</v>
      </c>
      <c r="AB81" s="99">
        <v>0</v>
      </c>
      <c r="AC81" s="99">
        <v>0</v>
      </c>
      <c r="AD81" s="99">
        <v>0</v>
      </c>
    </row>
    <row r="82" spans="1:30" ht="15" x14ac:dyDescent="0.25">
      <c r="A82">
        <v>232</v>
      </c>
      <c r="B82" s="100" t="s">
        <v>215</v>
      </c>
      <c r="C82" s="99">
        <v>50860</v>
      </c>
      <c r="D82" s="99">
        <v>0</v>
      </c>
      <c r="E82" s="99">
        <v>150</v>
      </c>
      <c r="F82" s="99">
        <v>2356</v>
      </c>
      <c r="G82" s="99">
        <v>126</v>
      </c>
      <c r="H82" s="99">
        <v>38067</v>
      </c>
      <c r="I82" s="99">
        <v>0</v>
      </c>
      <c r="J82">
        <v>0</v>
      </c>
      <c r="K82">
        <v>0</v>
      </c>
      <c r="L82">
        <v>0</v>
      </c>
      <c r="M82" s="99">
        <v>0</v>
      </c>
      <c r="N82" s="99">
        <v>0</v>
      </c>
      <c r="O82" s="99">
        <v>0</v>
      </c>
      <c r="P82" s="99">
        <v>0</v>
      </c>
      <c r="Q82" s="99">
        <v>0</v>
      </c>
      <c r="R82" s="99">
        <v>0</v>
      </c>
      <c r="S82">
        <v>133243</v>
      </c>
      <c r="T82">
        <v>4317</v>
      </c>
      <c r="U82">
        <v>2354</v>
      </c>
      <c r="V82" s="99">
        <v>707</v>
      </c>
      <c r="W82" s="99">
        <v>91530</v>
      </c>
      <c r="X82" s="99">
        <v>1188</v>
      </c>
      <c r="Y82" s="99">
        <v>0</v>
      </c>
      <c r="Z82" s="99">
        <v>0</v>
      </c>
      <c r="AA82" s="99">
        <v>1</v>
      </c>
      <c r="AB82" s="99">
        <v>0</v>
      </c>
      <c r="AC82" s="99">
        <v>4</v>
      </c>
      <c r="AD82" s="99">
        <v>0</v>
      </c>
    </row>
    <row r="83" spans="1:30" ht="15" x14ac:dyDescent="0.25">
      <c r="A83">
        <v>233</v>
      </c>
      <c r="B83" s="100" t="s">
        <v>216</v>
      </c>
      <c r="C83" s="99">
        <v>22213</v>
      </c>
      <c r="D83" s="99">
        <v>0</v>
      </c>
      <c r="E83" s="99">
        <v>0</v>
      </c>
      <c r="F83" s="99">
        <v>376</v>
      </c>
      <c r="G83" s="99">
        <v>0</v>
      </c>
      <c r="H83" s="99">
        <v>181</v>
      </c>
      <c r="I83" s="99">
        <v>0</v>
      </c>
      <c r="J83">
        <v>0</v>
      </c>
      <c r="K83">
        <v>0</v>
      </c>
      <c r="L83">
        <v>0</v>
      </c>
      <c r="M83" s="99">
        <v>0</v>
      </c>
      <c r="N83" s="99">
        <v>0</v>
      </c>
      <c r="O83" s="99">
        <v>0</v>
      </c>
      <c r="P83" s="99">
        <v>0</v>
      </c>
      <c r="Q83" s="99">
        <v>0</v>
      </c>
      <c r="R83" s="99">
        <v>0</v>
      </c>
      <c r="S83">
        <v>118345</v>
      </c>
      <c r="T83">
        <v>3941</v>
      </c>
      <c r="U83">
        <v>376</v>
      </c>
      <c r="V83" s="99">
        <v>575</v>
      </c>
      <c r="W83" s="99">
        <v>60293</v>
      </c>
      <c r="X83" s="99">
        <v>1426</v>
      </c>
      <c r="Y83" s="99">
        <v>0</v>
      </c>
      <c r="Z83" s="99">
        <v>0</v>
      </c>
      <c r="AA83" s="99">
        <v>3</v>
      </c>
      <c r="AB83" s="99">
        <v>0</v>
      </c>
      <c r="AC83" s="99">
        <v>5</v>
      </c>
      <c r="AD83" s="99">
        <v>0</v>
      </c>
    </row>
    <row r="84" spans="1:30" ht="15" x14ac:dyDescent="0.25">
      <c r="A84">
        <v>235</v>
      </c>
      <c r="B84" s="100" t="s">
        <v>217</v>
      </c>
      <c r="C84" s="99">
        <v>31164</v>
      </c>
      <c r="D84" s="99">
        <v>0</v>
      </c>
      <c r="E84" s="99">
        <v>0</v>
      </c>
      <c r="F84" s="99">
        <v>0</v>
      </c>
      <c r="G84" s="99">
        <v>0</v>
      </c>
      <c r="H84" s="99">
        <v>4098</v>
      </c>
      <c r="I84" s="99">
        <v>0</v>
      </c>
      <c r="J84">
        <v>0</v>
      </c>
      <c r="K84">
        <v>0</v>
      </c>
      <c r="L84">
        <v>0</v>
      </c>
      <c r="M84" s="99">
        <v>0</v>
      </c>
      <c r="N84" s="99">
        <v>0</v>
      </c>
      <c r="O84" s="99">
        <v>0</v>
      </c>
      <c r="P84" s="99">
        <v>0</v>
      </c>
      <c r="Q84" s="99">
        <v>0</v>
      </c>
      <c r="R84" s="99">
        <v>0</v>
      </c>
      <c r="S84">
        <v>83352</v>
      </c>
      <c r="T84">
        <v>6882</v>
      </c>
      <c r="U84">
        <v>0</v>
      </c>
      <c r="V84" s="99">
        <v>278</v>
      </c>
      <c r="W84" s="99">
        <v>31872</v>
      </c>
      <c r="X84" s="99">
        <v>828</v>
      </c>
      <c r="Y84" s="99">
        <v>0</v>
      </c>
      <c r="Z84" s="99">
        <v>5</v>
      </c>
      <c r="AA84" s="99">
        <v>0</v>
      </c>
      <c r="AB84" s="99">
        <v>0</v>
      </c>
      <c r="AC84" s="99">
        <v>0</v>
      </c>
      <c r="AD84" s="99">
        <v>0</v>
      </c>
    </row>
    <row r="85" spans="1:30" ht="15" x14ac:dyDescent="0.25">
      <c r="A85">
        <v>236</v>
      </c>
      <c r="B85" s="100" t="s">
        <v>218</v>
      </c>
      <c r="C85" s="99">
        <v>9117</v>
      </c>
      <c r="D85" s="99">
        <v>0</v>
      </c>
      <c r="E85" s="99">
        <v>0</v>
      </c>
      <c r="F85" s="99">
        <v>502</v>
      </c>
      <c r="G85" s="99">
        <v>0</v>
      </c>
      <c r="H85" s="99">
        <v>5</v>
      </c>
      <c r="I85" s="99">
        <v>11</v>
      </c>
      <c r="J85">
        <v>0</v>
      </c>
      <c r="K85">
        <v>0</v>
      </c>
      <c r="L85">
        <v>0</v>
      </c>
      <c r="M85" s="99">
        <v>0</v>
      </c>
      <c r="N85" s="99">
        <v>0</v>
      </c>
      <c r="O85" s="99">
        <v>0</v>
      </c>
      <c r="P85" s="99">
        <v>0</v>
      </c>
      <c r="Q85" s="99">
        <v>0</v>
      </c>
      <c r="R85" s="99">
        <v>0</v>
      </c>
      <c r="S85">
        <v>31486</v>
      </c>
      <c r="T85">
        <v>1113</v>
      </c>
      <c r="U85">
        <v>502</v>
      </c>
      <c r="V85" s="99">
        <v>119</v>
      </c>
      <c r="W85" s="99">
        <v>13208</v>
      </c>
      <c r="X85" s="99">
        <v>288</v>
      </c>
      <c r="Y85" s="99">
        <v>0</v>
      </c>
      <c r="Z85" s="99">
        <v>0</v>
      </c>
      <c r="AA85" s="99">
        <v>22</v>
      </c>
      <c r="AB85" s="99">
        <v>0</v>
      </c>
      <c r="AC85" s="99">
        <v>3</v>
      </c>
      <c r="AD85" s="99">
        <v>2</v>
      </c>
    </row>
    <row r="86" spans="1:30" ht="15" x14ac:dyDescent="0.25">
      <c r="A86">
        <v>239</v>
      </c>
      <c r="B86" s="100" t="s">
        <v>219</v>
      </c>
      <c r="C86" s="99">
        <v>3978</v>
      </c>
      <c r="D86" s="99">
        <v>0</v>
      </c>
      <c r="E86" s="99">
        <v>0</v>
      </c>
      <c r="F86" s="99">
        <v>0</v>
      </c>
      <c r="G86" s="99">
        <v>15</v>
      </c>
      <c r="H86" s="99">
        <v>1570</v>
      </c>
      <c r="I86" s="99">
        <v>68</v>
      </c>
      <c r="J86">
        <v>0</v>
      </c>
      <c r="K86">
        <v>0</v>
      </c>
      <c r="L86">
        <v>0</v>
      </c>
      <c r="M86" s="99">
        <v>0</v>
      </c>
      <c r="N86" s="99">
        <v>0</v>
      </c>
      <c r="O86" s="99">
        <v>0</v>
      </c>
      <c r="P86" s="99">
        <v>0</v>
      </c>
      <c r="Q86" s="99">
        <v>0</v>
      </c>
      <c r="R86" s="99">
        <v>0</v>
      </c>
      <c r="S86">
        <v>18089</v>
      </c>
      <c r="T86">
        <v>557</v>
      </c>
      <c r="U86">
        <v>0</v>
      </c>
      <c r="V86" s="99">
        <v>124</v>
      </c>
      <c r="W86" s="99">
        <v>11147</v>
      </c>
      <c r="X86" s="99">
        <v>231</v>
      </c>
      <c r="Y86" s="99">
        <v>0</v>
      </c>
      <c r="Z86" s="99">
        <v>51</v>
      </c>
      <c r="AA86" s="99">
        <v>12</v>
      </c>
      <c r="AB86" s="99">
        <v>0</v>
      </c>
      <c r="AC86" s="99">
        <v>0</v>
      </c>
      <c r="AD86" s="99">
        <v>0</v>
      </c>
    </row>
    <row r="87" spans="1:30" ht="15" x14ac:dyDescent="0.25">
      <c r="A87">
        <v>240</v>
      </c>
      <c r="B87" s="100" t="s">
        <v>220</v>
      </c>
      <c r="C87" s="99">
        <v>40129</v>
      </c>
      <c r="D87" s="99">
        <v>0</v>
      </c>
      <c r="E87" s="99">
        <v>294</v>
      </c>
      <c r="F87" s="99">
        <v>185</v>
      </c>
      <c r="G87" s="99">
        <v>947</v>
      </c>
      <c r="H87" s="99">
        <v>13229</v>
      </c>
      <c r="I87" s="99">
        <v>0</v>
      </c>
      <c r="J87">
        <v>0</v>
      </c>
      <c r="K87">
        <v>0</v>
      </c>
      <c r="L87">
        <v>0</v>
      </c>
      <c r="M87" s="99">
        <v>0</v>
      </c>
      <c r="N87" s="99">
        <v>0</v>
      </c>
      <c r="O87" s="99">
        <v>0</v>
      </c>
      <c r="P87" s="99">
        <v>0</v>
      </c>
      <c r="Q87" s="99">
        <v>5</v>
      </c>
      <c r="R87" s="99">
        <v>0</v>
      </c>
      <c r="S87">
        <v>169950</v>
      </c>
      <c r="T87">
        <v>4579</v>
      </c>
      <c r="U87">
        <v>185</v>
      </c>
      <c r="V87" s="99">
        <v>4061</v>
      </c>
      <c r="W87" s="99">
        <v>98649</v>
      </c>
      <c r="X87" s="99">
        <v>2274</v>
      </c>
      <c r="Y87" s="99">
        <v>0</v>
      </c>
      <c r="Z87" s="99">
        <v>178</v>
      </c>
      <c r="AA87" s="99">
        <v>0</v>
      </c>
      <c r="AB87" s="99">
        <v>0</v>
      </c>
      <c r="AC87" s="99">
        <v>5</v>
      </c>
      <c r="AD87" s="99">
        <v>0</v>
      </c>
    </row>
    <row r="88" spans="1:30" ht="15" x14ac:dyDescent="0.25">
      <c r="A88">
        <v>241</v>
      </c>
      <c r="B88" s="100" t="s">
        <v>222</v>
      </c>
      <c r="C88" s="99">
        <v>9707</v>
      </c>
      <c r="D88" s="99">
        <v>0</v>
      </c>
      <c r="E88" s="99">
        <v>0</v>
      </c>
      <c r="F88" s="99">
        <v>1055</v>
      </c>
      <c r="G88" s="99">
        <v>33</v>
      </c>
      <c r="H88" s="99">
        <v>3938</v>
      </c>
      <c r="I88" s="99">
        <v>0</v>
      </c>
      <c r="J88">
        <v>0</v>
      </c>
      <c r="K88">
        <v>0</v>
      </c>
      <c r="L88">
        <v>0</v>
      </c>
      <c r="M88" s="99">
        <v>0</v>
      </c>
      <c r="N88" s="99">
        <v>0</v>
      </c>
      <c r="O88" s="99">
        <v>0</v>
      </c>
      <c r="P88" s="99">
        <v>0</v>
      </c>
      <c r="Q88" s="99">
        <v>229</v>
      </c>
      <c r="R88" s="99">
        <v>0</v>
      </c>
      <c r="S88">
        <v>55812</v>
      </c>
      <c r="T88">
        <v>1870</v>
      </c>
      <c r="U88">
        <v>1055</v>
      </c>
      <c r="V88" s="99">
        <v>503</v>
      </c>
      <c r="W88" s="99">
        <v>31773</v>
      </c>
      <c r="X88" s="99">
        <v>573</v>
      </c>
      <c r="Y88" s="99">
        <v>0</v>
      </c>
      <c r="Z88" s="99">
        <v>432</v>
      </c>
      <c r="AA88" s="99">
        <v>0</v>
      </c>
      <c r="AB88" s="99">
        <v>2</v>
      </c>
      <c r="AC88" s="99">
        <v>768</v>
      </c>
      <c r="AD88" s="99">
        <v>9</v>
      </c>
    </row>
    <row r="89" spans="1:30" ht="15" x14ac:dyDescent="0.25">
      <c r="A89">
        <v>244</v>
      </c>
      <c r="B89" s="100" t="s">
        <v>223</v>
      </c>
      <c r="C89" s="99">
        <v>21087</v>
      </c>
      <c r="D89" s="99">
        <v>0</v>
      </c>
      <c r="E89" s="99">
        <v>283</v>
      </c>
      <c r="F89" s="99">
        <v>3803</v>
      </c>
      <c r="G89" s="99">
        <v>412</v>
      </c>
      <c r="H89" s="99">
        <v>4245</v>
      </c>
      <c r="I89" s="99">
        <v>0</v>
      </c>
      <c r="J89">
        <v>0</v>
      </c>
      <c r="K89">
        <v>0</v>
      </c>
      <c r="L89">
        <v>0</v>
      </c>
      <c r="M89" s="99">
        <v>0</v>
      </c>
      <c r="N89" s="99">
        <v>0</v>
      </c>
      <c r="O89" s="99">
        <v>0</v>
      </c>
      <c r="P89" s="99">
        <v>901</v>
      </c>
      <c r="Q89" s="99">
        <v>1237</v>
      </c>
      <c r="R89" s="99">
        <v>0</v>
      </c>
      <c r="S89">
        <v>100000</v>
      </c>
      <c r="T89">
        <v>5078</v>
      </c>
      <c r="U89">
        <v>3803</v>
      </c>
      <c r="V89" s="99">
        <v>2006</v>
      </c>
      <c r="W89" s="99">
        <v>46042</v>
      </c>
      <c r="X89" s="99">
        <v>1043</v>
      </c>
      <c r="Y89" s="99">
        <v>0</v>
      </c>
      <c r="Z89" s="99">
        <v>76</v>
      </c>
      <c r="AA89" s="99">
        <v>0</v>
      </c>
      <c r="AB89" s="99">
        <v>412</v>
      </c>
      <c r="AC89" s="99">
        <v>1498</v>
      </c>
      <c r="AD89" s="99">
        <v>42</v>
      </c>
    </row>
    <row r="90" spans="1:30" ht="15" x14ac:dyDescent="0.25">
      <c r="A90">
        <v>245</v>
      </c>
      <c r="B90" s="100" t="s">
        <v>224</v>
      </c>
      <c r="C90" s="99">
        <v>65584</v>
      </c>
      <c r="D90" s="99">
        <v>0</v>
      </c>
      <c r="E90" s="99">
        <v>226</v>
      </c>
      <c r="F90" s="99">
        <v>0</v>
      </c>
      <c r="G90" s="99">
        <v>914</v>
      </c>
      <c r="H90" s="99">
        <v>13530</v>
      </c>
      <c r="I90" s="99">
        <v>0</v>
      </c>
      <c r="J90">
        <v>0</v>
      </c>
      <c r="K90">
        <v>0</v>
      </c>
      <c r="L90">
        <v>0</v>
      </c>
      <c r="M90" s="99">
        <v>0</v>
      </c>
      <c r="N90" s="99">
        <v>0</v>
      </c>
      <c r="O90" s="99">
        <v>0</v>
      </c>
      <c r="P90" s="99">
        <v>0</v>
      </c>
      <c r="Q90" s="99">
        <v>0</v>
      </c>
      <c r="R90" s="99">
        <v>0</v>
      </c>
      <c r="S90">
        <v>220710</v>
      </c>
      <c r="T90">
        <v>11138</v>
      </c>
      <c r="U90">
        <v>0</v>
      </c>
      <c r="V90" s="99">
        <v>1699</v>
      </c>
      <c r="W90" s="99">
        <v>109798</v>
      </c>
      <c r="X90" s="99">
        <v>2708</v>
      </c>
      <c r="Y90" s="99">
        <v>14</v>
      </c>
      <c r="Z90" s="99">
        <v>810</v>
      </c>
      <c r="AA90" s="99">
        <v>21</v>
      </c>
      <c r="AB90" s="99">
        <v>0</v>
      </c>
      <c r="AC90" s="99">
        <v>0</v>
      </c>
      <c r="AD90" s="99">
        <v>0</v>
      </c>
    </row>
    <row r="91" spans="1:30" ht="15" x14ac:dyDescent="0.25">
      <c r="A91">
        <v>249</v>
      </c>
      <c r="B91" s="100" t="s">
        <v>225</v>
      </c>
      <c r="C91" s="99">
        <v>25538</v>
      </c>
      <c r="D91" s="99">
        <v>0</v>
      </c>
      <c r="E91" s="99">
        <v>0</v>
      </c>
      <c r="F91" s="99">
        <v>886</v>
      </c>
      <c r="G91" s="99">
        <v>583</v>
      </c>
      <c r="H91" s="99">
        <v>5501</v>
      </c>
      <c r="I91" s="99">
        <v>0</v>
      </c>
      <c r="J91">
        <v>0</v>
      </c>
      <c r="K91">
        <v>0</v>
      </c>
      <c r="L91">
        <v>0</v>
      </c>
      <c r="M91" s="99">
        <v>0</v>
      </c>
      <c r="N91" s="99">
        <v>0</v>
      </c>
      <c r="O91" s="99">
        <v>0</v>
      </c>
      <c r="P91" s="99">
        <v>0</v>
      </c>
      <c r="Q91" s="99">
        <v>0</v>
      </c>
      <c r="R91" s="99">
        <v>0</v>
      </c>
      <c r="S91">
        <v>79898</v>
      </c>
      <c r="T91">
        <v>4119</v>
      </c>
      <c r="U91">
        <v>880</v>
      </c>
      <c r="V91" s="99">
        <v>1318</v>
      </c>
      <c r="W91" s="99">
        <v>40802</v>
      </c>
      <c r="X91" s="99">
        <v>837</v>
      </c>
      <c r="Y91" s="99">
        <v>5</v>
      </c>
      <c r="Z91" s="99">
        <v>59</v>
      </c>
      <c r="AA91" s="99">
        <v>0</v>
      </c>
      <c r="AB91" s="99">
        <v>38</v>
      </c>
      <c r="AC91" s="99">
        <v>335</v>
      </c>
      <c r="AD91" s="99">
        <v>0</v>
      </c>
    </row>
    <row r="92" spans="1:30" ht="15" x14ac:dyDescent="0.25">
      <c r="A92">
        <v>250</v>
      </c>
      <c r="B92" s="100" t="s">
        <v>226</v>
      </c>
      <c r="C92" s="99">
        <v>2517</v>
      </c>
      <c r="D92" s="99">
        <v>0</v>
      </c>
      <c r="E92" s="99">
        <v>0</v>
      </c>
      <c r="F92" s="99">
        <v>0</v>
      </c>
      <c r="G92" s="99">
        <v>13</v>
      </c>
      <c r="H92" s="99">
        <v>586</v>
      </c>
      <c r="I92" s="99">
        <v>0</v>
      </c>
      <c r="J92">
        <v>0</v>
      </c>
      <c r="K92">
        <v>0</v>
      </c>
      <c r="L92">
        <v>0</v>
      </c>
      <c r="M92" s="99">
        <v>0</v>
      </c>
      <c r="N92" s="99">
        <v>0</v>
      </c>
      <c r="O92" s="99">
        <v>0</v>
      </c>
      <c r="P92" s="99">
        <v>0</v>
      </c>
      <c r="Q92" s="99">
        <v>0</v>
      </c>
      <c r="R92" s="99">
        <v>0</v>
      </c>
      <c r="S92">
        <v>14868</v>
      </c>
      <c r="T92">
        <v>807</v>
      </c>
      <c r="U92">
        <v>0</v>
      </c>
      <c r="V92" s="99">
        <v>29</v>
      </c>
      <c r="W92" s="99">
        <v>9146</v>
      </c>
      <c r="X92" s="99">
        <v>148</v>
      </c>
      <c r="Y92" s="99">
        <v>0</v>
      </c>
      <c r="Z92" s="99">
        <v>111</v>
      </c>
      <c r="AA92" s="99">
        <v>0</v>
      </c>
      <c r="AB92" s="99">
        <v>0</v>
      </c>
      <c r="AC92" s="99">
        <v>0</v>
      </c>
      <c r="AD92" s="99">
        <v>0</v>
      </c>
    </row>
    <row r="93" spans="1:30" ht="15" x14ac:dyDescent="0.25">
      <c r="A93">
        <v>256</v>
      </c>
      <c r="B93" s="100" t="s">
        <v>227</v>
      </c>
      <c r="C93" s="99">
        <v>4272</v>
      </c>
      <c r="D93" s="99">
        <v>0</v>
      </c>
      <c r="E93" s="99">
        <v>1</v>
      </c>
      <c r="F93" s="99">
        <v>328</v>
      </c>
      <c r="G93" s="99">
        <v>0</v>
      </c>
      <c r="H93" s="99">
        <v>1023</v>
      </c>
      <c r="I93" s="99">
        <v>41</v>
      </c>
      <c r="J93">
        <v>0</v>
      </c>
      <c r="K93">
        <v>0</v>
      </c>
      <c r="L93">
        <v>0</v>
      </c>
      <c r="M93" s="99">
        <v>0</v>
      </c>
      <c r="N93" s="99">
        <v>0</v>
      </c>
      <c r="O93" s="99">
        <v>0</v>
      </c>
      <c r="P93" s="99">
        <v>0</v>
      </c>
      <c r="Q93" s="99">
        <v>77</v>
      </c>
      <c r="R93" s="99">
        <v>0</v>
      </c>
      <c r="S93">
        <v>15141</v>
      </c>
      <c r="T93">
        <v>793</v>
      </c>
      <c r="U93">
        <v>326</v>
      </c>
      <c r="V93" s="99">
        <v>0</v>
      </c>
      <c r="W93" s="99">
        <v>7954</v>
      </c>
      <c r="X93" s="99">
        <v>164</v>
      </c>
      <c r="Y93" s="99">
        <v>0</v>
      </c>
      <c r="Z93" s="99">
        <v>7</v>
      </c>
      <c r="AA93" s="99">
        <v>9</v>
      </c>
      <c r="AB93" s="99">
        <v>0</v>
      </c>
      <c r="AC93" s="99">
        <v>138</v>
      </c>
      <c r="AD93" s="99">
        <v>2</v>
      </c>
    </row>
    <row r="94" spans="1:30" ht="15" x14ac:dyDescent="0.25">
      <c r="A94">
        <v>257</v>
      </c>
      <c r="B94" s="100" t="s">
        <v>228</v>
      </c>
      <c r="C94" s="99">
        <v>62677</v>
      </c>
      <c r="D94" s="99">
        <v>0</v>
      </c>
      <c r="E94" s="99">
        <v>0</v>
      </c>
      <c r="F94" s="99">
        <v>6642</v>
      </c>
      <c r="G94" s="99">
        <v>441</v>
      </c>
      <c r="H94" s="99">
        <v>9975</v>
      </c>
      <c r="I94" s="99">
        <v>0</v>
      </c>
      <c r="J94">
        <v>0</v>
      </c>
      <c r="K94">
        <v>0</v>
      </c>
      <c r="L94">
        <v>0</v>
      </c>
      <c r="M94" s="99">
        <v>0</v>
      </c>
      <c r="N94" s="99">
        <v>0</v>
      </c>
      <c r="O94" s="99">
        <v>0</v>
      </c>
      <c r="P94" s="99">
        <v>59</v>
      </c>
      <c r="Q94" s="99">
        <v>1657</v>
      </c>
      <c r="R94" s="99">
        <v>0</v>
      </c>
      <c r="S94">
        <v>249329</v>
      </c>
      <c r="T94">
        <v>12953</v>
      </c>
      <c r="U94">
        <v>6644</v>
      </c>
      <c r="V94" s="99">
        <v>3397</v>
      </c>
      <c r="W94" s="99">
        <v>108784</v>
      </c>
      <c r="X94" s="99">
        <v>2453</v>
      </c>
      <c r="Y94" s="99">
        <v>2</v>
      </c>
      <c r="Z94" s="99">
        <v>226</v>
      </c>
      <c r="AA94" s="99">
        <v>-9</v>
      </c>
      <c r="AB94" s="99">
        <v>44</v>
      </c>
      <c r="AC94" s="99">
        <v>2108</v>
      </c>
      <c r="AD94" s="99">
        <v>173</v>
      </c>
    </row>
    <row r="95" spans="1:30" ht="15" x14ac:dyDescent="0.25">
      <c r="A95">
        <v>260</v>
      </c>
      <c r="B95" s="100" t="s">
        <v>229</v>
      </c>
      <c r="C95" s="99">
        <v>20654</v>
      </c>
      <c r="D95" s="99">
        <v>0</v>
      </c>
      <c r="E95" s="99">
        <v>0</v>
      </c>
      <c r="F95" s="99">
        <v>0</v>
      </c>
      <c r="G95" s="99">
        <v>90</v>
      </c>
      <c r="H95" s="99">
        <v>6100</v>
      </c>
      <c r="I95" s="99">
        <v>0</v>
      </c>
      <c r="J95">
        <v>0</v>
      </c>
      <c r="K95">
        <v>0</v>
      </c>
      <c r="L95">
        <v>0</v>
      </c>
      <c r="M95" s="99">
        <v>0</v>
      </c>
      <c r="N95" s="99">
        <v>0</v>
      </c>
      <c r="O95" s="99">
        <v>0</v>
      </c>
      <c r="P95" s="99">
        <v>0</v>
      </c>
      <c r="Q95" s="99">
        <v>0</v>
      </c>
      <c r="R95" s="99">
        <v>0</v>
      </c>
      <c r="S95">
        <v>84504</v>
      </c>
      <c r="T95">
        <v>2890</v>
      </c>
      <c r="U95">
        <v>0</v>
      </c>
      <c r="V95" s="99">
        <v>867</v>
      </c>
      <c r="W95" s="99">
        <v>49955</v>
      </c>
      <c r="X95" s="99">
        <v>834</v>
      </c>
      <c r="Y95" s="99">
        <v>0</v>
      </c>
      <c r="Z95" s="99">
        <v>119</v>
      </c>
      <c r="AA95" s="99">
        <v>0</v>
      </c>
      <c r="AB95" s="99">
        <v>0</v>
      </c>
      <c r="AC95" s="99">
        <v>0</v>
      </c>
      <c r="AD95" s="99">
        <v>0</v>
      </c>
    </row>
    <row r="96" spans="1:30" ht="15" x14ac:dyDescent="0.25">
      <c r="A96">
        <v>261</v>
      </c>
      <c r="B96" s="100" t="s">
        <v>230</v>
      </c>
      <c r="C96" s="99">
        <v>13697</v>
      </c>
      <c r="D96" s="99">
        <v>0</v>
      </c>
      <c r="E96" s="99">
        <v>0</v>
      </c>
      <c r="F96" s="99">
        <v>677</v>
      </c>
      <c r="G96" s="99">
        <v>181</v>
      </c>
      <c r="H96" s="99">
        <v>2572</v>
      </c>
      <c r="I96" s="99">
        <v>0</v>
      </c>
      <c r="J96">
        <v>0</v>
      </c>
      <c r="K96">
        <v>0</v>
      </c>
      <c r="L96">
        <v>0</v>
      </c>
      <c r="M96" s="99">
        <v>0</v>
      </c>
      <c r="N96" s="99">
        <v>0</v>
      </c>
      <c r="O96" s="99">
        <v>0</v>
      </c>
      <c r="P96" s="99">
        <v>0</v>
      </c>
      <c r="Q96" s="99">
        <v>0</v>
      </c>
      <c r="R96" s="99">
        <v>0</v>
      </c>
      <c r="S96">
        <v>59283</v>
      </c>
      <c r="T96">
        <v>2595</v>
      </c>
      <c r="U96">
        <v>677</v>
      </c>
      <c r="V96" s="99">
        <v>758</v>
      </c>
      <c r="W96" s="99">
        <v>28755</v>
      </c>
      <c r="X96" s="99">
        <v>833</v>
      </c>
      <c r="Y96" s="99">
        <v>0</v>
      </c>
      <c r="Z96" s="99">
        <v>144</v>
      </c>
      <c r="AA96" s="99">
        <v>0</v>
      </c>
      <c r="AB96" s="99">
        <v>0</v>
      </c>
      <c r="AC96" s="99">
        <v>252</v>
      </c>
      <c r="AD96" s="99">
        <v>0</v>
      </c>
    </row>
    <row r="97" spans="1:30" ht="15" x14ac:dyDescent="0.25">
      <c r="A97">
        <v>263</v>
      </c>
      <c r="B97" s="100" t="s">
        <v>231</v>
      </c>
      <c r="C97" s="99">
        <v>10805</v>
      </c>
      <c r="D97" s="99">
        <v>0</v>
      </c>
      <c r="E97" s="99">
        <v>61</v>
      </c>
      <c r="F97" s="99">
        <v>564</v>
      </c>
      <c r="G97" s="99">
        <v>0</v>
      </c>
      <c r="H97" s="99">
        <v>186</v>
      </c>
      <c r="I97" s="99">
        <v>0</v>
      </c>
      <c r="J97">
        <v>0</v>
      </c>
      <c r="K97">
        <v>0</v>
      </c>
      <c r="L97">
        <v>0</v>
      </c>
      <c r="M97" s="99">
        <v>0</v>
      </c>
      <c r="N97" s="99">
        <v>0</v>
      </c>
      <c r="O97" s="99">
        <v>0</v>
      </c>
      <c r="P97" s="99">
        <v>0</v>
      </c>
      <c r="Q97" s="99">
        <v>0</v>
      </c>
      <c r="R97" s="99">
        <v>0</v>
      </c>
      <c r="S97">
        <v>63422</v>
      </c>
      <c r="T97">
        <v>3801</v>
      </c>
      <c r="U97">
        <v>563</v>
      </c>
      <c r="V97" s="99">
        <v>124</v>
      </c>
      <c r="W97" s="99">
        <v>35043</v>
      </c>
      <c r="X97" s="99">
        <v>678</v>
      </c>
      <c r="Y97" s="99">
        <v>0</v>
      </c>
      <c r="Z97" s="99">
        <v>4</v>
      </c>
      <c r="AA97" s="99">
        <v>0</v>
      </c>
      <c r="AB97" s="99">
        <v>0</v>
      </c>
      <c r="AC97" s="99">
        <v>3</v>
      </c>
      <c r="AD97" s="99">
        <v>0</v>
      </c>
    </row>
    <row r="98" spans="1:30" ht="15" x14ac:dyDescent="0.25">
      <c r="A98">
        <v>265</v>
      </c>
      <c r="B98" s="100" t="s">
        <v>232</v>
      </c>
      <c r="C98" s="99">
        <v>2386</v>
      </c>
      <c r="D98" s="99">
        <v>0</v>
      </c>
      <c r="E98" s="99">
        <v>0</v>
      </c>
      <c r="F98" s="99">
        <v>0</v>
      </c>
      <c r="G98" s="99">
        <v>0</v>
      </c>
      <c r="H98" s="99">
        <v>19</v>
      </c>
      <c r="I98" s="99">
        <v>1</v>
      </c>
      <c r="J98">
        <v>0</v>
      </c>
      <c r="K98">
        <v>0</v>
      </c>
      <c r="L98">
        <v>0</v>
      </c>
      <c r="M98" s="99">
        <v>0</v>
      </c>
      <c r="N98" s="99">
        <v>0</v>
      </c>
      <c r="O98" s="99">
        <v>0</v>
      </c>
      <c r="P98" s="99">
        <v>0</v>
      </c>
      <c r="Q98" s="99">
        <v>0</v>
      </c>
      <c r="R98" s="99">
        <v>0</v>
      </c>
      <c r="S98">
        <v>10700</v>
      </c>
      <c r="T98">
        <v>476</v>
      </c>
      <c r="U98">
        <v>0</v>
      </c>
      <c r="V98" s="99">
        <v>53</v>
      </c>
      <c r="W98" s="99">
        <v>6055</v>
      </c>
      <c r="X98" s="99">
        <v>108</v>
      </c>
      <c r="Y98" s="99">
        <v>0</v>
      </c>
      <c r="Z98" s="99">
        <v>0</v>
      </c>
      <c r="AA98" s="99">
        <v>1</v>
      </c>
      <c r="AB98" s="99">
        <v>0</v>
      </c>
      <c r="AC98" s="99">
        <v>0</v>
      </c>
      <c r="AD98" s="99">
        <v>0</v>
      </c>
    </row>
    <row r="99" spans="1:30" ht="15" x14ac:dyDescent="0.25">
      <c r="A99">
        <v>271</v>
      </c>
      <c r="B99" s="100" t="s">
        <v>233</v>
      </c>
      <c r="C99" s="99">
        <v>5866</v>
      </c>
      <c r="D99" s="99">
        <v>0</v>
      </c>
      <c r="E99" s="99">
        <v>0</v>
      </c>
      <c r="F99" s="99">
        <v>574</v>
      </c>
      <c r="G99" s="99">
        <v>141</v>
      </c>
      <c r="H99" s="99">
        <v>2294</v>
      </c>
      <c r="I99" s="99">
        <v>246</v>
      </c>
      <c r="J99">
        <v>0</v>
      </c>
      <c r="K99">
        <v>0</v>
      </c>
      <c r="L99">
        <v>0</v>
      </c>
      <c r="M99" s="99">
        <v>0</v>
      </c>
      <c r="N99" s="99">
        <v>0</v>
      </c>
      <c r="O99" s="99">
        <v>0</v>
      </c>
      <c r="P99" s="99">
        <v>0</v>
      </c>
      <c r="Q99" s="99">
        <v>0</v>
      </c>
      <c r="R99" s="99">
        <v>0</v>
      </c>
      <c r="S99">
        <v>49023</v>
      </c>
      <c r="T99">
        <v>1677</v>
      </c>
      <c r="U99">
        <v>574</v>
      </c>
      <c r="V99" s="99">
        <v>1259</v>
      </c>
      <c r="W99" s="99">
        <v>30334</v>
      </c>
      <c r="X99" s="99">
        <v>872</v>
      </c>
      <c r="Y99" s="99">
        <v>1</v>
      </c>
      <c r="Z99" s="99">
        <v>68</v>
      </c>
      <c r="AA99" s="99">
        <v>28</v>
      </c>
      <c r="AB99" s="99">
        <v>6</v>
      </c>
      <c r="AC99" s="99">
        <v>179</v>
      </c>
      <c r="AD99" s="99">
        <v>0</v>
      </c>
    </row>
    <row r="100" spans="1:30" ht="15" x14ac:dyDescent="0.25">
      <c r="A100">
        <v>272</v>
      </c>
      <c r="B100" s="100" t="s">
        <v>234</v>
      </c>
      <c r="C100" s="99">
        <v>148533</v>
      </c>
      <c r="D100" s="99">
        <v>0</v>
      </c>
      <c r="E100" s="99">
        <v>1528</v>
      </c>
      <c r="F100" s="99">
        <v>3106</v>
      </c>
      <c r="G100" s="99">
        <v>656</v>
      </c>
      <c r="H100" s="99">
        <v>53295</v>
      </c>
      <c r="I100" s="99">
        <v>8938</v>
      </c>
      <c r="J100">
        <v>0</v>
      </c>
      <c r="K100">
        <v>0</v>
      </c>
      <c r="L100">
        <v>0</v>
      </c>
      <c r="M100" s="99">
        <v>0</v>
      </c>
      <c r="N100" s="99">
        <v>0</v>
      </c>
      <c r="O100" s="99">
        <v>0</v>
      </c>
      <c r="P100" s="99">
        <v>0</v>
      </c>
      <c r="Q100" s="99">
        <v>0</v>
      </c>
      <c r="R100" s="99">
        <v>0</v>
      </c>
      <c r="S100">
        <v>402248</v>
      </c>
      <c r="T100">
        <v>15319</v>
      </c>
      <c r="U100">
        <v>3106</v>
      </c>
      <c r="V100" s="99">
        <v>1155</v>
      </c>
      <c r="W100" s="99">
        <v>209478</v>
      </c>
      <c r="X100" s="99">
        <v>12149</v>
      </c>
      <c r="Y100" s="99">
        <v>0</v>
      </c>
      <c r="Z100" s="99">
        <v>710</v>
      </c>
      <c r="AA100" s="99">
        <v>213</v>
      </c>
      <c r="AB100" s="99">
        <v>11</v>
      </c>
      <c r="AC100" s="99">
        <v>1348</v>
      </c>
      <c r="AD100" s="99">
        <v>137</v>
      </c>
    </row>
    <row r="101" spans="1:30" ht="15" x14ac:dyDescent="0.25">
      <c r="A101">
        <v>273</v>
      </c>
      <c r="B101" s="100" t="s">
        <v>235</v>
      </c>
      <c r="C101" s="99">
        <v>9396</v>
      </c>
      <c r="D101" s="99">
        <v>0</v>
      </c>
      <c r="E101" s="99">
        <v>0</v>
      </c>
      <c r="F101" s="99">
        <v>0</v>
      </c>
      <c r="G101" s="99">
        <v>14</v>
      </c>
      <c r="H101" s="99">
        <v>2077</v>
      </c>
      <c r="I101" s="99">
        <v>0</v>
      </c>
      <c r="J101">
        <v>0</v>
      </c>
      <c r="K101">
        <v>0</v>
      </c>
      <c r="L101">
        <v>0</v>
      </c>
      <c r="M101" s="99">
        <v>0</v>
      </c>
      <c r="N101" s="99">
        <v>0</v>
      </c>
      <c r="O101" s="99">
        <v>0</v>
      </c>
      <c r="P101" s="99">
        <v>0</v>
      </c>
      <c r="Q101" s="99">
        <v>0</v>
      </c>
      <c r="R101" s="99">
        <v>0</v>
      </c>
      <c r="S101">
        <v>32592</v>
      </c>
      <c r="T101">
        <v>1609</v>
      </c>
      <c r="U101">
        <v>0</v>
      </c>
      <c r="V101" s="99">
        <v>197</v>
      </c>
      <c r="W101" s="99">
        <v>17078</v>
      </c>
      <c r="X101" s="99">
        <v>477</v>
      </c>
      <c r="Y101" s="99">
        <v>0</v>
      </c>
      <c r="Z101" s="99">
        <v>334</v>
      </c>
      <c r="AA101" s="99">
        <v>0</v>
      </c>
      <c r="AB101" s="99">
        <v>0</v>
      </c>
      <c r="AC101" s="99">
        <v>0</v>
      </c>
      <c r="AD101" s="99">
        <v>0</v>
      </c>
    </row>
    <row r="102" spans="1:30" ht="15" x14ac:dyDescent="0.25">
      <c r="A102">
        <v>275</v>
      </c>
      <c r="B102" s="100" t="s">
        <v>236</v>
      </c>
      <c r="C102" s="99">
        <v>4049</v>
      </c>
      <c r="D102" s="99">
        <v>0</v>
      </c>
      <c r="E102" s="99">
        <v>0</v>
      </c>
      <c r="F102" s="99">
        <v>846</v>
      </c>
      <c r="G102" s="99">
        <v>17</v>
      </c>
      <c r="H102" s="99">
        <v>1078</v>
      </c>
      <c r="I102" s="99">
        <v>0</v>
      </c>
      <c r="J102">
        <v>0</v>
      </c>
      <c r="K102">
        <v>0</v>
      </c>
      <c r="L102">
        <v>0</v>
      </c>
      <c r="M102" s="99">
        <v>0</v>
      </c>
      <c r="N102" s="99">
        <v>0</v>
      </c>
      <c r="O102" s="99">
        <v>0</v>
      </c>
      <c r="P102" s="99">
        <v>0</v>
      </c>
      <c r="Q102" s="99">
        <v>0</v>
      </c>
      <c r="R102" s="99">
        <v>0</v>
      </c>
      <c r="S102">
        <v>23333</v>
      </c>
      <c r="T102">
        <v>702</v>
      </c>
      <c r="U102">
        <v>846</v>
      </c>
      <c r="V102" s="99">
        <v>156</v>
      </c>
      <c r="W102" s="99">
        <v>14409</v>
      </c>
      <c r="X102" s="99">
        <v>235</v>
      </c>
      <c r="Y102" s="99">
        <v>0</v>
      </c>
      <c r="Z102" s="99">
        <v>0</v>
      </c>
      <c r="AA102" s="99">
        <v>0</v>
      </c>
      <c r="AB102" s="99">
        <v>3</v>
      </c>
      <c r="AC102" s="99">
        <v>76</v>
      </c>
      <c r="AD102" s="99">
        <v>0</v>
      </c>
    </row>
    <row r="103" spans="1:30" ht="15" x14ac:dyDescent="0.25">
      <c r="A103">
        <v>276</v>
      </c>
      <c r="B103" s="100" t="s">
        <v>237</v>
      </c>
      <c r="C103" s="99">
        <v>22737</v>
      </c>
      <c r="D103" s="99">
        <v>0</v>
      </c>
      <c r="E103" s="99">
        <v>0</v>
      </c>
      <c r="F103" s="99">
        <v>279</v>
      </c>
      <c r="G103" s="99">
        <v>0</v>
      </c>
      <c r="H103" s="99">
        <v>1231</v>
      </c>
      <c r="I103" s="99">
        <v>0</v>
      </c>
      <c r="J103">
        <v>0</v>
      </c>
      <c r="K103">
        <v>0</v>
      </c>
      <c r="L103">
        <v>0</v>
      </c>
      <c r="M103" s="99">
        <v>0</v>
      </c>
      <c r="N103" s="99">
        <v>0</v>
      </c>
      <c r="O103" s="99">
        <v>0</v>
      </c>
      <c r="P103" s="99">
        <v>0</v>
      </c>
      <c r="Q103" s="99">
        <v>0</v>
      </c>
      <c r="R103" s="99">
        <v>0</v>
      </c>
      <c r="S103">
        <v>87971</v>
      </c>
      <c r="T103">
        <v>4213</v>
      </c>
      <c r="U103">
        <v>277</v>
      </c>
      <c r="V103" s="99">
        <v>912</v>
      </c>
      <c r="W103" s="99">
        <v>38353</v>
      </c>
      <c r="X103" s="99">
        <v>1087</v>
      </c>
      <c r="Y103" s="99">
        <v>0</v>
      </c>
      <c r="Z103" s="99">
        <v>57</v>
      </c>
      <c r="AA103" s="99">
        <v>0</v>
      </c>
      <c r="AB103" s="99">
        <v>0</v>
      </c>
      <c r="AC103" s="99">
        <v>8</v>
      </c>
      <c r="AD103" s="99">
        <v>0</v>
      </c>
    </row>
    <row r="104" spans="1:30" ht="15" x14ac:dyDescent="0.25">
      <c r="A104">
        <v>280</v>
      </c>
      <c r="B104" s="100" t="s">
        <v>238</v>
      </c>
      <c r="C104" s="99">
        <v>3356</v>
      </c>
      <c r="D104" s="99">
        <v>0</v>
      </c>
      <c r="E104" s="99">
        <v>0</v>
      </c>
      <c r="F104" s="99">
        <v>221</v>
      </c>
      <c r="G104" s="99">
        <v>1</v>
      </c>
      <c r="H104" s="99">
        <v>943</v>
      </c>
      <c r="I104" s="99">
        <v>1</v>
      </c>
      <c r="J104">
        <v>0</v>
      </c>
      <c r="K104">
        <v>0</v>
      </c>
      <c r="L104">
        <v>0</v>
      </c>
      <c r="M104" s="99">
        <v>0</v>
      </c>
      <c r="N104" s="99">
        <v>0</v>
      </c>
      <c r="O104" s="99">
        <v>0</v>
      </c>
      <c r="P104" s="99">
        <v>0</v>
      </c>
      <c r="Q104" s="99">
        <v>0</v>
      </c>
      <c r="R104" s="99">
        <v>0</v>
      </c>
      <c r="S104">
        <v>15981</v>
      </c>
      <c r="T104">
        <v>937</v>
      </c>
      <c r="U104">
        <v>221</v>
      </c>
      <c r="V104" s="99">
        <v>29</v>
      </c>
      <c r="W104" s="99">
        <v>8618</v>
      </c>
      <c r="X104" s="99">
        <v>157</v>
      </c>
      <c r="Y104" s="99">
        <v>0</v>
      </c>
      <c r="Z104" s="99">
        <v>113</v>
      </c>
      <c r="AA104" s="99">
        <v>0</v>
      </c>
      <c r="AB104" s="99">
        <v>0</v>
      </c>
      <c r="AC104" s="99">
        <v>38</v>
      </c>
      <c r="AD104" s="99">
        <v>0</v>
      </c>
    </row>
    <row r="105" spans="1:30" ht="15" x14ac:dyDescent="0.25">
      <c r="A105">
        <v>283</v>
      </c>
      <c r="B105" s="100" t="s">
        <v>505</v>
      </c>
      <c r="C105" s="99">
        <v>2322</v>
      </c>
      <c r="D105" s="99">
        <v>0</v>
      </c>
      <c r="E105" s="99">
        <v>0</v>
      </c>
      <c r="F105" s="99">
        <v>0</v>
      </c>
      <c r="G105" s="99">
        <v>0</v>
      </c>
      <c r="H105" s="99">
        <v>43</v>
      </c>
      <c r="I105" s="99">
        <v>0</v>
      </c>
      <c r="J105">
        <v>0</v>
      </c>
      <c r="K105">
        <v>0</v>
      </c>
      <c r="L105">
        <v>0</v>
      </c>
      <c r="M105" s="99">
        <v>0</v>
      </c>
      <c r="N105" s="99">
        <v>0</v>
      </c>
      <c r="O105" s="99">
        <v>0</v>
      </c>
      <c r="P105" s="99">
        <v>0</v>
      </c>
      <c r="Q105" s="99">
        <v>0</v>
      </c>
      <c r="R105" s="99">
        <v>0</v>
      </c>
      <c r="S105">
        <v>13669</v>
      </c>
      <c r="T105">
        <v>992</v>
      </c>
      <c r="U105">
        <v>0</v>
      </c>
      <c r="V105" s="99">
        <v>137</v>
      </c>
      <c r="W105" s="99">
        <v>7609</v>
      </c>
      <c r="X105" s="99">
        <v>178</v>
      </c>
      <c r="Y105" s="99">
        <v>0</v>
      </c>
      <c r="Z105" s="99">
        <v>0</v>
      </c>
      <c r="AA105" s="99">
        <v>0</v>
      </c>
      <c r="AB105" s="99">
        <v>0</v>
      </c>
      <c r="AC105" s="99">
        <v>0</v>
      </c>
      <c r="AD105" s="99">
        <v>0</v>
      </c>
    </row>
    <row r="106" spans="1:30" ht="15" x14ac:dyDescent="0.25">
      <c r="A106">
        <v>284</v>
      </c>
      <c r="B106" s="100" t="s">
        <v>239</v>
      </c>
      <c r="C106" s="99">
        <v>3276</v>
      </c>
      <c r="D106" s="99">
        <v>0</v>
      </c>
      <c r="E106" s="99">
        <v>0</v>
      </c>
      <c r="F106" s="99">
        <v>1538</v>
      </c>
      <c r="G106" s="99">
        <v>52</v>
      </c>
      <c r="H106" s="99">
        <v>873</v>
      </c>
      <c r="I106" s="99">
        <v>0</v>
      </c>
      <c r="J106">
        <v>0</v>
      </c>
      <c r="K106">
        <v>0</v>
      </c>
      <c r="L106">
        <v>0</v>
      </c>
      <c r="M106" s="99">
        <v>0</v>
      </c>
      <c r="N106" s="99">
        <v>0</v>
      </c>
      <c r="O106" s="99">
        <v>0</v>
      </c>
      <c r="P106" s="99">
        <v>0</v>
      </c>
      <c r="Q106" s="99">
        <v>50</v>
      </c>
      <c r="R106" s="99">
        <v>0</v>
      </c>
      <c r="S106">
        <v>16689</v>
      </c>
      <c r="T106">
        <v>629</v>
      </c>
      <c r="U106">
        <v>1538</v>
      </c>
      <c r="V106" s="99">
        <v>237</v>
      </c>
      <c r="W106" s="99">
        <v>8823</v>
      </c>
      <c r="X106" s="99">
        <v>170</v>
      </c>
      <c r="Y106" s="99">
        <v>0</v>
      </c>
      <c r="Z106" s="99">
        <v>114</v>
      </c>
      <c r="AA106" s="99">
        <v>0</v>
      </c>
      <c r="AB106" s="99">
        <v>3</v>
      </c>
      <c r="AC106" s="99">
        <v>357</v>
      </c>
      <c r="AD106" s="99">
        <v>0</v>
      </c>
    </row>
    <row r="107" spans="1:30" ht="15" x14ac:dyDescent="0.25">
      <c r="A107">
        <v>285</v>
      </c>
      <c r="B107" s="100" t="s">
        <v>240</v>
      </c>
      <c r="C107" s="99">
        <v>139084</v>
      </c>
      <c r="D107" s="99">
        <v>0</v>
      </c>
      <c r="E107" s="99">
        <v>1642</v>
      </c>
      <c r="F107" s="99">
        <v>112</v>
      </c>
      <c r="G107" s="99">
        <v>298</v>
      </c>
      <c r="H107" s="99">
        <v>34682</v>
      </c>
      <c r="I107" s="99">
        <v>15379</v>
      </c>
      <c r="J107">
        <v>0</v>
      </c>
      <c r="K107">
        <v>0</v>
      </c>
      <c r="L107">
        <v>0</v>
      </c>
      <c r="M107" s="99">
        <v>0</v>
      </c>
      <c r="N107" s="99">
        <v>0</v>
      </c>
      <c r="O107" s="99">
        <v>0</v>
      </c>
      <c r="P107" s="99">
        <v>0</v>
      </c>
      <c r="Q107" s="99">
        <v>0</v>
      </c>
      <c r="R107" s="99">
        <v>0</v>
      </c>
      <c r="S107">
        <v>440926</v>
      </c>
      <c r="T107">
        <v>18684</v>
      </c>
      <c r="U107">
        <v>112</v>
      </c>
      <c r="V107" s="99">
        <v>10391</v>
      </c>
      <c r="W107" s="99">
        <v>246524</v>
      </c>
      <c r="X107" s="99">
        <v>18025</v>
      </c>
      <c r="Y107" s="99">
        <v>0</v>
      </c>
      <c r="Z107" s="99">
        <v>351</v>
      </c>
      <c r="AA107" s="99">
        <v>1074</v>
      </c>
      <c r="AB107" s="99">
        <v>0</v>
      </c>
      <c r="AC107" s="99">
        <v>0</v>
      </c>
      <c r="AD107" s="99">
        <v>0</v>
      </c>
    </row>
    <row r="108" spans="1:30" ht="15" x14ac:dyDescent="0.25">
      <c r="A108">
        <v>286</v>
      </c>
      <c r="B108" s="100" t="s">
        <v>241</v>
      </c>
      <c r="C108" s="99">
        <v>173560</v>
      </c>
      <c r="D108" s="99">
        <v>61</v>
      </c>
      <c r="E108" s="99">
        <v>2378</v>
      </c>
      <c r="F108" s="99">
        <v>0</v>
      </c>
      <c r="G108" s="99">
        <v>368</v>
      </c>
      <c r="H108" s="99">
        <v>39076</v>
      </c>
      <c r="I108" s="99">
        <v>0</v>
      </c>
      <c r="J108">
        <v>0</v>
      </c>
      <c r="K108">
        <v>0</v>
      </c>
      <c r="L108">
        <v>0</v>
      </c>
      <c r="M108" s="99">
        <v>0</v>
      </c>
      <c r="N108" s="99">
        <v>0</v>
      </c>
      <c r="O108" s="99">
        <v>0</v>
      </c>
      <c r="P108" s="99">
        <v>0</v>
      </c>
      <c r="Q108" s="99">
        <v>0</v>
      </c>
      <c r="R108" s="99">
        <v>0</v>
      </c>
      <c r="S108">
        <v>669462</v>
      </c>
      <c r="T108">
        <v>20923</v>
      </c>
      <c r="U108">
        <v>0</v>
      </c>
      <c r="V108" s="99">
        <v>2520</v>
      </c>
      <c r="W108" s="99">
        <v>340555</v>
      </c>
      <c r="X108" s="99">
        <v>6970</v>
      </c>
      <c r="Y108" s="99">
        <v>2</v>
      </c>
      <c r="Z108" s="99">
        <v>895</v>
      </c>
      <c r="AA108" s="99">
        <v>0</v>
      </c>
      <c r="AB108" s="99">
        <v>0</v>
      </c>
      <c r="AC108" s="99">
        <v>0</v>
      </c>
      <c r="AD108" s="99">
        <v>0</v>
      </c>
    </row>
    <row r="109" spans="1:30" ht="15" x14ac:dyDescent="0.25">
      <c r="A109">
        <v>287</v>
      </c>
      <c r="B109" s="100" t="s">
        <v>242</v>
      </c>
      <c r="C109" s="99">
        <v>11790</v>
      </c>
      <c r="D109" s="99">
        <v>0</v>
      </c>
      <c r="E109" s="99">
        <v>0</v>
      </c>
      <c r="F109" s="99">
        <v>0</v>
      </c>
      <c r="G109" s="99">
        <v>217</v>
      </c>
      <c r="H109" s="99">
        <v>2799</v>
      </c>
      <c r="I109" s="99">
        <v>0</v>
      </c>
      <c r="J109">
        <v>0</v>
      </c>
      <c r="K109">
        <v>0</v>
      </c>
      <c r="L109">
        <v>0</v>
      </c>
      <c r="M109" s="99">
        <v>0</v>
      </c>
      <c r="N109" s="99">
        <v>0</v>
      </c>
      <c r="O109" s="99">
        <v>0</v>
      </c>
      <c r="P109" s="99">
        <v>0</v>
      </c>
      <c r="Q109" s="99">
        <v>0</v>
      </c>
      <c r="R109" s="99">
        <v>0</v>
      </c>
      <c r="S109">
        <v>50785</v>
      </c>
      <c r="T109">
        <v>2279</v>
      </c>
      <c r="U109">
        <v>1824</v>
      </c>
      <c r="V109" s="99">
        <v>247</v>
      </c>
      <c r="W109" s="99">
        <v>27063</v>
      </c>
      <c r="X109" s="99">
        <v>494</v>
      </c>
      <c r="Y109" s="99">
        <v>0</v>
      </c>
      <c r="Z109" s="99">
        <v>127</v>
      </c>
      <c r="AA109" s="99">
        <v>0</v>
      </c>
      <c r="AB109" s="99">
        <v>0</v>
      </c>
      <c r="AC109" s="99">
        <v>0</v>
      </c>
      <c r="AD109" s="99">
        <v>0</v>
      </c>
    </row>
    <row r="110" spans="1:30" ht="15" x14ac:dyDescent="0.25">
      <c r="A110">
        <v>288</v>
      </c>
      <c r="B110" s="100" t="s">
        <v>243</v>
      </c>
      <c r="C110" s="99">
        <v>4170</v>
      </c>
      <c r="D110" s="99">
        <v>0</v>
      </c>
      <c r="E110" s="99">
        <v>0</v>
      </c>
      <c r="F110" s="99">
        <v>0</v>
      </c>
      <c r="G110" s="99">
        <v>0</v>
      </c>
      <c r="H110" s="99">
        <v>179</v>
      </c>
      <c r="I110" s="99">
        <v>0</v>
      </c>
      <c r="J110">
        <v>0</v>
      </c>
      <c r="K110">
        <v>0</v>
      </c>
      <c r="L110">
        <v>0</v>
      </c>
      <c r="M110" s="99">
        <v>0</v>
      </c>
      <c r="N110" s="99">
        <v>0</v>
      </c>
      <c r="O110" s="99">
        <v>0</v>
      </c>
      <c r="P110" s="99">
        <v>0</v>
      </c>
      <c r="Q110" s="99">
        <v>0</v>
      </c>
      <c r="R110" s="99">
        <v>0</v>
      </c>
      <c r="S110">
        <v>41923</v>
      </c>
      <c r="T110">
        <v>1090</v>
      </c>
      <c r="U110">
        <v>0</v>
      </c>
      <c r="V110" s="99">
        <v>210</v>
      </c>
      <c r="W110" s="99">
        <v>22436</v>
      </c>
      <c r="X110" s="99">
        <v>510</v>
      </c>
      <c r="Y110" s="99">
        <v>0</v>
      </c>
      <c r="Z110" s="99">
        <v>2</v>
      </c>
      <c r="AA110" s="99">
        <v>98</v>
      </c>
      <c r="AB110" s="99">
        <v>0</v>
      </c>
      <c r="AC110" s="99">
        <v>0</v>
      </c>
      <c r="AD110" s="99">
        <v>0</v>
      </c>
    </row>
    <row r="111" spans="1:30" ht="15" x14ac:dyDescent="0.25">
      <c r="A111">
        <v>290</v>
      </c>
      <c r="B111" s="100" t="s">
        <v>244</v>
      </c>
      <c r="C111" s="99">
        <v>10963</v>
      </c>
      <c r="D111" s="99">
        <v>0</v>
      </c>
      <c r="E111" s="99">
        <v>0</v>
      </c>
      <c r="F111" s="99">
        <v>444</v>
      </c>
      <c r="G111" s="99">
        <v>533</v>
      </c>
      <c r="H111" s="99">
        <v>533</v>
      </c>
      <c r="I111" s="99">
        <v>0</v>
      </c>
      <c r="J111">
        <v>0</v>
      </c>
      <c r="K111">
        <v>0</v>
      </c>
      <c r="L111">
        <v>0</v>
      </c>
      <c r="M111" s="99">
        <v>0</v>
      </c>
      <c r="N111" s="99">
        <v>0</v>
      </c>
      <c r="O111" s="99">
        <v>0</v>
      </c>
      <c r="P111" s="99">
        <v>0</v>
      </c>
      <c r="Q111" s="99">
        <v>0</v>
      </c>
      <c r="R111" s="99">
        <v>0</v>
      </c>
      <c r="S111">
        <v>71408</v>
      </c>
      <c r="T111">
        <v>1920</v>
      </c>
      <c r="U111">
        <v>444</v>
      </c>
      <c r="V111" s="99">
        <v>828</v>
      </c>
      <c r="W111" s="99">
        <v>38662</v>
      </c>
      <c r="X111" s="99">
        <v>763</v>
      </c>
      <c r="Y111" s="99">
        <v>0</v>
      </c>
      <c r="Z111" s="99">
        <v>0</v>
      </c>
      <c r="AA111" s="99">
        <v>0</v>
      </c>
      <c r="AB111" s="99">
        <v>0</v>
      </c>
      <c r="AC111" s="99">
        <v>0</v>
      </c>
      <c r="AD111" s="99">
        <v>0</v>
      </c>
    </row>
    <row r="112" spans="1:30" ht="15" x14ac:dyDescent="0.25">
      <c r="A112">
        <v>291</v>
      </c>
      <c r="B112" s="100" t="s">
        <v>245</v>
      </c>
      <c r="C112" s="99">
        <v>3439</v>
      </c>
      <c r="D112" s="99">
        <v>0</v>
      </c>
      <c r="E112" s="99">
        <v>0</v>
      </c>
      <c r="F112" s="99">
        <v>384</v>
      </c>
      <c r="G112" s="99">
        <v>0</v>
      </c>
      <c r="H112" s="99">
        <v>34</v>
      </c>
      <c r="I112" s="99">
        <v>30</v>
      </c>
      <c r="J112">
        <v>0</v>
      </c>
      <c r="K112">
        <v>0</v>
      </c>
      <c r="L112">
        <v>0</v>
      </c>
      <c r="M112" s="99">
        <v>0</v>
      </c>
      <c r="N112" s="99">
        <v>0</v>
      </c>
      <c r="O112" s="99">
        <v>0</v>
      </c>
      <c r="P112" s="99">
        <v>0</v>
      </c>
      <c r="Q112" s="99">
        <v>0</v>
      </c>
      <c r="R112" s="99">
        <v>0</v>
      </c>
      <c r="S112">
        <v>18900</v>
      </c>
      <c r="T112">
        <v>1113</v>
      </c>
      <c r="U112">
        <v>383</v>
      </c>
      <c r="V112" s="99">
        <v>73</v>
      </c>
      <c r="W112" s="99">
        <v>10356</v>
      </c>
      <c r="X112" s="99">
        <v>233</v>
      </c>
      <c r="Y112" s="99">
        <v>0</v>
      </c>
      <c r="Z112" s="99">
        <v>0</v>
      </c>
      <c r="AA112" s="99">
        <v>14</v>
      </c>
      <c r="AB112" s="99">
        <v>0</v>
      </c>
      <c r="AC112" s="99">
        <v>0</v>
      </c>
      <c r="AD112" s="99">
        <v>6</v>
      </c>
    </row>
    <row r="113" spans="1:30" ht="15" x14ac:dyDescent="0.25">
      <c r="A113">
        <v>297</v>
      </c>
      <c r="B113" s="100" t="s">
        <v>246</v>
      </c>
      <c r="C113" s="99">
        <v>274398</v>
      </c>
      <c r="D113" s="99">
        <v>0</v>
      </c>
      <c r="E113" s="99">
        <v>15845</v>
      </c>
      <c r="F113" s="99">
        <v>2689</v>
      </c>
      <c r="G113" s="99">
        <v>1317</v>
      </c>
      <c r="H113" s="99">
        <v>51090</v>
      </c>
      <c r="I113" s="99">
        <v>17878</v>
      </c>
      <c r="J113">
        <v>0</v>
      </c>
      <c r="K113">
        <v>0</v>
      </c>
      <c r="L113">
        <v>0</v>
      </c>
      <c r="M113" s="99">
        <v>0</v>
      </c>
      <c r="N113" s="99">
        <v>0</v>
      </c>
      <c r="O113" s="99">
        <v>0</v>
      </c>
      <c r="P113" s="99">
        <v>0</v>
      </c>
      <c r="Q113" s="99">
        <v>0</v>
      </c>
      <c r="R113" s="99">
        <v>0</v>
      </c>
      <c r="S113">
        <v>852954</v>
      </c>
      <c r="T113">
        <v>50470</v>
      </c>
      <c r="U113">
        <v>2689</v>
      </c>
      <c r="V113" s="99">
        <v>14459</v>
      </c>
      <c r="W113" s="99">
        <v>432767</v>
      </c>
      <c r="X113" s="99">
        <v>23393</v>
      </c>
      <c r="Y113" s="99">
        <v>0</v>
      </c>
      <c r="Z113" s="99">
        <v>571</v>
      </c>
      <c r="AA113" s="99">
        <v>792</v>
      </c>
      <c r="AB113" s="99">
        <v>26</v>
      </c>
      <c r="AC113" s="99">
        <v>1865</v>
      </c>
      <c r="AD113" s="99">
        <v>0</v>
      </c>
    </row>
    <row r="114" spans="1:30" ht="15" x14ac:dyDescent="0.25">
      <c r="A114">
        <v>300</v>
      </c>
      <c r="B114" s="100" t="s">
        <v>247</v>
      </c>
      <c r="C114" s="99">
        <v>6753</v>
      </c>
      <c r="D114" s="99">
        <v>0</v>
      </c>
      <c r="E114" s="99">
        <v>0</v>
      </c>
      <c r="F114" s="99">
        <v>0</v>
      </c>
      <c r="G114" s="99">
        <v>19</v>
      </c>
      <c r="H114" s="99">
        <v>1622</v>
      </c>
      <c r="I114" s="99">
        <v>0</v>
      </c>
      <c r="J114">
        <v>0</v>
      </c>
      <c r="K114">
        <v>0</v>
      </c>
      <c r="L114">
        <v>0</v>
      </c>
      <c r="M114" s="99">
        <v>0</v>
      </c>
      <c r="N114" s="99">
        <v>0</v>
      </c>
      <c r="O114" s="99">
        <v>0</v>
      </c>
      <c r="P114" s="99">
        <v>0</v>
      </c>
      <c r="Q114" s="99">
        <v>0</v>
      </c>
      <c r="R114" s="99">
        <v>0</v>
      </c>
      <c r="S114">
        <v>29437</v>
      </c>
      <c r="T114">
        <v>1142</v>
      </c>
      <c r="U114">
        <v>0</v>
      </c>
      <c r="V114" s="99">
        <v>34</v>
      </c>
      <c r="W114" s="99">
        <v>15764</v>
      </c>
      <c r="X114" s="99">
        <v>314</v>
      </c>
      <c r="Y114" s="99">
        <v>0</v>
      </c>
      <c r="Z114" s="99">
        <v>26</v>
      </c>
      <c r="AA114" s="99">
        <v>0</v>
      </c>
      <c r="AB114" s="99">
        <v>0</v>
      </c>
      <c r="AC114" s="99">
        <v>0</v>
      </c>
      <c r="AD114" s="99">
        <v>0</v>
      </c>
    </row>
    <row r="115" spans="1:30" ht="15" x14ac:dyDescent="0.25">
      <c r="A115">
        <v>301</v>
      </c>
      <c r="B115" s="100" t="s">
        <v>248</v>
      </c>
      <c r="C115" s="99">
        <v>9965</v>
      </c>
      <c r="D115" s="99">
        <v>0</v>
      </c>
      <c r="E115" s="99">
        <v>0</v>
      </c>
      <c r="F115" s="99">
        <v>3772</v>
      </c>
      <c r="G115" s="99">
        <v>76</v>
      </c>
      <c r="H115" s="99">
        <v>527</v>
      </c>
      <c r="I115" s="99">
        <v>0</v>
      </c>
      <c r="J115">
        <v>0</v>
      </c>
      <c r="K115">
        <v>0</v>
      </c>
      <c r="L115">
        <v>0</v>
      </c>
      <c r="M115" s="99">
        <v>0</v>
      </c>
      <c r="N115" s="99">
        <v>0</v>
      </c>
      <c r="O115" s="99">
        <v>0</v>
      </c>
      <c r="P115" s="99">
        <v>43</v>
      </c>
      <c r="Q115" s="99">
        <v>43</v>
      </c>
      <c r="R115" s="99">
        <v>0</v>
      </c>
      <c r="S115">
        <v>91937</v>
      </c>
      <c r="T115">
        <v>4155</v>
      </c>
      <c r="U115">
        <v>3772</v>
      </c>
      <c r="V115" s="99">
        <v>673</v>
      </c>
      <c r="W115" s="99">
        <v>51678</v>
      </c>
      <c r="X115" s="99">
        <v>1218</v>
      </c>
      <c r="Y115" s="99">
        <v>0</v>
      </c>
      <c r="Z115" s="99">
        <v>8</v>
      </c>
      <c r="AA115" s="99">
        <v>0</v>
      </c>
      <c r="AB115" s="99">
        <v>33</v>
      </c>
      <c r="AC115" s="99">
        <v>33</v>
      </c>
      <c r="AD115" s="99">
        <v>0</v>
      </c>
    </row>
    <row r="116" spans="1:30" ht="15" x14ac:dyDescent="0.25">
      <c r="A116">
        <v>304</v>
      </c>
      <c r="B116" s="100" t="s">
        <v>249</v>
      </c>
      <c r="C116" s="99">
        <v>1761</v>
      </c>
      <c r="D116" s="99">
        <v>0</v>
      </c>
      <c r="E116" s="99">
        <v>0</v>
      </c>
      <c r="F116" s="99">
        <v>0</v>
      </c>
      <c r="G116" s="99">
        <v>0</v>
      </c>
      <c r="H116" s="99">
        <v>384</v>
      </c>
      <c r="I116" s="99">
        <v>20</v>
      </c>
      <c r="J116">
        <v>0</v>
      </c>
      <c r="K116">
        <v>0</v>
      </c>
      <c r="L116">
        <v>0</v>
      </c>
      <c r="M116" s="99">
        <v>0</v>
      </c>
      <c r="N116" s="99">
        <v>0</v>
      </c>
      <c r="O116" s="99">
        <v>0</v>
      </c>
      <c r="P116" s="99">
        <v>0</v>
      </c>
      <c r="Q116" s="99">
        <v>0</v>
      </c>
      <c r="R116" s="99">
        <v>0</v>
      </c>
      <c r="S116">
        <v>7661</v>
      </c>
      <c r="T116">
        <v>271</v>
      </c>
      <c r="U116">
        <v>0</v>
      </c>
      <c r="V116" s="99">
        <v>67</v>
      </c>
      <c r="W116" s="99">
        <v>4465</v>
      </c>
      <c r="X116" s="99">
        <v>86</v>
      </c>
      <c r="Y116" s="99">
        <v>0</v>
      </c>
      <c r="Z116" s="99">
        <v>9</v>
      </c>
      <c r="AA116" s="99">
        <v>0</v>
      </c>
      <c r="AB116" s="99">
        <v>0</v>
      </c>
      <c r="AC116" s="99">
        <v>0</v>
      </c>
      <c r="AD116" s="99">
        <v>0</v>
      </c>
    </row>
    <row r="117" spans="1:30" ht="15" x14ac:dyDescent="0.25">
      <c r="A117">
        <v>305</v>
      </c>
      <c r="B117" s="100" t="s">
        <v>250</v>
      </c>
      <c r="C117" s="99">
        <v>38571</v>
      </c>
      <c r="D117" s="99">
        <v>0</v>
      </c>
      <c r="E117" s="99">
        <v>497</v>
      </c>
      <c r="F117" s="99">
        <v>0</v>
      </c>
      <c r="G117" s="99">
        <v>333</v>
      </c>
      <c r="H117" s="99">
        <v>10743</v>
      </c>
      <c r="I117" s="99">
        <v>0</v>
      </c>
      <c r="J117">
        <v>0</v>
      </c>
      <c r="K117">
        <v>0</v>
      </c>
      <c r="L117">
        <v>0</v>
      </c>
      <c r="M117" s="99">
        <v>0</v>
      </c>
      <c r="N117" s="99">
        <v>0</v>
      </c>
      <c r="O117" s="99">
        <v>0</v>
      </c>
      <c r="P117" s="99">
        <v>0</v>
      </c>
      <c r="Q117" s="99">
        <v>0</v>
      </c>
      <c r="R117" s="99">
        <v>0</v>
      </c>
      <c r="S117">
        <v>132424</v>
      </c>
      <c r="T117">
        <v>5147</v>
      </c>
      <c r="U117">
        <v>0</v>
      </c>
      <c r="V117" s="99">
        <v>1838</v>
      </c>
      <c r="W117" s="99">
        <v>73615</v>
      </c>
      <c r="X117" s="99">
        <v>1077</v>
      </c>
      <c r="Y117" s="99">
        <v>0</v>
      </c>
      <c r="Z117" s="99">
        <v>380</v>
      </c>
      <c r="AA117" s="99">
        <v>0</v>
      </c>
      <c r="AB117" s="99">
        <v>0</v>
      </c>
      <c r="AC117" s="99">
        <v>0</v>
      </c>
      <c r="AD117" s="99">
        <v>0</v>
      </c>
    </row>
    <row r="118" spans="1:30" ht="15" x14ac:dyDescent="0.25">
      <c r="A118">
        <v>309</v>
      </c>
      <c r="B118" s="100" t="s">
        <v>310</v>
      </c>
      <c r="C118" s="99">
        <v>12051</v>
      </c>
      <c r="D118" s="99">
        <v>0</v>
      </c>
      <c r="E118" s="99">
        <v>0</v>
      </c>
      <c r="F118" s="99">
        <v>0</v>
      </c>
      <c r="G118" s="99">
        <v>227</v>
      </c>
      <c r="H118" s="99">
        <v>310</v>
      </c>
      <c r="I118" s="99">
        <v>0</v>
      </c>
      <c r="J118">
        <v>0</v>
      </c>
      <c r="K118">
        <v>0</v>
      </c>
      <c r="L118">
        <v>0</v>
      </c>
      <c r="M118" s="99">
        <v>0</v>
      </c>
      <c r="N118" s="99">
        <v>0</v>
      </c>
      <c r="O118" s="99">
        <v>0</v>
      </c>
      <c r="P118" s="99">
        <v>0</v>
      </c>
      <c r="Q118" s="99">
        <v>0</v>
      </c>
      <c r="R118" s="99">
        <v>0</v>
      </c>
      <c r="S118">
        <v>51511</v>
      </c>
      <c r="T118">
        <v>1733</v>
      </c>
      <c r="U118">
        <v>0</v>
      </c>
      <c r="V118" s="99">
        <v>636</v>
      </c>
      <c r="W118" s="99">
        <v>27537</v>
      </c>
      <c r="X118" s="99">
        <v>523</v>
      </c>
      <c r="Y118" s="99">
        <v>0</v>
      </c>
      <c r="Z118" s="99">
        <v>23</v>
      </c>
      <c r="AA118" s="99">
        <v>0</v>
      </c>
      <c r="AB118" s="99">
        <v>0</v>
      </c>
      <c r="AC118" s="99">
        <v>0</v>
      </c>
      <c r="AD118" s="99">
        <v>0</v>
      </c>
    </row>
    <row r="119" spans="1:30" ht="15" x14ac:dyDescent="0.25">
      <c r="A119">
        <v>312</v>
      </c>
      <c r="B119" s="100" t="s">
        <v>251</v>
      </c>
      <c r="C119" s="99">
        <v>2395</v>
      </c>
      <c r="D119" s="99">
        <v>0</v>
      </c>
      <c r="E119" s="99">
        <v>0</v>
      </c>
      <c r="F119" s="99">
        <v>174</v>
      </c>
      <c r="G119" s="99">
        <v>52</v>
      </c>
      <c r="H119" s="99">
        <v>65</v>
      </c>
      <c r="I119" s="99">
        <v>0</v>
      </c>
      <c r="J119">
        <v>0</v>
      </c>
      <c r="K119">
        <v>0</v>
      </c>
      <c r="L119">
        <v>0</v>
      </c>
      <c r="M119" s="99">
        <v>0</v>
      </c>
      <c r="N119" s="99">
        <v>0</v>
      </c>
      <c r="O119" s="99">
        <v>0</v>
      </c>
      <c r="P119" s="99">
        <v>0</v>
      </c>
      <c r="Q119" s="99">
        <v>6</v>
      </c>
      <c r="R119" s="99">
        <v>0</v>
      </c>
      <c r="S119">
        <v>11004</v>
      </c>
      <c r="T119">
        <v>523</v>
      </c>
      <c r="U119">
        <v>174</v>
      </c>
      <c r="V119" s="99">
        <v>130</v>
      </c>
      <c r="W119" s="99">
        <v>5944</v>
      </c>
      <c r="X119" s="99">
        <v>119</v>
      </c>
      <c r="Y119" s="99">
        <v>0</v>
      </c>
      <c r="Z119" s="99">
        <v>0</v>
      </c>
      <c r="AA119" s="99">
        <v>0</v>
      </c>
      <c r="AB119" s="99">
        <v>3</v>
      </c>
      <c r="AC119" s="99">
        <v>9</v>
      </c>
      <c r="AD119" s="99">
        <v>0</v>
      </c>
    </row>
    <row r="120" spans="1:30" ht="15" x14ac:dyDescent="0.25">
      <c r="A120">
        <v>316</v>
      </c>
      <c r="B120" s="100" t="s">
        <v>252</v>
      </c>
      <c r="C120" s="99">
        <v>5627</v>
      </c>
      <c r="D120" s="99">
        <v>0</v>
      </c>
      <c r="E120" s="99">
        <v>0</v>
      </c>
      <c r="F120" s="99">
        <v>0</v>
      </c>
      <c r="G120" s="99">
        <v>0</v>
      </c>
      <c r="H120" s="99">
        <v>213</v>
      </c>
      <c r="I120" s="99">
        <v>0</v>
      </c>
      <c r="J120">
        <v>0</v>
      </c>
      <c r="K120">
        <v>0</v>
      </c>
      <c r="L120">
        <v>0</v>
      </c>
      <c r="M120" s="99">
        <v>0</v>
      </c>
      <c r="N120" s="99">
        <v>0</v>
      </c>
      <c r="O120" s="99">
        <v>0</v>
      </c>
      <c r="P120" s="99">
        <v>0</v>
      </c>
      <c r="Q120" s="99">
        <v>0</v>
      </c>
      <c r="R120" s="99">
        <v>0</v>
      </c>
      <c r="S120">
        <v>29466</v>
      </c>
      <c r="T120">
        <v>1304</v>
      </c>
      <c r="U120">
        <v>0</v>
      </c>
      <c r="V120" s="99">
        <v>175</v>
      </c>
      <c r="W120" s="99">
        <v>16098</v>
      </c>
      <c r="X120" s="99">
        <v>422</v>
      </c>
      <c r="Y120" s="99">
        <v>0</v>
      </c>
      <c r="Z120" s="99">
        <v>0</v>
      </c>
      <c r="AA120" s="99">
        <v>0</v>
      </c>
      <c r="AB120" s="99">
        <v>0</v>
      </c>
      <c r="AC120" s="99">
        <v>0</v>
      </c>
      <c r="AD120" s="99">
        <v>0</v>
      </c>
    </row>
    <row r="121" spans="1:30" ht="15" x14ac:dyDescent="0.25">
      <c r="A121">
        <v>317</v>
      </c>
      <c r="B121" s="100" t="s">
        <v>253</v>
      </c>
      <c r="C121" s="99">
        <v>3867</v>
      </c>
      <c r="D121" s="99">
        <v>0</v>
      </c>
      <c r="E121" s="99">
        <v>0</v>
      </c>
      <c r="F121" s="99">
        <v>0</v>
      </c>
      <c r="G121" s="99">
        <v>58</v>
      </c>
      <c r="H121" s="99">
        <v>1701</v>
      </c>
      <c r="I121" s="99">
        <v>0</v>
      </c>
      <c r="J121">
        <v>0</v>
      </c>
      <c r="K121">
        <v>0</v>
      </c>
      <c r="L121">
        <v>0</v>
      </c>
      <c r="M121" s="99">
        <v>0</v>
      </c>
      <c r="N121" s="99">
        <v>0</v>
      </c>
      <c r="O121" s="99">
        <v>0</v>
      </c>
      <c r="P121" s="99">
        <v>0</v>
      </c>
      <c r="Q121" s="99">
        <v>0</v>
      </c>
      <c r="R121" s="99">
        <v>0</v>
      </c>
      <c r="S121">
        <v>21056</v>
      </c>
      <c r="T121">
        <v>506</v>
      </c>
      <c r="U121">
        <v>0</v>
      </c>
      <c r="V121" s="99">
        <v>124</v>
      </c>
      <c r="W121" s="99">
        <v>11456</v>
      </c>
      <c r="X121" s="99">
        <v>229</v>
      </c>
      <c r="Y121" s="99">
        <v>0</v>
      </c>
      <c r="Z121" s="99">
        <v>10</v>
      </c>
      <c r="AA121" s="99">
        <v>1</v>
      </c>
      <c r="AB121" s="99">
        <v>0</v>
      </c>
      <c r="AC121" s="99">
        <v>0</v>
      </c>
      <c r="AD121" s="99">
        <v>0</v>
      </c>
    </row>
    <row r="122" spans="1:30" ht="15" x14ac:dyDescent="0.25">
      <c r="A122">
        <v>319</v>
      </c>
      <c r="B122" s="100" t="s">
        <v>506</v>
      </c>
      <c r="C122" s="99">
        <v>1814</v>
      </c>
      <c r="D122" s="99">
        <v>0</v>
      </c>
      <c r="E122" s="99">
        <v>0</v>
      </c>
      <c r="F122" s="99">
        <v>0</v>
      </c>
      <c r="G122" s="99">
        <v>0</v>
      </c>
      <c r="H122" s="99">
        <v>530</v>
      </c>
      <c r="I122" s="99">
        <v>0</v>
      </c>
      <c r="J122">
        <v>0</v>
      </c>
      <c r="K122">
        <v>0</v>
      </c>
      <c r="L122">
        <v>0</v>
      </c>
      <c r="M122" s="99">
        <v>0</v>
      </c>
      <c r="N122" s="99">
        <v>0</v>
      </c>
      <c r="O122" s="99">
        <v>0</v>
      </c>
      <c r="P122" s="99">
        <v>0</v>
      </c>
      <c r="Q122" s="99">
        <v>0</v>
      </c>
      <c r="R122" s="99">
        <v>0</v>
      </c>
      <c r="S122">
        <v>15702</v>
      </c>
      <c r="T122">
        <v>378</v>
      </c>
      <c r="U122">
        <v>0</v>
      </c>
      <c r="V122" s="99">
        <v>64</v>
      </c>
      <c r="W122" s="99">
        <v>9515</v>
      </c>
      <c r="X122" s="99">
        <v>269</v>
      </c>
      <c r="Y122" s="99">
        <v>0</v>
      </c>
      <c r="Z122" s="99">
        <v>12</v>
      </c>
      <c r="AA122" s="99">
        <v>0</v>
      </c>
      <c r="AB122" s="99">
        <v>0</v>
      </c>
      <c r="AC122" s="99">
        <v>0</v>
      </c>
      <c r="AD122" s="99">
        <v>0</v>
      </c>
    </row>
    <row r="123" spans="1:30" ht="15" x14ac:dyDescent="0.25">
      <c r="A123">
        <v>320</v>
      </c>
      <c r="B123" s="100" t="s">
        <v>221</v>
      </c>
      <c r="C123" s="99">
        <v>22887</v>
      </c>
      <c r="D123" s="99">
        <v>0</v>
      </c>
      <c r="E123" s="99">
        <v>0</v>
      </c>
      <c r="F123" s="99">
        <v>2477</v>
      </c>
      <c r="G123" s="99">
        <v>191</v>
      </c>
      <c r="H123" s="99">
        <v>5457</v>
      </c>
      <c r="I123" s="99">
        <v>0</v>
      </c>
      <c r="J123">
        <v>0</v>
      </c>
      <c r="K123">
        <v>0</v>
      </c>
      <c r="L123">
        <v>0</v>
      </c>
      <c r="M123" s="99">
        <v>0</v>
      </c>
      <c r="N123" s="99">
        <v>0</v>
      </c>
      <c r="O123" s="99">
        <v>0</v>
      </c>
      <c r="P123" s="99">
        <v>0</v>
      </c>
      <c r="Q123" s="99">
        <v>0</v>
      </c>
      <c r="R123" s="99">
        <v>0</v>
      </c>
      <c r="S123">
        <v>77835</v>
      </c>
      <c r="T123">
        <v>2627</v>
      </c>
      <c r="U123">
        <v>2477</v>
      </c>
      <c r="V123" s="99">
        <v>1318</v>
      </c>
      <c r="W123" s="99">
        <v>43206</v>
      </c>
      <c r="X123" s="99">
        <v>788</v>
      </c>
      <c r="Y123" s="99">
        <v>0</v>
      </c>
      <c r="Z123" s="99">
        <v>67</v>
      </c>
      <c r="AA123" s="99">
        <v>27</v>
      </c>
      <c r="AB123" s="99">
        <v>51</v>
      </c>
      <c r="AC123" s="99">
        <v>1037</v>
      </c>
      <c r="AD123" s="99">
        <v>5</v>
      </c>
    </row>
    <row r="124" spans="1:30" ht="15" x14ac:dyDescent="0.25">
      <c r="A124">
        <v>322</v>
      </c>
      <c r="B124" s="100" t="s">
        <v>127</v>
      </c>
      <c r="C124" s="99">
        <v>15104</v>
      </c>
      <c r="D124" s="99">
        <v>0</v>
      </c>
      <c r="E124" s="99">
        <v>120</v>
      </c>
      <c r="F124" s="99">
        <v>0</v>
      </c>
      <c r="G124" s="99">
        <v>6</v>
      </c>
      <c r="H124" s="99">
        <v>3426</v>
      </c>
      <c r="I124" s="99">
        <v>4</v>
      </c>
      <c r="J124">
        <v>0</v>
      </c>
      <c r="K124">
        <v>0</v>
      </c>
      <c r="L124">
        <v>0</v>
      </c>
      <c r="M124" s="99">
        <v>0</v>
      </c>
      <c r="N124" s="99">
        <v>0</v>
      </c>
      <c r="O124" s="99">
        <v>0</v>
      </c>
      <c r="P124" s="99">
        <v>0</v>
      </c>
      <c r="Q124" s="99">
        <v>0</v>
      </c>
      <c r="R124" s="99">
        <v>0</v>
      </c>
      <c r="S124">
        <v>56490</v>
      </c>
      <c r="T124">
        <v>2765</v>
      </c>
      <c r="U124">
        <v>0</v>
      </c>
      <c r="V124" s="99">
        <v>250</v>
      </c>
      <c r="W124" s="99">
        <v>29419</v>
      </c>
      <c r="X124" s="99">
        <v>549</v>
      </c>
      <c r="Y124" s="99">
        <v>0</v>
      </c>
      <c r="Z124" s="99">
        <v>215</v>
      </c>
      <c r="AA124" s="99">
        <v>4</v>
      </c>
      <c r="AB124" s="99">
        <v>0</v>
      </c>
      <c r="AC124" s="99">
        <v>0</v>
      </c>
      <c r="AD124" s="99">
        <v>0</v>
      </c>
    </row>
    <row r="125" spans="1:30" ht="15" x14ac:dyDescent="0.25">
      <c r="A125">
        <v>398</v>
      </c>
      <c r="B125" s="100" t="s">
        <v>254</v>
      </c>
      <c r="C125" s="99">
        <v>203540</v>
      </c>
      <c r="D125" s="99">
        <v>0</v>
      </c>
      <c r="E125" s="99">
        <v>475</v>
      </c>
      <c r="F125" s="99">
        <v>0</v>
      </c>
      <c r="G125" s="99">
        <v>3963</v>
      </c>
      <c r="H125" s="99">
        <v>57565</v>
      </c>
      <c r="I125" s="99">
        <v>0</v>
      </c>
      <c r="J125">
        <v>0</v>
      </c>
      <c r="K125">
        <v>0</v>
      </c>
      <c r="L125">
        <v>0</v>
      </c>
      <c r="M125" s="99">
        <v>0</v>
      </c>
      <c r="N125" s="99">
        <v>0</v>
      </c>
      <c r="O125" s="99">
        <v>0</v>
      </c>
      <c r="P125" s="99">
        <v>0</v>
      </c>
      <c r="Q125" s="99">
        <v>0</v>
      </c>
      <c r="R125" s="99">
        <v>0</v>
      </c>
      <c r="S125">
        <v>735515</v>
      </c>
      <c r="T125">
        <v>37728</v>
      </c>
      <c r="U125">
        <v>0</v>
      </c>
      <c r="V125" s="99">
        <v>26729</v>
      </c>
      <c r="W125" s="99">
        <v>392945</v>
      </c>
      <c r="X125" s="99">
        <v>8602</v>
      </c>
      <c r="Y125" s="99">
        <v>1</v>
      </c>
      <c r="Z125" s="99">
        <v>990</v>
      </c>
      <c r="AA125" s="99">
        <v>0</v>
      </c>
      <c r="AB125" s="99">
        <v>0</v>
      </c>
      <c r="AC125" s="99">
        <v>0</v>
      </c>
      <c r="AD125" s="99">
        <v>0</v>
      </c>
    </row>
    <row r="126" spans="1:30" ht="15" x14ac:dyDescent="0.25">
      <c r="A126">
        <v>399</v>
      </c>
      <c r="B126" s="100" t="s">
        <v>255</v>
      </c>
      <c r="C126" s="99">
        <v>9725</v>
      </c>
      <c r="D126" s="99">
        <v>0</v>
      </c>
      <c r="E126" s="99">
        <v>0</v>
      </c>
      <c r="F126" s="99">
        <v>0</v>
      </c>
      <c r="G126" s="99">
        <v>9</v>
      </c>
      <c r="H126" s="99">
        <v>2971</v>
      </c>
      <c r="I126" s="99">
        <v>0</v>
      </c>
      <c r="J126">
        <v>0</v>
      </c>
      <c r="K126">
        <v>0</v>
      </c>
      <c r="L126">
        <v>0</v>
      </c>
      <c r="M126" s="99">
        <v>0</v>
      </c>
      <c r="N126" s="99">
        <v>0</v>
      </c>
      <c r="O126" s="99">
        <v>0</v>
      </c>
      <c r="P126" s="99">
        <v>0</v>
      </c>
      <c r="Q126" s="99">
        <v>0</v>
      </c>
      <c r="R126" s="99">
        <v>0</v>
      </c>
      <c r="S126">
        <v>52070</v>
      </c>
      <c r="T126">
        <v>1976</v>
      </c>
      <c r="U126">
        <v>0</v>
      </c>
      <c r="V126" s="99">
        <v>100</v>
      </c>
      <c r="W126" s="99">
        <v>30048</v>
      </c>
      <c r="X126" s="99">
        <v>583</v>
      </c>
      <c r="Y126" s="99">
        <v>0</v>
      </c>
      <c r="Z126" s="99">
        <v>68</v>
      </c>
      <c r="AA126" s="99">
        <v>0</v>
      </c>
      <c r="AB126" s="99">
        <v>0</v>
      </c>
      <c r="AC126" s="99">
        <v>0</v>
      </c>
      <c r="AD126" s="99">
        <v>0</v>
      </c>
    </row>
    <row r="127" spans="1:30" ht="15" x14ac:dyDescent="0.25">
      <c r="A127">
        <v>400</v>
      </c>
      <c r="B127" s="100" t="s">
        <v>256</v>
      </c>
      <c r="C127" s="99">
        <v>12327</v>
      </c>
      <c r="D127" s="99">
        <v>0</v>
      </c>
      <c r="E127" s="99">
        <v>0</v>
      </c>
      <c r="F127" s="99">
        <v>2641</v>
      </c>
      <c r="G127" s="99">
        <v>399</v>
      </c>
      <c r="H127" s="99">
        <v>5084</v>
      </c>
      <c r="I127" s="99">
        <v>80</v>
      </c>
      <c r="J127">
        <v>0</v>
      </c>
      <c r="K127">
        <v>0</v>
      </c>
      <c r="L127">
        <v>0</v>
      </c>
      <c r="M127" s="99">
        <v>0</v>
      </c>
      <c r="N127" s="99">
        <v>0</v>
      </c>
      <c r="O127" s="99">
        <v>0</v>
      </c>
      <c r="P127" s="99">
        <v>0</v>
      </c>
      <c r="Q127" s="99">
        <v>0</v>
      </c>
      <c r="R127" s="99">
        <v>0</v>
      </c>
      <c r="S127">
        <v>58203</v>
      </c>
      <c r="T127">
        <v>2250</v>
      </c>
      <c r="U127">
        <v>2640</v>
      </c>
      <c r="V127" s="99">
        <v>549</v>
      </c>
      <c r="W127" s="99">
        <v>32072</v>
      </c>
      <c r="X127" s="99">
        <v>644</v>
      </c>
      <c r="Y127" s="99">
        <v>23</v>
      </c>
      <c r="Z127" s="99">
        <v>271</v>
      </c>
      <c r="AA127" s="99">
        <v>15</v>
      </c>
      <c r="AB127" s="99">
        <v>36</v>
      </c>
      <c r="AC127" s="99">
        <v>820</v>
      </c>
      <c r="AD127" s="99">
        <v>2</v>
      </c>
    </row>
    <row r="128" spans="1:30" ht="15" x14ac:dyDescent="0.25">
      <c r="A128">
        <v>402</v>
      </c>
      <c r="B128" s="100" t="s">
        <v>258</v>
      </c>
      <c r="C128" s="99">
        <v>14370</v>
      </c>
      <c r="D128" s="99">
        <v>0</v>
      </c>
      <c r="E128" s="99">
        <v>0</v>
      </c>
      <c r="F128" s="99">
        <v>0</v>
      </c>
      <c r="G128" s="99">
        <v>116</v>
      </c>
      <c r="H128" s="99">
        <v>5277</v>
      </c>
      <c r="I128" s="99">
        <v>0</v>
      </c>
      <c r="J128">
        <v>0</v>
      </c>
      <c r="K128">
        <v>0</v>
      </c>
      <c r="L128">
        <v>0</v>
      </c>
      <c r="M128" s="99">
        <v>0</v>
      </c>
      <c r="N128" s="99">
        <v>0</v>
      </c>
      <c r="O128" s="99">
        <v>0</v>
      </c>
      <c r="P128" s="99">
        <v>0</v>
      </c>
      <c r="Q128" s="99">
        <v>0</v>
      </c>
      <c r="R128" s="99">
        <v>0</v>
      </c>
      <c r="S128">
        <v>73310</v>
      </c>
      <c r="T128">
        <v>2989</v>
      </c>
      <c r="U128">
        <v>0</v>
      </c>
      <c r="V128" s="99">
        <v>1119</v>
      </c>
      <c r="W128" s="99">
        <v>44118</v>
      </c>
      <c r="X128" s="99">
        <v>667</v>
      </c>
      <c r="Y128" s="99">
        <v>0</v>
      </c>
      <c r="Z128" s="99">
        <v>801</v>
      </c>
      <c r="AA128" s="99">
        <v>0</v>
      </c>
      <c r="AB128" s="99">
        <v>0</v>
      </c>
      <c r="AC128" s="99">
        <v>0</v>
      </c>
      <c r="AD128" s="99">
        <v>0</v>
      </c>
    </row>
    <row r="129" spans="1:30" ht="15" x14ac:dyDescent="0.25">
      <c r="A129">
        <v>403</v>
      </c>
      <c r="B129" s="100" t="s">
        <v>259</v>
      </c>
      <c r="C129" s="99">
        <v>2653</v>
      </c>
      <c r="D129" s="99">
        <v>0</v>
      </c>
      <c r="E129" s="99">
        <v>0</v>
      </c>
      <c r="F129" s="99">
        <v>99</v>
      </c>
      <c r="G129" s="99">
        <v>0</v>
      </c>
      <c r="H129" s="99">
        <v>3</v>
      </c>
      <c r="I129" s="99">
        <v>0</v>
      </c>
      <c r="J129">
        <v>0</v>
      </c>
      <c r="K129">
        <v>0</v>
      </c>
      <c r="L129">
        <v>0</v>
      </c>
      <c r="M129" s="99">
        <v>0</v>
      </c>
      <c r="N129" s="99">
        <v>0</v>
      </c>
      <c r="O129" s="99">
        <v>0</v>
      </c>
      <c r="P129" s="99">
        <v>0</v>
      </c>
      <c r="Q129" s="99">
        <v>0</v>
      </c>
      <c r="R129" s="99">
        <v>0</v>
      </c>
      <c r="S129">
        <v>21383</v>
      </c>
      <c r="T129">
        <v>1120</v>
      </c>
      <c r="U129">
        <v>100</v>
      </c>
      <c r="V129" s="99">
        <v>53</v>
      </c>
      <c r="W129" s="99">
        <v>12565</v>
      </c>
      <c r="X129" s="99">
        <v>273</v>
      </c>
      <c r="Y129" s="99">
        <v>0</v>
      </c>
      <c r="Z129" s="99">
        <v>0</v>
      </c>
      <c r="AA129" s="99">
        <v>0</v>
      </c>
      <c r="AB129" s="99">
        <v>0</v>
      </c>
      <c r="AC129" s="99">
        <v>2</v>
      </c>
      <c r="AD129" s="99">
        <v>0</v>
      </c>
    </row>
    <row r="130" spans="1:30" ht="15" x14ac:dyDescent="0.25">
      <c r="A130">
        <v>405</v>
      </c>
      <c r="B130" s="100" t="s">
        <v>260</v>
      </c>
      <c r="C130" s="99">
        <v>74391</v>
      </c>
      <c r="D130" s="99">
        <v>0</v>
      </c>
      <c r="E130" s="99">
        <v>21631</v>
      </c>
      <c r="F130" s="99">
        <v>0</v>
      </c>
      <c r="G130" s="99">
        <v>0</v>
      </c>
      <c r="H130" s="99">
        <v>331</v>
      </c>
      <c r="I130" s="99">
        <v>4556</v>
      </c>
      <c r="J130">
        <v>0</v>
      </c>
      <c r="K130">
        <v>0</v>
      </c>
      <c r="L130">
        <v>0</v>
      </c>
      <c r="M130" s="99">
        <v>0</v>
      </c>
      <c r="N130" s="99">
        <v>0</v>
      </c>
      <c r="O130" s="99">
        <v>0</v>
      </c>
      <c r="P130" s="99">
        <v>0</v>
      </c>
      <c r="Q130" s="99">
        <v>0</v>
      </c>
      <c r="R130" s="99">
        <v>0</v>
      </c>
      <c r="S130">
        <v>477642</v>
      </c>
      <c r="T130">
        <v>22089</v>
      </c>
      <c r="U130">
        <v>0</v>
      </c>
      <c r="V130" s="99">
        <v>2326</v>
      </c>
      <c r="W130" s="99">
        <v>243233</v>
      </c>
      <c r="X130" s="99">
        <v>10156</v>
      </c>
      <c r="Y130" s="99">
        <v>0</v>
      </c>
      <c r="Z130" s="99">
        <v>7</v>
      </c>
      <c r="AA130" s="99">
        <v>430</v>
      </c>
      <c r="AB130" s="99">
        <v>0</v>
      </c>
      <c r="AC130" s="99">
        <v>0</v>
      </c>
      <c r="AD130" s="99">
        <v>0</v>
      </c>
    </row>
    <row r="131" spans="1:30" ht="15" x14ac:dyDescent="0.25">
      <c r="A131">
        <v>407</v>
      </c>
      <c r="B131" s="100" t="s">
        <v>257</v>
      </c>
      <c r="C131" s="99">
        <v>4972</v>
      </c>
      <c r="D131" s="99">
        <v>0</v>
      </c>
      <c r="E131" s="99">
        <v>8</v>
      </c>
      <c r="F131" s="99">
        <v>0</v>
      </c>
      <c r="G131" s="99">
        <v>0</v>
      </c>
      <c r="H131" s="99">
        <v>546</v>
      </c>
      <c r="I131" s="99">
        <v>0</v>
      </c>
      <c r="J131">
        <v>0</v>
      </c>
      <c r="K131">
        <v>0</v>
      </c>
      <c r="L131">
        <v>0</v>
      </c>
      <c r="M131" s="99">
        <v>0</v>
      </c>
      <c r="N131" s="99">
        <v>0</v>
      </c>
      <c r="O131" s="99">
        <v>0</v>
      </c>
      <c r="P131" s="99">
        <v>0</v>
      </c>
      <c r="Q131" s="99">
        <v>0</v>
      </c>
      <c r="R131" s="99">
        <v>0</v>
      </c>
      <c r="S131">
        <v>19900</v>
      </c>
      <c r="T131">
        <v>733</v>
      </c>
      <c r="U131">
        <v>0</v>
      </c>
      <c r="V131" s="99">
        <v>0</v>
      </c>
      <c r="W131" s="99">
        <v>9686</v>
      </c>
      <c r="X131" s="99">
        <v>268</v>
      </c>
      <c r="Y131" s="99">
        <v>0</v>
      </c>
      <c r="Z131" s="99">
        <v>32</v>
      </c>
      <c r="AA131" s="99">
        <v>0</v>
      </c>
      <c r="AB131" s="99">
        <v>0</v>
      </c>
      <c r="AC131" s="99">
        <v>0</v>
      </c>
      <c r="AD131" s="99">
        <v>0</v>
      </c>
    </row>
    <row r="132" spans="1:30" ht="15" x14ac:dyDescent="0.25">
      <c r="A132">
        <v>408</v>
      </c>
      <c r="B132" s="100" t="s">
        <v>261</v>
      </c>
      <c r="C132" s="99">
        <v>13764</v>
      </c>
      <c r="D132" s="99">
        <v>0</v>
      </c>
      <c r="E132" s="99">
        <v>421</v>
      </c>
      <c r="F132" s="99">
        <v>7388</v>
      </c>
      <c r="G132" s="99">
        <v>45</v>
      </c>
      <c r="H132" s="99">
        <v>5045</v>
      </c>
      <c r="I132" s="99">
        <v>0</v>
      </c>
      <c r="J132">
        <v>0</v>
      </c>
      <c r="K132">
        <v>0</v>
      </c>
      <c r="L132">
        <v>0</v>
      </c>
      <c r="M132" s="99">
        <v>0</v>
      </c>
      <c r="N132" s="99">
        <v>0</v>
      </c>
      <c r="O132" s="99">
        <v>0</v>
      </c>
      <c r="P132" s="99">
        <v>0</v>
      </c>
      <c r="Q132" s="99">
        <v>0</v>
      </c>
      <c r="R132" s="99">
        <v>0</v>
      </c>
      <c r="S132">
        <v>91064</v>
      </c>
      <c r="T132">
        <v>4590</v>
      </c>
      <c r="U132">
        <v>7390</v>
      </c>
      <c r="V132" s="99">
        <v>108</v>
      </c>
      <c r="W132" s="99">
        <v>49090</v>
      </c>
      <c r="X132" s="99">
        <v>1285</v>
      </c>
      <c r="Y132" s="99">
        <v>0</v>
      </c>
      <c r="Z132" s="99">
        <v>188</v>
      </c>
      <c r="AA132" s="99">
        <v>1</v>
      </c>
      <c r="AB132" s="99">
        <v>1</v>
      </c>
      <c r="AC132" s="99">
        <v>1658</v>
      </c>
      <c r="AD132" s="99">
        <v>92</v>
      </c>
    </row>
    <row r="133" spans="1:30" ht="15" x14ac:dyDescent="0.25">
      <c r="A133">
        <v>410</v>
      </c>
      <c r="B133" s="100" t="s">
        <v>262</v>
      </c>
      <c r="C133" s="99">
        <v>27149</v>
      </c>
      <c r="D133" s="99">
        <v>0</v>
      </c>
      <c r="E133" s="99">
        <v>0</v>
      </c>
      <c r="F133" s="99">
        <v>907</v>
      </c>
      <c r="G133" s="99">
        <v>63</v>
      </c>
      <c r="H133" s="99">
        <v>4108</v>
      </c>
      <c r="I133" s="99">
        <v>0</v>
      </c>
      <c r="J133">
        <v>0</v>
      </c>
      <c r="K133">
        <v>0</v>
      </c>
      <c r="L133">
        <v>0</v>
      </c>
      <c r="M133" s="99">
        <v>0</v>
      </c>
      <c r="N133" s="99">
        <v>0</v>
      </c>
      <c r="O133" s="99">
        <v>0</v>
      </c>
      <c r="P133" s="99">
        <v>0</v>
      </c>
      <c r="Q133" s="99">
        <v>0</v>
      </c>
      <c r="R133" s="99">
        <v>0</v>
      </c>
      <c r="S133">
        <v>120717</v>
      </c>
      <c r="T133">
        <v>7411</v>
      </c>
      <c r="U133">
        <v>907</v>
      </c>
      <c r="V133" s="99">
        <v>1130</v>
      </c>
      <c r="W133" s="99">
        <v>59072</v>
      </c>
      <c r="X133" s="99">
        <v>1536</v>
      </c>
      <c r="Y133" s="99">
        <v>0</v>
      </c>
      <c r="Z133" s="99">
        <v>35</v>
      </c>
      <c r="AA133" s="99">
        <v>0</v>
      </c>
      <c r="AB133" s="99">
        <v>0</v>
      </c>
      <c r="AC133" s="99">
        <v>127</v>
      </c>
      <c r="AD133" s="99">
        <v>0</v>
      </c>
    </row>
    <row r="134" spans="1:30" ht="15" x14ac:dyDescent="0.25">
      <c r="A134">
        <v>416</v>
      </c>
      <c r="B134" s="100" t="s">
        <v>263</v>
      </c>
      <c r="C134" s="99">
        <v>3155</v>
      </c>
      <c r="D134" s="99">
        <v>0</v>
      </c>
      <c r="E134" s="99">
        <v>0</v>
      </c>
      <c r="F134" s="99">
        <v>0</v>
      </c>
      <c r="G134" s="99">
        <v>0</v>
      </c>
      <c r="H134" s="99">
        <v>169</v>
      </c>
      <c r="I134" s="99">
        <v>0</v>
      </c>
      <c r="J134">
        <v>0</v>
      </c>
      <c r="K134">
        <v>0</v>
      </c>
      <c r="L134">
        <v>0</v>
      </c>
      <c r="M134" s="99">
        <v>0</v>
      </c>
      <c r="N134" s="99">
        <v>0</v>
      </c>
      <c r="O134" s="99">
        <v>0</v>
      </c>
      <c r="P134" s="99">
        <v>0</v>
      </c>
      <c r="Q134" s="99">
        <v>0</v>
      </c>
      <c r="R134" s="99">
        <v>0</v>
      </c>
      <c r="S134">
        <v>18708</v>
      </c>
      <c r="T134">
        <v>629</v>
      </c>
      <c r="U134">
        <v>0</v>
      </c>
      <c r="V134" s="99">
        <v>71</v>
      </c>
      <c r="W134" s="99">
        <v>9278</v>
      </c>
      <c r="X134" s="99">
        <v>276</v>
      </c>
      <c r="Y134" s="99">
        <v>0</v>
      </c>
      <c r="Z134" s="99">
        <v>0</v>
      </c>
      <c r="AA134" s="99">
        <v>10</v>
      </c>
      <c r="AB134" s="99">
        <v>0</v>
      </c>
      <c r="AC134" s="99">
        <v>0</v>
      </c>
      <c r="AD134" s="99">
        <v>0</v>
      </c>
    </row>
    <row r="135" spans="1:30" ht="15" x14ac:dyDescent="0.25">
      <c r="A135">
        <v>418</v>
      </c>
      <c r="B135" s="100" t="s">
        <v>264</v>
      </c>
      <c r="C135" s="99">
        <v>43447</v>
      </c>
      <c r="D135" s="99">
        <v>0</v>
      </c>
      <c r="E135" s="99">
        <v>420</v>
      </c>
      <c r="F135" s="99">
        <v>0</v>
      </c>
      <c r="G135" s="99">
        <v>422</v>
      </c>
      <c r="H135" s="99">
        <v>5480</v>
      </c>
      <c r="I135" s="99">
        <v>109</v>
      </c>
      <c r="J135">
        <v>0</v>
      </c>
      <c r="K135">
        <v>0</v>
      </c>
      <c r="L135">
        <v>0</v>
      </c>
      <c r="M135" s="99">
        <v>0</v>
      </c>
      <c r="N135" s="99">
        <v>0</v>
      </c>
      <c r="O135" s="99">
        <v>0</v>
      </c>
      <c r="P135" s="99">
        <v>0</v>
      </c>
      <c r="Q135" s="99">
        <v>0</v>
      </c>
      <c r="R135" s="99">
        <v>0</v>
      </c>
      <c r="S135">
        <v>151584</v>
      </c>
      <c r="T135">
        <v>10285</v>
      </c>
      <c r="U135">
        <v>0</v>
      </c>
      <c r="V135" s="99">
        <v>955</v>
      </c>
      <c r="W135" s="99">
        <v>64814</v>
      </c>
      <c r="X135" s="99">
        <v>1631</v>
      </c>
      <c r="Y135" s="99">
        <v>0</v>
      </c>
      <c r="Z135" s="99">
        <v>460</v>
      </c>
      <c r="AA135" s="99">
        <v>0</v>
      </c>
      <c r="AB135" s="99">
        <v>0</v>
      </c>
      <c r="AC135" s="99">
        <v>0</v>
      </c>
      <c r="AD135" s="99">
        <v>0</v>
      </c>
    </row>
    <row r="136" spans="1:30" ht="15" x14ac:dyDescent="0.25">
      <c r="A136">
        <v>420</v>
      </c>
      <c r="B136" s="100" t="s">
        <v>265</v>
      </c>
      <c r="C136" s="99">
        <v>13956</v>
      </c>
      <c r="D136" s="99">
        <v>0</v>
      </c>
      <c r="E136" s="99">
        <v>6</v>
      </c>
      <c r="F136" s="99">
        <v>353</v>
      </c>
      <c r="G136" s="99">
        <v>39</v>
      </c>
      <c r="H136" s="99">
        <v>3405</v>
      </c>
      <c r="I136" s="99">
        <v>31</v>
      </c>
      <c r="J136">
        <v>0</v>
      </c>
      <c r="K136">
        <v>0</v>
      </c>
      <c r="L136">
        <v>0</v>
      </c>
      <c r="M136" s="99">
        <v>0</v>
      </c>
      <c r="N136" s="99">
        <v>0</v>
      </c>
      <c r="O136" s="99">
        <v>0</v>
      </c>
      <c r="P136" s="99">
        <v>0</v>
      </c>
      <c r="Q136" s="99">
        <v>0</v>
      </c>
      <c r="R136" s="99">
        <v>0</v>
      </c>
      <c r="S136">
        <v>67255</v>
      </c>
      <c r="T136">
        <v>4235</v>
      </c>
      <c r="U136">
        <v>343</v>
      </c>
      <c r="V136" s="99">
        <v>1101</v>
      </c>
      <c r="W136" s="99">
        <v>39857</v>
      </c>
      <c r="X136" s="99">
        <v>560</v>
      </c>
      <c r="Y136" s="99">
        <v>0</v>
      </c>
      <c r="Z136" s="99">
        <v>59</v>
      </c>
      <c r="AA136" s="99">
        <v>0</v>
      </c>
      <c r="AB136" s="99">
        <v>0</v>
      </c>
      <c r="AC136" s="99">
        <v>84</v>
      </c>
      <c r="AD136" s="99">
        <v>0</v>
      </c>
    </row>
    <row r="137" spans="1:30" ht="15" x14ac:dyDescent="0.25">
      <c r="A137">
        <v>421</v>
      </c>
      <c r="B137" s="100" t="s">
        <v>266</v>
      </c>
      <c r="C137" s="99">
        <v>1775</v>
      </c>
      <c r="D137" s="99">
        <v>0</v>
      </c>
      <c r="E137" s="99">
        <v>0</v>
      </c>
      <c r="F137" s="99">
        <v>8</v>
      </c>
      <c r="G137" s="99">
        <v>0</v>
      </c>
      <c r="H137" s="99">
        <v>101</v>
      </c>
      <c r="I137" s="99">
        <v>0</v>
      </c>
      <c r="J137">
        <v>0</v>
      </c>
      <c r="K137">
        <v>0</v>
      </c>
      <c r="L137">
        <v>0</v>
      </c>
      <c r="M137" s="99">
        <v>0</v>
      </c>
      <c r="N137" s="99">
        <v>0</v>
      </c>
      <c r="O137" s="99">
        <v>0</v>
      </c>
      <c r="P137" s="99">
        <v>0</v>
      </c>
      <c r="Q137" s="99">
        <v>0</v>
      </c>
      <c r="R137" s="99">
        <v>0</v>
      </c>
      <c r="S137">
        <v>6922</v>
      </c>
      <c r="T137">
        <v>285</v>
      </c>
      <c r="U137">
        <v>8</v>
      </c>
      <c r="V137" s="99">
        <v>13</v>
      </c>
      <c r="W137" s="99">
        <v>3179</v>
      </c>
      <c r="X137" s="99">
        <v>135</v>
      </c>
      <c r="Y137" s="99">
        <v>0</v>
      </c>
      <c r="Z137" s="99">
        <v>60</v>
      </c>
      <c r="AA137" s="99">
        <v>5</v>
      </c>
      <c r="AB137" s="99">
        <v>0</v>
      </c>
      <c r="AC137" s="99">
        <v>0</v>
      </c>
      <c r="AD137" s="99">
        <v>0</v>
      </c>
    </row>
    <row r="138" spans="1:30" ht="15" x14ac:dyDescent="0.25">
      <c r="A138">
        <v>422</v>
      </c>
      <c r="B138" s="100" t="s">
        <v>267</v>
      </c>
      <c r="C138" s="99">
        <v>22341</v>
      </c>
      <c r="D138" s="99">
        <v>0</v>
      </c>
      <c r="E138" s="99">
        <v>151</v>
      </c>
      <c r="F138" s="99">
        <v>0</v>
      </c>
      <c r="G138" s="99">
        <v>202</v>
      </c>
      <c r="H138" s="99">
        <v>7111</v>
      </c>
      <c r="I138" s="99">
        <v>0</v>
      </c>
      <c r="J138">
        <v>0</v>
      </c>
      <c r="K138">
        <v>0</v>
      </c>
      <c r="L138">
        <v>0</v>
      </c>
      <c r="M138" s="99">
        <v>0</v>
      </c>
      <c r="N138" s="99">
        <v>0</v>
      </c>
      <c r="O138" s="99">
        <v>0</v>
      </c>
      <c r="P138" s="99">
        <v>0</v>
      </c>
      <c r="Q138" s="99">
        <v>0</v>
      </c>
      <c r="R138" s="99">
        <v>0</v>
      </c>
      <c r="S138">
        <v>95094</v>
      </c>
      <c r="T138">
        <v>4696</v>
      </c>
      <c r="U138">
        <v>0</v>
      </c>
      <c r="V138" s="99">
        <v>1714</v>
      </c>
      <c r="W138" s="99">
        <v>58693</v>
      </c>
      <c r="X138" s="99">
        <v>949</v>
      </c>
      <c r="Y138" s="99">
        <v>0</v>
      </c>
      <c r="Z138" s="99">
        <v>84</v>
      </c>
      <c r="AA138" s="99">
        <v>0</v>
      </c>
      <c r="AB138" s="99">
        <v>0</v>
      </c>
      <c r="AC138" s="99">
        <v>0</v>
      </c>
      <c r="AD138" s="99">
        <v>0</v>
      </c>
    </row>
    <row r="139" spans="1:30" ht="15" x14ac:dyDescent="0.25">
      <c r="A139">
        <v>423</v>
      </c>
      <c r="B139" s="100" t="s">
        <v>268</v>
      </c>
      <c r="C139" s="99">
        <v>47918</v>
      </c>
      <c r="D139" s="99">
        <v>0</v>
      </c>
      <c r="E139" s="99">
        <v>0</v>
      </c>
      <c r="F139" s="99">
        <v>2371</v>
      </c>
      <c r="G139" s="99">
        <v>419</v>
      </c>
      <c r="H139" s="99">
        <v>17163</v>
      </c>
      <c r="I139" s="99">
        <v>0</v>
      </c>
      <c r="J139">
        <v>0</v>
      </c>
      <c r="K139">
        <v>0</v>
      </c>
      <c r="L139">
        <v>0</v>
      </c>
      <c r="M139" s="99">
        <v>0</v>
      </c>
      <c r="N139" s="99">
        <v>0</v>
      </c>
      <c r="O139" s="99">
        <v>0</v>
      </c>
      <c r="P139" s="99">
        <v>0</v>
      </c>
      <c r="Q139" s="99">
        <v>0</v>
      </c>
      <c r="R139" s="99">
        <v>0</v>
      </c>
      <c r="S139">
        <v>135552</v>
      </c>
      <c r="T139">
        <v>5486</v>
      </c>
      <c r="U139">
        <v>2371</v>
      </c>
      <c r="V139" s="99">
        <v>1261</v>
      </c>
      <c r="W139" s="99">
        <v>68442</v>
      </c>
      <c r="X139" s="99">
        <v>1351</v>
      </c>
      <c r="Y139" s="99">
        <v>0</v>
      </c>
      <c r="Z139" s="99">
        <v>79</v>
      </c>
      <c r="AA139" s="99">
        <v>4</v>
      </c>
      <c r="AB139" s="99">
        <v>0</v>
      </c>
      <c r="AC139" s="99">
        <v>1887</v>
      </c>
      <c r="AD139" s="99">
        <v>0</v>
      </c>
    </row>
    <row r="140" spans="1:30" ht="15" x14ac:dyDescent="0.25">
      <c r="A140">
        <v>425</v>
      </c>
      <c r="B140" s="100" t="s">
        <v>269</v>
      </c>
      <c r="C140" s="99">
        <v>16397</v>
      </c>
      <c r="D140" s="99">
        <v>0</v>
      </c>
      <c r="E140" s="99">
        <v>0</v>
      </c>
      <c r="F140" s="99">
        <v>757</v>
      </c>
      <c r="G140" s="99">
        <v>159</v>
      </c>
      <c r="H140" s="99">
        <v>3746</v>
      </c>
      <c r="I140" s="99">
        <v>0</v>
      </c>
      <c r="J140">
        <v>0</v>
      </c>
      <c r="K140">
        <v>0</v>
      </c>
      <c r="L140">
        <v>0</v>
      </c>
      <c r="M140" s="99">
        <v>0</v>
      </c>
      <c r="N140" s="99">
        <v>0</v>
      </c>
      <c r="O140" s="99">
        <v>0</v>
      </c>
      <c r="P140" s="99">
        <v>0</v>
      </c>
      <c r="Q140" s="99">
        <v>0</v>
      </c>
      <c r="R140" s="99">
        <v>0</v>
      </c>
      <c r="S140">
        <v>63998</v>
      </c>
      <c r="T140">
        <v>4043</v>
      </c>
      <c r="U140">
        <v>757</v>
      </c>
      <c r="V140" s="99">
        <v>300</v>
      </c>
      <c r="W140" s="99">
        <v>27372</v>
      </c>
      <c r="X140" s="99">
        <v>601</v>
      </c>
      <c r="Y140" s="99">
        <v>1</v>
      </c>
      <c r="Z140" s="99">
        <v>151</v>
      </c>
      <c r="AA140" s="99">
        <v>0</v>
      </c>
      <c r="AB140" s="99">
        <v>1</v>
      </c>
      <c r="AC140" s="99">
        <v>226</v>
      </c>
      <c r="AD140" s="99">
        <v>0</v>
      </c>
    </row>
    <row r="141" spans="1:30" ht="15" x14ac:dyDescent="0.25">
      <c r="A141">
        <v>426</v>
      </c>
      <c r="B141" s="100" t="s">
        <v>270</v>
      </c>
      <c r="C141" s="99">
        <v>23873</v>
      </c>
      <c r="D141" s="99">
        <v>0</v>
      </c>
      <c r="E141" s="99">
        <v>0</v>
      </c>
      <c r="F141" s="99">
        <v>0</v>
      </c>
      <c r="G141" s="99">
        <v>239</v>
      </c>
      <c r="H141" s="99">
        <v>4626</v>
      </c>
      <c r="I141" s="99">
        <v>9</v>
      </c>
      <c r="J141">
        <v>0</v>
      </c>
      <c r="K141">
        <v>0</v>
      </c>
      <c r="L141">
        <v>0</v>
      </c>
      <c r="M141" s="99">
        <v>0</v>
      </c>
      <c r="N141" s="99">
        <v>0</v>
      </c>
      <c r="O141" s="99">
        <v>0</v>
      </c>
      <c r="P141" s="99">
        <v>0</v>
      </c>
      <c r="Q141" s="99">
        <v>0</v>
      </c>
      <c r="R141" s="99">
        <v>0</v>
      </c>
      <c r="S141">
        <v>85847</v>
      </c>
      <c r="T141">
        <v>2440</v>
      </c>
      <c r="U141">
        <v>0</v>
      </c>
      <c r="V141" s="99">
        <v>457</v>
      </c>
      <c r="W141" s="99">
        <v>45413</v>
      </c>
      <c r="X141" s="99">
        <v>936</v>
      </c>
      <c r="Y141" s="99">
        <v>0</v>
      </c>
      <c r="Z141" s="99">
        <v>52</v>
      </c>
      <c r="AA141" s="99">
        <v>11</v>
      </c>
      <c r="AB141" s="99">
        <v>0</v>
      </c>
      <c r="AC141" s="99">
        <v>0</v>
      </c>
      <c r="AD141" s="99">
        <v>0</v>
      </c>
    </row>
    <row r="142" spans="1:30" ht="15" x14ac:dyDescent="0.25">
      <c r="A142">
        <v>430</v>
      </c>
      <c r="B142" s="100" t="s">
        <v>272</v>
      </c>
      <c r="C142" s="99">
        <v>31047</v>
      </c>
      <c r="D142" s="99">
        <v>0</v>
      </c>
      <c r="E142" s="99">
        <v>2</v>
      </c>
      <c r="F142" s="99">
        <v>0</v>
      </c>
      <c r="G142" s="99">
        <v>198</v>
      </c>
      <c r="H142" s="99">
        <v>9592</v>
      </c>
      <c r="I142" s="99">
        <v>0</v>
      </c>
      <c r="J142">
        <v>0</v>
      </c>
      <c r="K142">
        <v>0</v>
      </c>
      <c r="L142">
        <v>0</v>
      </c>
      <c r="M142" s="99">
        <v>0</v>
      </c>
      <c r="N142" s="99">
        <v>0</v>
      </c>
      <c r="O142" s="99">
        <v>0</v>
      </c>
      <c r="P142" s="99">
        <v>0</v>
      </c>
      <c r="Q142" s="99">
        <v>0</v>
      </c>
      <c r="R142" s="99">
        <v>0</v>
      </c>
      <c r="S142">
        <v>121531</v>
      </c>
      <c r="T142">
        <v>4051</v>
      </c>
      <c r="U142">
        <v>0</v>
      </c>
      <c r="V142" s="99">
        <v>526</v>
      </c>
      <c r="W142" s="99">
        <v>71065</v>
      </c>
      <c r="X142" s="99">
        <v>1173</v>
      </c>
      <c r="Y142" s="99">
        <v>0</v>
      </c>
      <c r="Z142" s="99">
        <v>52</v>
      </c>
      <c r="AA142" s="99">
        <v>0</v>
      </c>
      <c r="AB142" s="99">
        <v>0</v>
      </c>
      <c r="AC142" s="99">
        <v>0</v>
      </c>
      <c r="AD142" s="99">
        <v>0</v>
      </c>
    </row>
    <row r="143" spans="1:30" ht="15" x14ac:dyDescent="0.25">
      <c r="A143">
        <v>433</v>
      </c>
      <c r="B143" s="100" t="s">
        <v>273</v>
      </c>
      <c r="C143" s="99">
        <v>9096</v>
      </c>
      <c r="D143" s="99">
        <v>0</v>
      </c>
      <c r="E143" s="99">
        <v>68</v>
      </c>
      <c r="F143" s="99">
        <v>96</v>
      </c>
      <c r="G143" s="99">
        <v>52</v>
      </c>
      <c r="H143" s="99">
        <v>2672</v>
      </c>
      <c r="I143" s="99">
        <v>0</v>
      </c>
      <c r="J143">
        <v>0</v>
      </c>
      <c r="K143">
        <v>0</v>
      </c>
      <c r="L143">
        <v>0</v>
      </c>
      <c r="M143" s="99">
        <v>0</v>
      </c>
      <c r="N143" s="99">
        <v>0</v>
      </c>
      <c r="O143" s="99">
        <v>0</v>
      </c>
      <c r="P143" s="99">
        <v>0</v>
      </c>
      <c r="Q143" s="99">
        <v>0</v>
      </c>
      <c r="R143" s="99">
        <v>0</v>
      </c>
      <c r="S143">
        <v>49396</v>
      </c>
      <c r="T143">
        <v>1770</v>
      </c>
      <c r="U143">
        <v>96</v>
      </c>
      <c r="V143" s="99">
        <v>495</v>
      </c>
      <c r="W143" s="99">
        <v>26601</v>
      </c>
      <c r="X143" s="99">
        <v>419</v>
      </c>
      <c r="Y143" s="99">
        <v>0</v>
      </c>
      <c r="Z143" s="99">
        <v>111</v>
      </c>
      <c r="AA143" s="99">
        <v>0</v>
      </c>
      <c r="AB143" s="99">
        <v>0</v>
      </c>
      <c r="AC143" s="99">
        <v>0</v>
      </c>
      <c r="AD143" s="99">
        <v>0</v>
      </c>
    </row>
    <row r="144" spans="1:30" ht="15" x14ac:dyDescent="0.25">
      <c r="A144">
        <v>434</v>
      </c>
      <c r="B144" s="100" t="s">
        <v>274</v>
      </c>
      <c r="C144" s="99">
        <v>44668</v>
      </c>
      <c r="D144" s="99">
        <v>0</v>
      </c>
      <c r="E144" s="99">
        <v>0</v>
      </c>
      <c r="F144" s="99">
        <v>0</v>
      </c>
      <c r="G144" s="99">
        <v>92</v>
      </c>
      <c r="H144" s="99">
        <v>9040</v>
      </c>
      <c r="I144" s="99">
        <v>0</v>
      </c>
      <c r="J144">
        <v>0</v>
      </c>
      <c r="K144">
        <v>0</v>
      </c>
      <c r="L144">
        <v>0</v>
      </c>
      <c r="M144" s="99">
        <v>0</v>
      </c>
      <c r="N144" s="99">
        <v>0</v>
      </c>
      <c r="O144" s="99">
        <v>0</v>
      </c>
      <c r="P144" s="99">
        <v>0</v>
      </c>
      <c r="Q144" s="99">
        <v>0</v>
      </c>
      <c r="R144" s="99">
        <v>0</v>
      </c>
      <c r="S144">
        <v>131898</v>
      </c>
      <c r="T144">
        <v>4070</v>
      </c>
      <c r="U144">
        <v>0</v>
      </c>
      <c r="V144" s="99">
        <v>1609</v>
      </c>
      <c r="W144" s="99">
        <v>60967</v>
      </c>
      <c r="X144" s="99">
        <v>1979</v>
      </c>
      <c r="Y144" s="99">
        <v>0</v>
      </c>
      <c r="Z144" s="99">
        <v>37</v>
      </c>
      <c r="AA144" s="99">
        <v>0</v>
      </c>
      <c r="AB144" s="99">
        <v>0</v>
      </c>
      <c r="AC144" s="99">
        <v>0</v>
      </c>
      <c r="AD144" s="99">
        <v>0</v>
      </c>
    </row>
    <row r="145" spans="1:30" ht="15" x14ac:dyDescent="0.25">
      <c r="A145">
        <v>435</v>
      </c>
      <c r="B145" s="100" t="s">
        <v>275</v>
      </c>
      <c r="C145" s="99">
        <v>1204</v>
      </c>
      <c r="D145" s="99">
        <v>0</v>
      </c>
      <c r="E145" s="99">
        <v>0</v>
      </c>
      <c r="F145" s="99">
        <v>0</v>
      </c>
      <c r="G145" s="99">
        <v>1</v>
      </c>
      <c r="H145" s="99">
        <v>380</v>
      </c>
      <c r="I145" s="99">
        <v>0</v>
      </c>
      <c r="J145">
        <v>0</v>
      </c>
      <c r="K145">
        <v>0</v>
      </c>
      <c r="L145">
        <v>0</v>
      </c>
      <c r="M145" s="99">
        <v>0</v>
      </c>
      <c r="N145" s="99">
        <v>0</v>
      </c>
      <c r="O145" s="99">
        <v>0</v>
      </c>
      <c r="P145" s="99">
        <v>0</v>
      </c>
      <c r="Q145" s="99">
        <v>0</v>
      </c>
      <c r="R145" s="99">
        <v>0</v>
      </c>
      <c r="S145">
        <v>5848</v>
      </c>
      <c r="T145">
        <v>199</v>
      </c>
      <c r="U145">
        <v>0</v>
      </c>
      <c r="V145" s="99">
        <v>54</v>
      </c>
      <c r="W145" s="99">
        <v>3404</v>
      </c>
      <c r="X145" s="99">
        <v>56</v>
      </c>
      <c r="Y145" s="99">
        <v>0</v>
      </c>
      <c r="Z145" s="99">
        <v>0</v>
      </c>
      <c r="AA145" s="99">
        <v>0</v>
      </c>
      <c r="AB145" s="99">
        <v>0</v>
      </c>
      <c r="AC145" s="99">
        <v>0</v>
      </c>
      <c r="AD145" s="99">
        <v>0</v>
      </c>
    </row>
    <row r="146" spans="1:30" ht="15" x14ac:dyDescent="0.25">
      <c r="A146">
        <v>436</v>
      </c>
      <c r="B146" s="100" t="s">
        <v>276</v>
      </c>
      <c r="C146" s="99">
        <v>3818</v>
      </c>
      <c r="D146" s="99">
        <v>0</v>
      </c>
      <c r="E146" s="99">
        <v>9</v>
      </c>
      <c r="F146" s="99">
        <v>0</v>
      </c>
      <c r="G146" s="99">
        <v>2</v>
      </c>
      <c r="H146" s="99">
        <v>1041</v>
      </c>
      <c r="I146" s="99">
        <v>4</v>
      </c>
      <c r="J146">
        <v>0</v>
      </c>
      <c r="K146">
        <v>0</v>
      </c>
      <c r="L146">
        <v>0</v>
      </c>
      <c r="M146" s="99">
        <v>0</v>
      </c>
      <c r="N146" s="99">
        <v>0</v>
      </c>
      <c r="O146" s="99">
        <v>0</v>
      </c>
      <c r="P146" s="99">
        <v>0</v>
      </c>
      <c r="Q146" s="99">
        <v>0</v>
      </c>
      <c r="R146" s="99">
        <v>0</v>
      </c>
      <c r="S146">
        <v>14491</v>
      </c>
      <c r="T146">
        <v>623</v>
      </c>
      <c r="U146">
        <v>419</v>
      </c>
      <c r="V146" s="99">
        <v>104</v>
      </c>
      <c r="W146" s="99">
        <v>6873</v>
      </c>
      <c r="X146" s="99">
        <v>11</v>
      </c>
      <c r="Y146" s="99">
        <v>0</v>
      </c>
      <c r="Z146" s="99">
        <v>21</v>
      </c>
      <c r="AA146" s="99">
        <v>1</v>
      </c>
      <c r="AB146" s="99">
        <v>0</v>
      </c>
      <c r="AC146" s="99">
        <v>168</v>
      </c>
      <c r="AD146" s="99">
        <v>0</v>
      </c>
    </row>
    <row r="147" spans="1:30" ht="15" x14ac:dyDescent="0.25">
      <c r="A147">
        <v>440</v>
      </c>
      <c r="B147" s="100" t="s">
        <v>277</v>
      </c>
      <c r="C147" s="99">
        <v>7137</v>
      </c>
      <c r="D147" s="99">
        <v>0</v>
      </c>
      <c r="E147" s="99">
        <v>0</v>
      </c>
      <c r="F147" s="99">
        <v>0</v>
      </c>
      <c r="G147" s="99">
        <v>0</v>
      </c>
      <c r="H147" s="99">
        <v>106</v>
      </c>
      <c r="I147" s="99">
        <v>0</v>
      </c>
      <c r="J147">
        <v>0</v>
      </c>
      <c r="K147">
        <v>0</v>
      </c>
      <c r="L147">
        <v>0</v>
      </c>
      <c r="M147" s="99">
        <v>0</v>
      </c>
      <c r="N147" s="99">
        <v>0</v>
      </c>
      <c r="O147" s="99">
        <v>0</v>
      </c>
      <c r="P147" s="99">
        <v>0</v>
      </c>
      <c r="Q147" s="99">
        <v>0</v>
      </c>
      <c r="R147" s="99">
        <v>0</v>
      </c>
      <c r="S147">
        <v>31966</v>
      </c>
      <c r="T147">
        <v>1125</v>
      </c>
      <c r="U147">
        <v>0</v>
      </c>
      <c r="V147" s="99">
        <v>21</v>
      </c>
      <c r="W147" s="99">
        <v>13071</v>
      </c>
      <c r="X147" s="99">
        <v>310</v>
      </c>
      <c r="Y147" s="99">
        <v>0</v>
      </c>
      <c r="Z147" s="99">
        <v>0</v>
      </c>
      <c r="AA147" s="99">
        <v>10</v>
      </c>
      <c r="AB147" s="99">
        <v>0</v>
      </c>
      <c r="AC147" s="99">
        <v>0</v>
      </c>
      <c r="AD147" s="99">
        <v>0</v>
      </c>
    </row>
    <row r="148" spans="1:30" ht="15" x14ac:dyDescent="0.25">
      <c r="A148">
        <v>441</v>
      </c>
      <c r="B148" s="100" t="s">
        <v>278</v>
      </c>
      <c r="C148" s="99">
        <v>6114</v>
      </c>
      <c r="D148" s="99">
        <v>0</v>
      </c>
      <c r="E148" s="99">
        <v>7</v>
      </c>
      <c r="F148" s="99">
        <v>0</v>
      </c>
      <c r="G148" s="99">
        <v>152</v>
      </c>
      <c r="H148" s="99">
        <v>242</v>
      </c>
      <c r="I148" s="99">
        <v>0</v>
      </c>
      <c r="J148">
        <v>0</v>
      </c>
      <c r="K148">
        <v>0</v>
      </c>
      <c r="L148">
        <v>0</v>
      </c>
      <c r="M148" s="99">
        <v>0</v>
      </c>
      <c r="N148" s="99">
        <v>0</v>
      </c>
      <c r="O148" s="99">
        <v>0</v>
      </c>
      <c r="P148" s="99">
        <v>0</v>
      </c>
      <c r="Q148" s="99">
        <v>0</v>
      </c>
      <c r="R148" s="99">
        <v>0</v>
      </c>
      <c r="S148">
        <v>34322</v>
      </c>
      <c r="T148">
        <v>1819</v>
      </c>
      <c r="U148">
        <v>0</v>
      </c>
      <c r="V148" s="99">
        <v>365</v>
      </c>
      <c r="W148" s="99">
        <v>19296</v>
      </c>
      <c r="X148" s="99">
        <v>431</v>
      </c>
      <c r="Y148" s="99">
        <v>0</v>
      </c>
      <c r="Z148" s="99">
        <v>0</v>
      </c>
      <c r="AA148" s="99">
        <v>0</v>
      </c>
      <c r="AB148" s="99">
        <v>0</v>
      </c>
      <c r="AC148" s="99">
        <v>0</v>
      </c>
      <c r="AD148" s="99">
        <v>0</v>
      </c>
    </row>
    <row r="149" spans="1:30" ht="15" x14ac:dyDescent="0.25">
      <c r="A149">
        <v>442</v>
      </c>
      <c r="B149" s="100" t="s">
        <v>279</v>
      </c>
      <c r="C149" s="99">
        <v>4158</v>
      </c>
      <c r="D149" s="99">
        <v>0</v>
      </c>
      <c r="E149" s="99">
        <v>0</v>
      </c>
      <c r="F149" s="99">
        <v>358</v>
      </c>
      <c r="G149" s="99">
        <v>0</v>
      </c>
      <c r="H149" s="99">
        <v>698</v>
      </c>
      <c r="I149" s="99">
        <v>1</v>
      </c>
      <c r="J149">
        <v>0</v>
      </c>
      <c r="K149">
        <v>0</v>
      </c>
      <c r="L149">
        <v>0</v>
      </c>
      <c r="M149" s="99">
        <v>0</v>
      </c>
      <c r="N149" s="99">
        <v>0</v>
      </c>
      <c r="O149" s="99">
        <v>0</v>
      </c>
      <c r="P149" s="99">
        <v>0</v>
      </c>
      <c r="Q149" s="99">
        <v>0</v>
      </c>
      <c r="R149" s="99">
        <v>0</v>
      </c>
      <c r="S149">
        <v>20782</v>
      </c>
      <c r="T149">
        <v>770</v>
      </c>
      <c r="U149">
        <v>358</v>
      </c>
      <c r="V149" s="99">
        <v>50</v>
      </c>
      <c r="W149" s="99">
        <v>10705</v>
      </c>
      <c r="X149" s="99">
        <v>294</v>
      </c>
      <c r="Y149" s="99">
        <v>0</v>
      </c>
      <c r="Z149" s="99">
        <v>8</v>
      </c>
      <c r="AA149" s="99">
        <v>0</v>
      </c>
      <c r="AB149" s="99">
        <v>0</v>
      </c>
      <c r="AC149" s="99">
        <v>101</v>
      </c>
      <c r="AD149" s="99">
        <v>1</v>
      </c>
    </row>
    <row r="150" spans="1:30" ht="15" x14ac:dyDescent="0.25">
      <c r="A150">
        <v>444</v>
      </c>
      <c r="B150" s="100" t="s">
        <v>271</v>
      </c>
      <c r="C150" s="99">
        <v>81062</v>
      </c>
      <c r="D150" s="99">
        <v>0</v>
      </c>
      <c r="E150" s="99">
        <v>0</v>
      </c>
      <c r="F150" s="99">
        <v>20937</v>
      </c>
      <c r="G150" s="99">
        <v>0</v>
      </c>
      <c r="H150" s="99">
        <v>21964</v>
      </c>
      <c r="I150" s="99">
        <v>0</v>
      </c>
      <c r="J150">
        <v>0</v>
      </c>
      <c r="K150">
        <v>0</v>
      </c>
      <c r="L150">
        <v>0</v>
      </c>
      <c r="M150" s="99">
        <v>0</v>
      </c>
      <c r="N150" s="99">
        <v>0</v>
      </c>
      <c r="O150" s="99">
        <v>0</v>
      </c>
      <c r="P150" s="99">
        <v>0</v>
      </c>
      <c r="Q150" s="99">
        <v>5356</v>
      </c>
      <c r="R150" s="99">
        <v>0</v>
      </c>
      <c r="S150">
        <v>321496</v>
      </c>
      <c r="T150">
        <v>13632</v>
      </c>
      <c r="U150">
        <v>20937</v>
      </c>
      <c r="V150" s="99">
        <v>3578</v>
      </c>
      <c r="W150" s="99">
        <v>171735</v>
      </c>
      <c r="X150" s="99">
        <v>3103</v>
      </c>
      <c r="Y150" s="99">
        <v>0</v>
      </c>
      <c r="Z150" s="99">
        <v>408</v>
      </c>
      <c r="AA150" s="99">
        <v>0</v>
      </c>
      <c r="AB150" s="99">
        <v>4</v>
      </c>
      <c r="AC150" s="99">
        <v>8767</v>
      </c>
      <c r="AD150" s="99">
        <v>68</v>
      </c>
    </row>
    <row r="151" spans="1:30" ht="15" x14ac:dyDescent="0.25">
      <c r="A151">
        <v>445</v>
      </c>
      <c r="B151" s="100" t="s">
        <v>128</v>
      </c>
      <c r="C151" s="99">
        <v>27257</v>
      </c>
      <c r="D151" s="99">
        <v>0</v>
      </c>
      <c r="E151" s="99">
        <v>0</v>
      </c>
      <c r="F151" s="99">
        <v>0</v>
      </c>
      <c r="G151" s="99">
        <v>195</v>
      </c>
      <c r="H151" s="99">
        <v>6946</v>
      </c>
      <c r="I151" s="99">
        <v>1</v>
      </c>
      <c r="J151">
        <v>0</v>
      </c>
      <c r="K151">
        <v>0</v>
      </c>
      <c r="L151">
        <v>0</v>
      </c>
      <c r="M151" s="99">
        <v>0</v>
      </c>
      <c r="N151" s="99">
        <v>0</v>
      </c>
      <c r="O151" s="99">
        <v>0</v>
      </c>
      <c r="P151" s="99">
        <v>0</v>
      </c>
      <c r="Q151" s="99">
        <v>0</v>
      </c>
      <c r="R151" s="99">
        <v>0</v>
      </c>
      <c r="S151">
        <v>115122</v>
      </c>
      <c r="T151">
        <v>4609</v>
      </c>
      <c r="U151">
        <v>0</v>
      </c>
      <c r="V151" s="99">
        <v>779</v>
      </c>
      <c r="W151" s="99">
        <v>56539</v>
      </c>
      <c r="X151" s="99">
        <v>1248</v>
      </c>
      <c r="Y151" s="99">
        <v>0</v>
      </c>
      <c r="Z151" s="99">
        <v>507</v>
      </c>
      <c r="AA151" s="99">
        <v>75</v>
      </c>
      <c r="AB151" s="99">
        <v>0</v>
      </c>
      <c r="AC151" s="99">
        <v>0</v>
      </c>
      <c r="AD151" s="99">
        <v>0</v>
      </c>
    </row>
    <row r="152" spans="1:30" ht="15" x14ac:dyDescent="0.25">
      <c r="A152">
        <v>475</v>
      </c>
      <c r="B152" s="100" t="s">
        <v>280</v>
      </c>
      <c r="C152" s="99">
        <v>12473</v>
      </c>
      <c r="D152" s="99">
        <v>0</v>
      </c>
      <c r="E152" s="99">
        <v>32</v>
      </c>
      <c r="F152" s="99">
        <v>0</v>
      </c>
      <c r="G152" s="99">
        <v>4</v>
      </c>
      <c r="H152" s="99">
        <v>4952</v>
      </c>
      <c r="I152" s="99">
        <v>0</v>
      </c>
      <c r="J152">
        <v>0</v>
      </c>
      <c r="K152">
        <v>0</v>
      </c>
      <c r="L152">
        <v>0</v>
      </c>
      <c r="M152" s="99">
        <v>0</v>
      </c>
      <c r="N152" s="99">
        <v>0</v>
      </c>
      <c r="O152" s="99">
        <v>0</v>
      </c>
      <c r="P152" s="99">
        <v>0</v>
      </c>
      <c r="Q152" s="99">
        <v>0</v>
      </c>
      <c r="R152" s="99">
        <v>0</v>
      </c>
      <c r="S152">
        <v>46074</v>
      </c>
      <c r="T152">
        <v>1421</v>
      </c>
      <c r="U152">
        <v>0</v>
      </c>
      <c r="V152" s="99">
        <v>151</v>
      </c>
      <c r="W152" s="99">
        <v>25908</v>
      </c>
      <c r="X152" s="99">
        <v>370</v>
      </c>
      <c r="Y152" s="99">
        <v>0</v>
      </c>
      <c r="Z152" s="99">
        <v>106</v>
      </c>
      <c r="AA152" s="99">
        <v>0</v>
      </c>
      <c r="AB152" s="99">
        <v>0</v>
      </c>
      <c r="AC152" s="99">
        <v>0</v>
      </c>
      <c r="AD152" s="99">
        <v>0</v>
      </c>
    </row>
    <row r="153" spans="1:30" ht="15" x14ac:dyDescent="0.25">
      <c r="A153">
        <v>480</v>
      </c>
      <c r="B153" s="100" t="s">
        <v>281</v>
      </c>
      <c r="C153" s="99">
        <v>2797</v>
      </c>
      <c r="D153" s="99">
        <v>0</v>
      </c>
      <c r="E153" s="99">
        <v>0</v>
      </c>
      <c r="F153" s="99">
        <v>0</v>
      </c>
      <c r="G153" s="99">
        <v>11</v>
      </c>
      <c r="H153" s="99">
        <v>773</v>
      </c>
      <c r="I153" s="99">
        <v>0</v>
      </c>
      <c r="J153">
        <v>0</v>
      </c>
      <c r="K153">
        <v>0</v>
      </c>
      <c r="L153">
        <v>0</v>
      </c>
      <c r="M153" s="99">
        <v>0</v>
      </c>
      <c r="N153" s="99">
        <v>0</v>
      </c>
      <c r="O153" s="99">
        <v>0</v>
      </c>
      <c r="P153" s="99">
        <v>0</v>
      </c>
      <c r="Q153" s="99">
        <v>0</v>
      </c>
      <c r="R153" s="99">
        <v>0</v>
      </c>
      <c r="S153">
        <v>13314</v>
      </c>
      <c r="T153">
        <v>422</v>
      </c>
      <c r="U153">
        <v>0</v>
      </c>
      <c r="V153" s="99">
        <v>72</v>
      </c>
      <c r="W153" s="99">
        <v>7554</v>
      </c>
      <c r="X153" s="99">
        <v>144</v>
      </c>
      <c r="Y153" s="99">
        <v>0</v>
      </c>
      <c r="Z153" s="99">
        <v>52</v>
      </c>
      <c r="AA153" s="99">
        <v>0</v>
      </c>
      <c r="AB153" s="99">
        <v>0</v>
      </c>
      <c r="AC153" s="99">
        <v>0</v>
      </c>
      <c r="AD153" s="99">
        <v>0</v>
      </c>
    </row>
    <row r="154" spans="1:30" ht="15" x14ac:dyDescent="0.25">
      <c r="A154">
        <v>481</v>
      </c>
      <c r="B154" s="100" t="s">
        <v>282</v>
      </c>
      <c r="C154" s="99">
        <v>8443</v>
      </c>
      <c r="D154" s="99">
        <v>0</v>
      </c>
      <c r="E154" s="99">
        <v>0</v>
      </c>
      <c r="F154" s="99">
        <v>660</v>
      </c>
      <c r="G154" s="99">
        <v>0</v>
      </c>
      <c r="H154" s="99">
        <v>743</v>
      </c>
      <c r="I154" s="99">
        <v>0</v>
      </c>
      <c r="J154">
        <v>0</v>
      </c>
      <c r="K154">
        <v>0</v>
      </c>
      <c r="L154">
        <v>0</v>
      </c>
      <c r="M154" s="99">
        <v>0</v>
      </c>
      <c r="N154" s="99">
        <v>0</v>
      </c>
      <c r="O154" s="99">
        <v>0</v>
      </c>
      <c r="P154" s="99">
        <v>0</v>
      </c>
      <c r="Q154" s="99">
        <v>0</v>
      </c>
      <c r="R154" s="99">
        <v>0</v>
      </c>
      <c r="S154">
        <v>52417</v>
      </c>
      <c r="T154">
        <v>2569</v>
      </c>
      <c r="U154">
        <v>2793</v>
      </c>
      <c r="V154" s="99">
        <v>191</v>
      </c>
      <c r="W154" s="99">
        <v>27033</v>
      </c>
      <c r="X154" s="99">
        <v>687</v>
      </c>
      <c r="Y154" s="99">
        <v>0</v>
      </c>
      <c r="Z154" s="99">
        <v>21</v>
      </c>
      <c r="AA154" s="99">
        <v>6</v>
      </c>
      <c r="AB154" s="99">
        <v>0</v>
      </c>
      <c r="AC154" s="99">
        <v>43</v>
      </c>
      <c r="AD154" s="99">
        <v>10</v>
      </c>
    </row>
    <row r="155" spans="1:30" ht="15" x14ac:dyDescent="0.25">
      <c r="A155">
        <v>483</v>
      </c>
      <c r="B155" s="100" t="s">
        <v>283</v>
      </c>
      <c r="C155" s="99">
        <v>1919</v>
      </c>
      <c r="D155" s="99">
        <v>0</v>
      </c>
      <c r="E155" s="99">
        <v>0</v>
      </c>
      <c r="F155" s="99">
        <v>0</v>
      </c>
      <c r="G155" s="99">
        <v>0</v>
      </c>
      <c r="H155" s="99">
        <v>162</v>
      </c>
      <c r="I155" s="99">
        <v>0</v>
      </c>
      <c r="J155">
        <v>0</v>
      </c>
      <c r="K155">
        <v>0</v>
      </c>
      <c r="L155">
        <v>0</v>
      </c>
      <c r="M155" s="99">
        <v>0</v>
      </c>
      <c r="N155" s="99">
        <v>0</v>
      </c>
      <c r="O155" s="99">
        <v>0</v>
      </c>
      <c r="P155" s="99">
        <v>0</v>
      </c>
      <c r="Q155" s="99">
        <v>0</v>
      </c>
      <c r="R155" s="99">
        <v>0</v>
      </c>
      <c r="S155">
        <v>8515</v>
      </c>
      <c r="T155">
        <v>388</v>
      </c>
      <c r="U155">
        <v>22</v>
      </c>
      <c r="V155" s="99">
        <v>50</v>
      </c>
      <c r="W155" s="99">
        <v>4177</v>
      </c>
      <c r="X155" s="99">
        <v>81</v>
      </c>
      <c r="Y155" s="99">
        <v>0</v>
      </c>
      <c r="Z155" s="99">
        <v>0</v>
      </c>
      <c r="AA155" s="99">
        <v>0</v>
      </c>
      <c r="AB155" s="99">
        <v>0</v>
      </c>
      <c r="AC155" s="99">
        <v>1</v>
      </c>
      <c r="AD155" s="99">
        <v>0</v>
      </c>
    </row>
    <row r="156" spans="1:30" ht="15" x14ac:dyDescent="0.25">
      <c r="A156">
        <v>484</v>
      </c>
      <c r="B156" s="100" t="s">
        <v>284</v>
      </c>
      <c r="C156" s="99">
        <v>5305</v>
      </c>
      <c r="D156" s="99">
        <v>0</v>
      </c>
      <c r="E156" s="99">
        <v>0</v>
      </c>
      <c r="F156" s="99">
        <v>329</v>
      </c>
      <c r="G156" s="99">
        <v>0</v>
      </c>
      <c r="H156" s="99">
        <v>138</v>
      </c>
      <c r="I156" s="99">
        <v>0</v>
      </c>
      <c r="J156">
        <v>0</v>
      </c>
      <c r="K156">
        <v>0</v>
      </c>
      <c r="L156">
        <v>0</v>
      </c>
      <c r="M156" s="99">
        <v>0</v>
      </c>
      <c r="N156" s="99">
        <v>0</v>
      </c>
      <c r="O156" s="99">
        <v>0</v>
      </c>
      <c r="P156" s="99">
        <v>0</v>
      </c>
      <c r="Q156" s="99">
        <v>0</v>
      </c>
      <c r="R156" s="99">
        <v>0</v>
      </c>
      <c r="S156">
        <v>25916</v>
      </c>
      <c r="T156">
        <v>1137</v>
      </c>
      <c r="U156">
        <v>329</v>
      </c>
      <c r="V156" s="99">
        <v>115</v>
      </c>
      <c r="W156" s="99">
        <v>12853</v>
      </c>
      <c r="X156" s="99">
        <v>350</v>
      </c>
      <c r="Y156" s="99">
        <v>0</v>
      </c>
      <c r="Z156" s="99">
        <v>0</v>
      </c>
      <c r="AA156" s="99">
        <v>23</v>
      </c>
      <c r="AB156" s="99">
        <v>0</v>
      </c>
      <c r="AC156" s="99">
        <v>0</v>
      </c>
      <c r="AD156" s="99">
        <v>0</v>
      </c>
    </row>
    <row r="157" spans="1:30" ht="15" x14ac:dyDescent="0.25">
      <c r="A157">
        <v>489</v>
      </c>
      <c r="B157" s="100" t="s">
        <v>285</v>
      </c>
      <c r="C157" s="99">
        <v>12634</v>
      </c>
      <c r="D157" s="99">
        <v>0</v>
      </c>
      <c r="E157" s="99">
        <v>0</v>
      </c>
      <c r="F157" s="99">
        <v>0</v>
      </c>
      <c r="G157" s="99">
        <v>199</v>
      </c>
      <c r="H157" s="99">
        <v>8976</v>
      </c>
      <c r="I157" s="99">
        <v>1</v>
      </c>
      <c r="J157">
        <v>0</v>
      </c>
      <c r="K157">
        <v>0</v>
      </c>
      <c r="L157">
        <v>0</v>
      </c>
      <c r="M157" s="99">
        <v>0</v>
      </c>
      <c r="N157" s="99">
        <v>0</v>
      </c>
      <c r="O157" s="99">
        <v>0</v>
      </c>
      <c r="P157" s="99">
        <v>0</v>
      </c>
      <c r="Q157" s="99">
        <v>0</v>
      </c>
      <c r="R157" s="99">
        <v>0</v>
      </c>
      <c r="S157">
        <v>24755</v>
      </c>
      <c r="T157">
        <v>666</v>
      </c>
      <c r="U157">
        <v>0</v>
      </c>
      <c r="V157" s="99">
        <v>383</v>
      </c>
      <c r="W157" s="99">
        <v>16365</v>
      </c>
      <c r="X157" s="99">
        <v>177</v>
      </c>
      <c r="Y157" s="99">
        <v>0</v>
      </c>
      <c r="Z157" s="99">
        <v>5</v>
      </c>
      <c r="AA157" s="99">
        <v>0</v>
      </c>
      <c r="AB157" s="99">
        <v>0</v>
      </c>
      <c r="AC157" s="99">
        <v>0</v>
      </c>
      <c r="AD157" s="99">
        <v>0</v>
      </c>
    </row>
    <row r="158" spans="1:30" ht="15" x14ac:dyDescent="0.25">
      <c r="A158">
        <v>491</v>
      </c>
      <c r="B158" s="100" t="s">
        <v>286</v>
      </c>
      <c r="C158" s="99">
        <v>139623</v>
      </c>
      <c r="D158" s="99">
        <v>0</v>
      </c>
      <c r="E158" s="99">
        <v>677</v>
      </c>
      <c r="F158" s="99">
        <v>0</v>
      </c>
      <c r="G158" s="99">
        <v>472</v>
      </c>
      <c r="H158" s="99">
        <v>40441</v>
      </c>
      <c r="I158" s="99">
        <v>12293</v>
      </c>
      <c r="J158">
        <v>0</v>
      </c>
      <c r="K158">
        <v>0</v>
      </c>
      <c r="L158">
        <v>0</v>
      </c>
      <c r="M158" s="99">
        <v>0</v>
      </c>
      <c r="N158" s="99">
        <v>0</v>
      </c>
      <c r="O158" s="99">
        <v>0</v>
      </c>
      <c r="P158" s="99">
        <v>0</v>
      </c>
      <c r="Q158" s="99">
        <v>0</v>
      </c>
      <c r="R158" s="99">
        <v>0</v>
      </c>
      <c r="S158">
        <v>426444</v>
      </c>
      <c r="T158">
        <v>18290</v>
      </c>
      <c r="U158">
        <v>0</v>
      </c>
      <c r="V158" s="99">
        <v>340</v>
      </c>
      <c r="W158" s="99">
        <v>220235</v>
      </c>
      <c r="X158" s="99">
        <v>15895</v>
      </c>
      <c r="Y158" s="99">
        <v>0</v>
      </c>
      <c r="Z158" s="99">
        <v>140</v>
      </c>
      <c r="AA158" s="99">
        <v>785</v>
      </c>
      <c r="AB158" s="99">
        <v>0</v>
      </c>
      <c r="AC158" s="99">
        <v>0</v>
      </c>
      <c r="AD158" s="99">
        <v>0</v>
      </c>
    </row>
    <row r="159" spans="1:30" ht="15" x14ac:dyDescent="0.25">
      <c r="A159">
        <v>494</v>
      </c>
      <c r="B159" s="100" t="s">
        <v>287</v>
      </c>
      <c r="C159" s="99">
        <v>20255</v>
      </c>
      <c r="D159" s="99">
        <v>0</v>
      </c>
      <c r="E159" s="99">
        <v>32</v>
      </c>
      <c r="F159" s="99">
        <v>1799</v>
      </c>
      <c r="G159" s="99">
        <v>36</v>
      </c>
      <c r="H159" s="99">
        <v>3560</v>
      </c>
      <c r="I159" s="99">
        <v>0</v>
      </c>
      <c r="J159">
        <v>0</v>
      </c>
      <c r="K159">
        <v>0</v>
      </c>
      <c r="L159">
        <v>0</v>
      </c>
      <c r="M159" s="99">
        <v>0</v>
      </c>
      <c r="N159" s="99">
        <v>0</v>
      </c>
      <c r="O159" s="99">
        <v>0</v>
      </c>
      <c r="P159" s="99">
        <v>0</v>
      </c>
      <c r="Q159" s="99">
        <v>0</v>
      </c>
      <c r="R159" s="99">
        <v>0</v>
      </c>
      <c r="S159">
        <v>70642</v>
      </c>
      <c r="T159">
        <v>2502</v>
      </c>
      <c r="U159">
        <v>1799</v>
      </c>
      <c r="V159" s="99">
        <v>300</v>
      </c>
      <c r="W159" s="99">
        <v>32891</v>
      </c>
      <c r="X159" s="99">
        <v>565</v>
      </c>
      <c r="Y159" s="99">
        <v>0</v>
      </c>
      <c r="Z159" s="99">
        <v>128</v>
      </c>
      <c r="AA159" s="99">
        <v>0</v>
      </c>
      <c r="AB159" s="99">
        <v>7</v>
      </c>
      <c r="AC159" s="99">
        <v>735</v>
      </c>
      <c r="AD159" s="99">
        <v>13</v>
      </c>
    </row>
    <row r="160" spans="1:30" ht="15" x14ac:dyDescent="0.25">
      <c r="A160">
        <v>495</v>
      </c>
      <c r="B160" s="100" t="s">
        <v>288</v>
      </c>
      <c r="C160" s="99">
        <v>3386</v>
      </c>
      <c r="D160" s="99">
        <v>0</v>
      </c>
      <c r="E160" s="99">
        <v>0</v>
      </c>
      <c r="F160" s="99">
        <v>211</v>
      </c>
      <c r="G160" s="99">
        <v>0</v>
      </c>
      <c r="H160" s="99">
        <v>1050</v>
      </c>
      <c r="I160" s="99">
        <v>0</v>
      </c>
      <c r="J160">
        <v>0</v>
      </c>
      <c r="K160">
        <v>0</v>
      </c>
      <c r="L160">
        <v>0</v>
      </c>
      <c r="M160" s="99">
        <v>0</v>
      </c>
      <c r="N160" s="99">
        <v>0</v>
      </c>
      <c r="O160" s="99">
        <v>0</v>
      </c>
      <c r="P160" s="99">
        <v>0</v>
      </c>
      <c r="Q160" s="99">
        <v>0</v>
      </c>
      <c r="R160" s="99">
        <v>0</v>
      </c>
      <c r="S160">
        <v>14667</v>
      </c>
      <c r="T160">
        <v>368</v>
      </c>
      <c r="U160">
        <v>210</v>
      </c>
      <c r="V160" s="99">
        <v>0</v>
      </c>
      <c r="W160" s="99">
        <v>8675</v>
      </c>
      <c r="X160" s="99">
        <v>141</v>
      </c>
      <c r="Y160" s="99">
        <v>0</v>
      </c>
      <c r="Z160" s="99">
        <v>0</v>
      </c>
      <c r="AA160" s="99">
        <v>0</v>
      </c>
      <c r="AB160" s="99">
        <v>0</v>
      </c>
      <c r="AC160" s="99">
        <v>96</v>
      </c>
      <c r="AD160" s="99">
        <v>0</v>
      </c>
    </row>
    <row r="161" spans="1:30" ht="15" x14ac:dyDescent="0.25">
      <c r="A161">
        <v>498</v>
      </c>
      <c r="B161" s="100" t="s">
        <v>289</v>
      </c>
      <c r="C161" s="99">
        <v>3295</v>
      </c>
      <c r="D161" s="99">
        <v>0</v>
      </c>
      <c r="E161" s="99">
        <v>0</v>
      </c>
      <c r="F161" s="99">
        <v>1072</v>
      </c>
      <c r="G161" s="99">
        <v>7</v>
      </c>
      <c r="H161" s="99">
        <v>370</v>
      </c>
      <c r="I161" s="99">
        <v>0</v>
      </c>
      <c r="J161">
        <v>0</v>
      </c>
      <c r="K161">
        <v>0</v>
      </c>
      <c r="L161">
        <v>0</v>
      </c>
      <c r="M161" s="99">
        <v>0</v>
      </c>
      <c r="N161" s="99">
        <v>0</v>
      </c>
      <c r="O161" s="99">
        <v>0</v>
      </c>
      <c r="P161" s="99">
        <v>0</v>
      </c>
      <c r="Q161" s="99">
        <v>0</v>
      </c>
      <c r="R161" s="99">
        <v>0</v>
      </c>
      <c r="S161">
        <v>19333</v>
      </c>
      <c r="T161">
        <v>692</v>
      </c>
      <c r="U161">
        <v>1072</v>
      </c>
      <c r="V161" s="99">
        <v>60</v>
      </c>
      <c r="W161" s="99">
        <v>9876</v>
      </c>
      <c r="X161" s="99">
        <v>293</v>
      </c>
      <c r="Y161" s="99">
        <v>0</v>
      </c>
      <c r="Z161" s="99">
        <v>2</v>
      </c>
      <c r="AA161" s="99">
        <v>0</v>
      </c>
      <c r="AB161" s="99">
        <v>0</v>
      </c>
      <c r="AC161" s="99">
        <v>152</v>
      </c>
      <c r="AD161" s="99">
        <v>0</v>
      </c>
    </row>
    <row r="162" spans="1:30" ht="15" x14ac:dyDescent="0.25">
      <c r="A162">
        <v>499</v>
      </c>
      <c r="B162" s="100" t="s">
        <v>290</v>
      </c>
      <c r="C162" s="99">
        <v>38406</v>
      </c>
      <c r="D162" s="99">
        <v>0</v>
      </c>
      <c r="E162" s="99">
        <v>181</v>
      </c>
      <c r="F162" s="99">
        <v>1387</v>
      </c>
      <c r="G162" s="99">
        <v>227</v>
      </c>
      <c r="H162" s="99">
        <v>13904</v>
      </c>
      <c r="I162" s="99">
        <v>76</v>
      </c>
      <c r="J162">
        <v>0</v>
      </c>
      <c r="K162">
        <v>0</v>
      </c>
      <c r="L162">
        <v>0</v>
      </c>
      <c r="M162" s="99">
        <v>0</v>
      </c>
      <c r="N162" s="99">
        <v>0</v>
      </c>
      <c r="O162" s="99">
        <v>0</v>
      </c>
      <c r="P162" s="99">
        <v>0</v>
      </c>
      <c r="Q162" s="99">
        <v>0</v>
      </c>
      <c r="R162" s="99">
        <v>0</v>
      </c>
      <c r="S162">
        <v>136182</v>
      </c>
      <c r="T162">
        <v>7462</v>
      </c>
      <c r="U162">
        <v>1387</v>
      </c>
      <c r="V162" s="99">
        <v>995</v>
      </c>
      <c r="W162" s="99">
        <v>70474</v>
      </c>
      <c r="X162" s="99">
        <v>1347</v>
      </c>
      <c r="Y162" s="99">
        <v>0</v>
      </c>
      <c r="Z162" s="99">
        <v>662</v>
      </c>
      <c r="AA162" s="99">
        <v>0</v>
      </c>
      <c r="AB162" s="99">
        <v>0</v>
      </c>
      <c r="AC162" s="99">
        <v>286</v>
      </c>
      <c r="AD162" s="99">
        <v>0</v>
      </c>
    </row>
    <row r="163" spans="1:30" ht="15" x14ac:dyDescent="0.25">
      <c r="A163">
        <v>500</v>
      </c>
      <c r="B163" s="100" t="s">
        <v>291</v>
      </c>
      <c r="C163" s="99">
        <v>14205</v>
      </c>
      <c r="D163" s="99">
        <v>0</v>
      </c>
      <c r="E163" s="99">
        <v>350</v>
      </c>
      <c r="F163" s="99">
        <v>1474</v>
      </c>
      <c r="G163" s="99">
        <v>293</v>
      </c>
      <c r="H163" s="99">
        <v>1963</v>
      </c>
      <c r="I163" s="99">
        <v>0</v>
      </c>
      <c r="J163">
        <v>0</v>
      </c>
      <c r="K163">
        <v>0</v>
      </c>
      <c r="L163">
        <v>0</v>
      </c>
      <c r="M163" s="99">
        <v>0</v>
      </c>
      <c r="N163" s="99">
        <v>0</v>
      </c>
      <c r="O163" s="99">
        <v>0</v>
      </c>
      <c r="P163" s="99">
        <v>0</v>
      </c>
      <c r="Q163" s="99">
        <v>112</v>
      </c>
      <c r="R163" s="99">
        <v>0</v>
      </c>
      <c r="S163">
        <v>56682</v>
      </c>
      <c r="T163">
        <v>3427</v>
      </c>
      <c r="U163">
        <v>1474</v>
      </c>
      <c r="V163" s="99">
        <v>1196</v>
      </c>
      <c r="W163" s="99">
        <v>24156</v>
      </c>
      <c r="X163" s="99">
        <v>774</v>
      </c>
      <c r="Y163" s="99">
        <v>3</v>
      </c>
      <c r="Z163" s="99">
        <v>3</v>
      </c>
      <c r="AA163" s="99">
        <v>0</v>
      </c>
      <c r="AB163" s="99">
        <v>20</v>
      </c>
      <c r="AC163" s="99">
        <v>153</v>
      </c>
      <c r="AD163" s="99">
        <v>0</v>
      </c>
    </row>
    <row r="164" spans="1:30" ht="15" x14ac:dyDescent="0.25">
      <c r="A164">
        <v>503</v>
      </c>
      <c r="B164" s="100" t="s">
        <v>292</v>
      </c>
      <c r="C164" s="99">
        <v>9265</v>
      </c>
      <c r="D164" s="99">
        <v>0</v>
      </c>
      <c r="E164" s="99">
        <v>0</v>
      </c>
      <c r="F164" s="99">
        <v>681</v>
      </c>
      <c r="G164" s="99">
        <v>0</v>
      </c>
      <c r="H164" s="99">
        <v>46</v>
      </c>
      <c r="I164" s="99">
        <v>0</v>
      </c>
      <c r="J164">
        <v>0</v>
      </c>
      <c r="K164">
        <v>0</v>
      </c>
      <c r="L164">
        <v>0</v>
      </c>
      <c r="M164" s="99">
        <v>0</v>
      </c>
      <c r="N164" s="99">
        <v>0</v>
      </c>
      <c r="O164" s="99">
        <v>0</v>
      </c>
      <c r="P164" s="99">
        <v>0</v>
      </c>
      <c r="Q164" s="99">
        <v>0</v>
      </c>
      <c r="R164" s="99">
        <v>0</v>
      </c>
      <c r="S164">
        <v>51524</v>
      </c>
      <c r="T164">
        <v>1794</v>
      </c>
      <c r="U164">
        <v>681</v>
      </c>
      <c r="V164" s="99">
        <v>29</v>
      </c>
      <c r="W164" s="99">
        <v>27628</v>
      </c>
      <c r="X164" s="99">
        <v>546</v>
      </c>
      <c r="Y164" s="99">
        <v>0</v>
      </c>
      <c r="Z164" s="99">
        <v>0</v>
      </c>
      <c r="AA164" s="99">
        <v>0</v>
      </c>
      <c r="AB164" s="99">
        <v>0</v>
      </c>
      <c r="AC164" s="99">
        <v>0</v>
      </c>
      <c r="AD164" s="99">
        <v>0</v>
      </c>
    </row>
    <row r="165" spans="1:30" ht="15" x14ac:dyDescent="0.25">
      <c r="A165">
        <v>504</v>
      </c>
      <c r="B165" s="100" t="s">
        <v>293</v>
      </c>
      <c r="C165" s="99">
        <v>1287</v>
      </c>
      <c r="D165" s="99">
        <v>0</v>
      </c>
      <c r="E165" s="99">
        <v>0</v>
      </c>
      <c r="F165" s="99">
        <v>0</v>
      </c>
      <c r="G165" s="99">
        <v>0</v>
      </c>
      <c r="H165" s="99">
        <v>0</v>
      </c>
      <c r="I165" s="99">
        <v>0</v>
      </c>
      <c r="J165">
        <v>0</v>
      </c>
      <c r="K165">
        <v>0</v>
      </c>
      <c r="L165">
        <v>0</v>
      </c>
      <c r="M165" s="99">
        <v>0</v>
      </c>
      <c r="N165" s="99">
        <v>0</v>
      </c>
      <c r="O165" s="99">
        <v>0</v>
      </c>
      <c r="P165" s="99">
        <v>0</v>
      </c>
      <c r="Q165" s="99">
        <v>0</v>
      </c>
      <c r="R165" s="99">
        <v>0</v>
      </c>
      <c r="S165">
        <v>11310</v>
      </c>
      <c r="T165">
        <v>545</v>
      </c>
      <c r="U165">
        <v>0</v>
      </c>
      <c r="V165" s="99">
        <v>215</v>
      </c>
      <c r="W165" s="99">
        <v>6433</v>
      </c>
      <c r="X165" s="99">
        <v>223</v>
      </c>
      <c r="Y165" s="99">
        <v>0</v>
      </c>
      <c r="Z165" s="99">
        <v>0</v>
      </c>
      <c r="AA165" s="99">
        <v>0</v>
      </c>
      <c r="AB165" s="99">
        <v>0</v>
      </c>
      <c r="AC165" s="99">
        <v>0</v>
      </c>
      <c r="AD165" s="99">
        <v>0</v>
      </c>
    </row>
    <row r="166" spans="1:30" ht="15" x14ac:dyDescent="0.25">
      <c r="A166">
        <v>505</v>
      </c>
      <c r="B166" s="100" t="s">
        <v>294</v>
      </c>
      <c r="C166" s="99">
        <v>49724</v>
      </c>
      <c r="D166" s="99">
        <v>0</v>
      </c>
      <c r="E166" s="99">
        <v>58</v>
      </c>
      <c r="F166" s="99">
        <v>6724</v>
      </c>
      <c r="G166" s="99">
        <v>279</v>
      </c>
      <c r="H166" s="99">
        <v>19203</v>
      </c>
      <c r="I166" s="99">
        <v>0</v>
      </c>
      <c r="J166">
        <v>0</v>
      </c>
      <c r="K166">
        <v>0</v>
      </c>
      <c r="L166">
        <v>0</v>
      </c>
      <c r="M166" s="99">
        <v>0</v>
      </c>
      <c r="N166" s="99">
        <v>0</v>
      </c>
      <c r="O166" s="99">
        <v>0</v>
      </c>
      <c r="P166" s="99">
        <v>0</v>
      </c>
      <c r="Q166" s="99">
        <v>1836</v>
      </c>
      <c r="R166" s="99">
        <v>0</v>
      </c>
      <c r="S166">
        <v>147370</v>
      </c>
      <c r="T166">
        <v>5770</v>
      </c>
      <c r="U166">
        <v>6723</v>
      </c>
      <c r="V166" s="99">
        <v>1093</v>
      </c>
      <c r="W166" s="99">
        <v>72483</v>
      </c>
      <c r="X166" s="99">
        <v>1938</v>
      </c>
      <c r="Y166" s="99">
        <v>0</v>
      </c>
      <c r="Z166" s="99">
        <v>237</v>
      </c>
      <c r="AA166" s="99">
        <v>1</v>
      </c>
      <c r="AB166" s="99">
        <v>18</v>
      </c>
      <c r="AC166" s="99">
        <v>2867</v>
      </c>
      <c r="AD166" s="99">
        <v>0</v>
      </c>
    </row>
    <row r="167" spans="1:30" ht="15" x14ac:dyDescent="0.25">
      <c r="A167">
        <v>507</v>
      </c>
      <c r="B167" s="100" t="s">
        <v>296</v>
      </c>
      <c r="C167" s="99">
        <v>12525</v>
      </c>
      <c r="D167" s="99">
        <v>0</v>
      </c>
      <c r="E167" s="99">
        <v>0</v>
      </c>
      <c r="F167" s="99">
        <v>1104</v>
      </c>
      <c r="G167" s="99">
        <v>249</v>
      </c>
      <c r="H167" s="99">
        <v>3765</v>
      </c>
      <c r="I167" s="99">
        <v>0</v>
      </c>
      <c r="J167">
        <v>0</v>
      </c>
      <c r="K167">
        <v>0</v>
      </c>
      <c r="L167">
        <v>0</v>
      </c>
      <c r="M167" s="99">
        <v>0</v>
      </c>
      <c r="N167" s="99">
        <v>0</v>
      </c>
      <c r="O167" s="99">
        <v>0</v>
      </c>
      <c r="P167" s="99">
        <v>0</v>
      </c>
      <c r="Q167" s="99">
        <v>99</v>
      </c>
      <c r="R167" s="99">
        <v>0</v>
      </c>
      <c r="S167">
        <v>48739</v>
      </c>
      <c r="T167">
        <v>2197</v>
      </c>
      <c r="U167">
        <v>1104</v>
      </c>
      <c r="V167" s="99">
        <v>656</v>
      </c>
      <c r="W167" s="99">
        <v>27770</v>
      </c>
      <c r="X167" s="99">
        <v>490</v>
      </c>
      <c r="Y167" s="99">
        <v>0</v>
      </c>
      <c r="Z167" s="99">
        <v>59</v>
      </c>
      <c r="AA167" s="99">
        <v>0</v>
      </c>
      <c r="AB167" s="99">
        <v>2</v>
      </c>
      <c r="AC167" s="99">
        <v>528</v>
      </c>
      <c r="AD167" s="99">
        <v>0</v>
      </c>
    </row>
    <row r="168" spans="1:30" ht="15" x14ac:dyDescent="0.25">
      <c r="A168">
        <v>508</v>
      </c>
      <c r="B168" s="100" t="s">
        <v>295</v>
      </c>
      <c r="C168" s="99">
        <v>25669</v>
      </c>
      <c r="D168" s="99">
        <v>0</v>
      </c>
      <c r="E168" s="99">
        <v>0</v>
      </c>
      <c r="F168" s="99">
        <v>0</v>
      </c>
      <c r="G168" s="99">
        <v>641</v>
      </c>
      <c r="H168" s="99">
        <v>15203</v>
      </c>
      <c r="I168" s="99">
        <v>0</v>
      </c>
      <c r="J168">
        <v>0</v>
      </c>
      <c r="K168">
        <v>0</v>
      </c>
      <c r="L168">
        <v>0</v>
      </c>
      <c r="M168" s="99">
        <v>0</v>
      </c>
      <c r="N168" s="99">
        <v>0</v>
      </c>
      <c r="O168" s="99">
        <v>0</v>
      </c>
      <c r="P168" s="99">
        <v>0</v>
      </c>
      <c r="Q168" s="99">
        <v>0</v>
      </c>
      <c r="R168" s="99">
        <v>0</v>
      </c>
      <c r="S168">
        <v>89919</v>
      </c>
      <c r="T168">
        <v>2344</v>
      </c>
      <c r="U168">
        <v>0</v>
      </c>
      <c r="V168" s="99">
        <v>792</v>
      </c>
      <c r="W168" s="99">
        <v>58225</v>
      </c>
      <c r="X168" s="99">
        <v>758</v>
      </c>
      <c r="Y168" s="99">
        <v>0</v>
      </c>
      <c r="Z168" s="99">
        <v>4</v>
      </c>
      <c r="AA168" s="99">
        <v>0</v>
      </c>
      <c r="AB168" s="99">
        <v>0</v>
      </c>
      <c r="AC168" s="99">
        <v>0</v>
      </c>
      <c r="AD168" s="99">
        <v>0</v>
      </c>
    </row>
    <row r="169" spans="1:30" ht="15" x14ac:dyDescent="0.25">
      <c r="A169">
        <v>529</v>
      </c>
      <c r="B169" s="100" t="s">
        <v>297</v>
      </c>
      <c r="C169" s="99">
        <v>47206</v>
      </c>
      <c r="D169" s="99">
        <v>0</v>
      </c>
      <c r="E169" s="99">
        <v>218</v>
      </c>
      <c r="F169" s="99">
        <v>2842</v>
      </c>
      <c r="G169" s="99">
        <v>325</v>
      </c>
      <c r="H169" s="99">
        <v>6213</v>
      </c>
      <c r="I169" s="99">
        <v>0</v>
      </c>
      <c r="J169">
        <v>0</v>
      </c>
      <c r="K169">
        <v>0</v>
      </c>
      <c r="L169">
        <v>0</v>
      </c>
      <c r="M169" s="99">
        <v>0</v>
      </c>
      <c r="N169" s="99">
        <v>0</v>
      </c>
      <c r="O169" s="99">
        <v>0</v>
      </c>
      <c r="P169" s="99">
        <v>0</v>
      </c>
      <c r="Q169" s="99">
        <v>0</v>
      </c>
      <c r="R169" s="99">
        <v>0</v>
      </c>
      <c r="S169">
        <v>136011</v>
      </c>
      <c r="T169">
        <v>8426</v>
      </c>
      <c r="U169">
        <v>2838</v>
      </c>
      <c r="V169" s="99">
        <v>1766</v>
      </c>
      <c r="W169" s="99">
        <v>62727</v>
      </c>
      <c r="X169" s="99">
        <v>1437</v>
      </c>
      <c r="Y169" s="99">
        <v>0</v>
      </c>
      <c r="Z169" s="99">
        <v>159</v>
      </c>
      <c r="AA169" s="99">
        <v>0</v>
      </c>
      <c r="AB169" s="99">
        <v>11</v>
      </c>
      <c r="AC169" s="99">
        <v>184</v>
      </c>
      <c r="AD169" s="99">
        <v>0</v>
      </c>
    </row>
    <row r="170" spans="1:30" ht="15" x14ac:dyDescent="0.25">
      <c r="A170">
        <v>531</v>
      </c>
      <c r="B170" s="100" t="s">
        <v>298</v>
      </c>
      <c r="C170" s="99">
        <v>6559</v>
      </c>
      <c r="D170" s="99">
        <v>0</v>
      </c>
      <c r="E170" s="99">
        <v>0</v>
      </c>
      <c r="F170" s="99">
        <v>767</v>
      </c>
      <c r="G170" s="99">
        <v>123</v>
      </c>
      <c r="H170" s="99">
        <v>1640</v>
      </c>
      <c r="I170" s="99">
        <v>155</v>
      </c>
      <c r="J170">
        <v>0</v>
      </c>
      <c r="K170">
        <v>0</v>
      </c>
      <c r="L170">
        <v>0</v>
      </c>
      <c r="M170" s="99">
        <v>0</v>
      </c>
      <c r="N170" s="99">
        <v>0</v>
      </c>
      <c r="O170" s="99">
        <v>0</v>
      </c>
      <c r="P170" s="99">
        <v>1</v>
      </c>
      <c r="Q170" s="99">
        <v>21</v>
      </c>
      <c r="R170" s="99">
        <v>0</v>
      </c>
      <c r="S170">
        <v>35442</v>
      </c>
      <c r="T170">
        <v>1260</v>
      </c>
      <c r="U170">
        <v>767</v>
      </c>
      <c r="V170" s="99">
        <v>453</v>
      </c>
      <c r="W170" s="99">
        <v>20053</v>
      </c>
      <c r="X170" s="99">
        <v>611</v>
      </c>
      <c r="Y170" s="99">
        <v>0</v>
      </c>
      <c r="Z170" s="99">
        <v>88</v>
      </c>
      <c r="AA170" s="99">
        <v>30</v>
      </c>
      <c r="AB170" s="99">
        <v>8</v>
      </c>
      <c r="AC170" s="99">
        <v>371</v>
      </c>
      <c r="AD170" s="99">
        <v>9</v>
      </c>
    </row>
    <row r="171" spans="1:30" ht="15" x14ac:dyDescent="0.25">
      <c r="A171">
        <v>532</v>
      </c>
      <c r="B171" s="100" t="s">
        <v>507</v>
      </c>
      <c r="C171" s="99">
        <v>18741</v>
      </c>
      <c r="D171" s="99">
        <v>0</v>
      </c>
      <c r="E171" s="99">
        <v>55</v>
      </c>
      <c r="F171" s="99">
        <v>441</v>
      </c>
      <c r="G171" s="99">
        <v>0</v>
      </c>
      <c r="H171" s="99">
        <v>598</v>
      </c>
      <c r="I171" s="99">
        <v>0</v>
      </c>
      <c r="J171">
        <v>0</v>
      </c>
      <c r="K171">
        <v>0</v>
      </c>
      <c r="L171">
        <v>0</v>
      </c>
      <c r="M171" s="99">
        <v>0</v>
      </c>
      <c r="N171" s="99">
        <v>0</v>
      </c>
      <c r="O171" s="99">
        <v>0</v>
      </c>
      <c r="P171" s="99">
        <v>0</v>
      </c>
      <c r="Q171" s="99">
        <v>0</v>
      </c>
      <c r="R171" s="99">
        <v>0</v>
      </c>
      <c r="S171">
        <v>84924</v>
      </c>
      <c r="T171">
        <v>6054</v>
      </c>
      <c r="U171">
        <v>441</v>
      </c>
      <c r="V171" s="99">
        <v>1345</v>
      </c>
      <c r="W171" s="99">
        <v>43657</v>
      </c>
      <c r="X171" s="99">
        <v>1643</v>
      </c>
      <c r="Y171" s="99">
        <v>0</v>
      </c>
      <c r="Z171" s="99">
        <v>0</v>
      </c>
      <c r="AA171" s="99">
        <v>0</v>
      </c>
      <c r="AB171" s="99">
        <v>0</v>
      </c>
      <c r="AC171" s="99">
        <v>3</v>
      </c>
      <c r="AD171" s="99">
        <v>0</v>
      </c>
    </row>
    <row r="172" spans="1:30" ht="15" x14ac:dyDescent="0.25">
      <c r="A172">
        <v>535</v>
      </c>
      <c r="B172" s="100" t="s">
        <v>299</v>
      </c>
      <c r="C172" s="99">
        <v>15723</v>
      </c>
      <c r="D172" s="99">
        <v>0</v>
      </c>
      <c r="E172" s="99">
        <v>32</v>
      </c>
      <c r="F172" s="99">
        <v>1960</v>
      </c>
      <c r="G172" s="99">
        <v>79</v>
      </c>
      <c r="H172" s="99">
        <v>150</v>
      </c>
      <c r="I172" s="99">
        <v>0</v>
      </c>
      <c r="J172">
        <v>0</v>
      </c>
      <c r="K172">
        <v>0</v>
      </c>
      <c r="L172">
        <v>0</v>
      </c>
      <c r="M172" s="99">
        <v>0</v>
      </c>
      <c r="N172" s="99">
        <v>0</v>
      </c>
      <c r="O172" s="99">
        <v>0</v>
      </c>
      <c r="P172" s="99">
        <v>0</v>
      </c>
      <c r="Q172" s="99">
        <v>0</v>
      </c>
      <c r="R172" s="99">
        <v>0</v>
      </c>
      <c r="S172">
        <v>77817</v>
      </c>
      <c r="T172">
        <v>2011</v>
      </c>
      <c r="U172">
        <v>1960</v>
      </c>
      <c r="V172" s="99">
        <v>100</v>
      </c>
      <c r="W172" s="99">
        <v>36971</v>
      </c>
      <c r="X172" s="99">
        <v>871</v>
      </c>
      <c r="Y172" s="99">
        <v>0</v>
      </c>
      <c r="Z172" s="99">
        <v>0</v>
      </c>
      <c r="AA172" s="99">
        <v>0</v>
      </c>
      <c r="AB172" s="99">
        <v>7</v>
      </c>
      <c r="AC172" s="99">
        <v>688</v>
      </c>
      <c r="AD172" s="99">
        <v>7</v>
      </c>
    </row>
    <row r="173" spans="1:30" ht="15" x14ac:dyDescent="0.25">
      <c r="A173">
        <v>536</v>
      </c>
      <c r="B173" s="100" t="s">
        <v>300</v>
      </c>
      <c r="C173" s="99">
        <v>50936</v>
      </c>
      <c r="D173" s="99">
        <v>0</v>
      </c>
      <c r="E173" s="99">
        <v>2390</v>
      </c>
      <c r="F173" s="99">
        <v>1734</v>
      </c>
      <c r="G173" s="99">
        <v>309</v>
      </c>
      <c r="H173" s="99">
        <v>10556</v>
      </c>
      <c r="I173" s="99">
        <v>0</v>
      </c>
      <c r="J173">
        <v>0</v>
      </c>
      <c r="K173">
        <v>0</v>
      </c>
      <c r="L173">
        <v>0</v>
      </c>
      <c r="M173" s="99">
        <v>0</v>
      </c>
      <c r="N173" s="99">
        <v>0</v>
      </c>
      <c r="O173" s="99">
        <v>0</v>
      </c>
      <c r="P173" s="99">
        <v>0</v>
      </c>
      <c r="Q173" s="99">
        <v>0</v>
      </c>
      <c r="R173" s="99">
        <v>0</v>
      </c>
      <c r="S173">
        <v>210405</v>
      </c>
      <c r="T173">
        <v>10603</v>
      </c>
      <c r="U173">
        <v>1734</v>
      </c>
      <c r="V173" s="99">
        <v>2584</v>
      </c>
      <c r="W173" s="99">
        <v>100945</v>
      </c>
      <c r="X173" s="99">
        <v>2217</v>
      </c>
      <c r="Y173" s="99">
        <v>0</v>
      </c>
      <c r="Z173" s="99">
        <v>183</v>
      </c>
      <c r="AA173" s="99">
        <v>0</v>
      </c>
      <c r="AB173" s="99">
        <v>16</v>
      </c>
      <c r="AC173" s="99">
        <v>628</v>
      </c>
      <c r="AD173" s="99">
        <v>8</v>
      </c>
    </row>
    <row r="174" spans="1:30" ht="15" x14ac:dyDescent="0.25">
      <c r="A174">
        <v>538</v>
      </c>
      <c r="B174" s="100" t="s">
        <v>301</v>
      </c>
      <c r="C174" s="99">
        <v>6316</v>
      </c>
      <c r="D174" s="99">
        <v>0</v>
      </c>
      <c r="E174" s="99">
        <v>0</v>
      </c>
      <c r="F174" s="99">
        <v>455</v>
      </c>
      <c r="G174" s="99">
        <v>0</v>
      </c>
      <c r="H174" s="99">
        <v>0</v>
      </c>
      <c r="I174" s="99">
        <v>30</v>
      </c>
      <c r="J174">
        <v>0</v>
      </c>
      <c r="K174">
        <v>0</v>
      </c>
      <c r="L174">
        <v>0</v>
      </c>
      <c r="M174" s="99">
        <v>0</v>
      </c>
      <c r="N174" s="99">
        <v>0</v>
      </c>
      <c r="O174" s="99">
        <v>0</v>
      </c>
      <c r="P174" s="99">
        <v>0</v>
      </c>
      <c r="Q174" s="99">
        <v>0</v>
      </c>
      <c r="R174" s="99">
        <v>0</v>
      </c>
      <c r="S174">
        <v>31080</v>
      </c>
      <c r="T174">
        <v>897</v>
      </c>
      <c r="U174">
        <v>455</v>
      </c>
      <c r="V174" s="99">
        <v>202</v>
      </c>
      <c r="W174" s="99">
        <v>14022</v>
      </c>
      <c r="X174" s="99">
        <v>377</v>
      </c>
      <c r="Y174" s="99">
        <v>0</v>
      </c>
      <c r="Z174" s="99">
        <v>0</v>
      </c>
      <c r="AA174" s="99">
        <v>18</v>
      </c>
      <c r="AB174" s="99">
        <v>0</v>
      </c>
      <c r="AC174" s="99">
        <v>0</v>
      </c>
      <c r="AD174" s="99">
        <v>0</v>
      </c>
    </row>
    <row r="175" spans="1:30" ht="15" x14ac:dyDescent="0.25">
      <c r="A175">
        <v>541</v>
      </c>
      <c r="B175" s="100" t="s">
        <v>302</v>
      </c>
      <c r="C175" s="99">
        <v>13398</v>
      </c>
      <c r="D175" s="99">
        <v>0</v>
      </c>
      <c r="E175" s="99">
        <v>76</v>
      </c>
      <c r="F175" s="99">
        <v>0</v>
      </c>
      <c r="G175" s="99">
        <v>40</v>
      </c>
      <c r="H175" s="99">
        <v>2914</v>
      </c>
      <c r="I175" s="99">
        <v>0</v>
      </c>
      <c r="J175">
        <v>0</v>
      </c>
      <c r="K175">
        <v>0</v>
      </c>
      <c r="L175">
        <v>0</v>
      </c>
      <c r="M175" s="99">
        <v>0</v>
      </c>
      <c r="N175" s="99">
        <v>0</v>
      </c>
      <c r="O175" s="99">
        <v>0</v>
      </c>
      <c r="P175" s="99">
        <v>0</v>
      </c>
      <c r="Q175" s="99">
        <v>0</v>
      </c>
      <c r="R175" s="99">
        <v>0</v>
      </c>
      <c r="S175">
        <v>61279</v>
      </c>
      <c r="T175">
        <v>3876</v>
      </c>
      <c r="U175">
        <v>0</v>
      </c>
      <c r="V175" s="99">
        <v>126</v>
      </c>
      <c r="W175" s="99">
        <v>34227</v>
      </c>
      <c r="X175" s="99">
        <v>663</v>
      </c>
      <c r="Y175" s="99">
        <v>0</v>
      </c>
      <c r="Z175" s="99">
        <v>0</v>
      </c>
      <c r="AA175" s="99">
        <v>0</v>
      </c>
      <c r="AB175" s="99">
        <v>0</v>
      </c>
      <c r="AC175" s="99">
        <v>0</v>
      </c>
      <c r="AD175" s="99">
        <v>0</v>
      </c>
    </row>
    <row r="176" spans="1:30" ht="15" x14ac:dyDescent="0.25">
      <c r="A176">
        <v>543</v>
      </c>
      <c r="B176" s="100" t="s">
        <v>303</v>
      </c>
      <c r="C176" s="99">
        <v>78421</v>
      </c>
      <c r="D176" s="99">
        <v>0</v>
      </c>
      <c r="E176" s="99">
        <v>0</v>
      </c>
      <c r="F176" s="99">
        <v>10950</v>
      </c>
      <c r="G176" s="99">
        <v>332</v>
      </c>
      <c r="H176" s="99">
        <v>13377</v>
      </c>
      <c r="I176" s="99">
        <v>0</v>
      </c>
      <c r="J176">
        <v>0</v>
      </c>
      <c r="K176">
        <v>0</v>
      </c>
      <c r="L176">
        <v>0</v>
      </c>
      <c r="M176" s="99">
        <v>0</v>
      </c>
      <c r="N176" s="99">
        <v>0</v>
      </c>
      <c r="O176" s="99">
        <v>0</v>
      </c>
      <c r="P176" s="99">
        <v>0</v>
      </c>
      <c r="Q176" s="99">
        <v>1010</v>
      </c>
      <c r="R176" s="99">
        <v>11</v>
      </c>
      <c r="S176">
        <v>269643</v>
      </c>
      <c r="T176">
        <v>14019</v>
      </c>
      <c r="U176">
        <v>10950</v>
      </c>
      <c r="V176" s="99">
        <v>2141</v>
      </c>
      <c r="W176" s="99">
        <v>120137</v>
      </c>
      <c r="X176" s="99">
        <v>3242</v>
      </c>
      <c r="Y176" s="99">
        <v>47</v>
      </c>
      <c r="Z176" s="99">
        <v>318</v>
      </c>
      <c r="AA176" s="99">
        <v>0</v>
      </c>
      <c r="AB176" s="99">
        <v>123</v>
      </c>
      <c r="AC176" s="99">
        <v>5646</v>
      </c>
      <c r="AD176" s="99">
        <v>0</v>
      </c>
    </row>
    <row r="177" spans="1:30" ht="15" x14ac:dyDescent="0.25">
      <c r="A177">
        <v>545</v>
      </c>
      <c r="B177" s="100" t="s">
        <v>304</v>
      </c>
      <c r="C177" s="99">
        <v>18177</v>
      </c>
      <c r="D177" s="99">
        <v>0</v>
      </c>
      <c r="E177" s="99">
        <v>0</v>
      </c>
      <c r="F177" s="99">
        <v>0</v>
      </c>
      <c r="G177" s="99">
        <v>13</v>
      </c>
      <c r="H177" s="99">
        <v>5679</v>
      </c>
      <c r="I177" s="99">
        <v>0</v>
      </c>
      <c r="J177">
        <v>0</v>
      </c>
      <c r="K177">
        <v>0</v>
      </c>
      <c r="L177">
        <v>0</v>
      </c>
      <c r="M177" s="99">
        <v>0</v>
      </c>
      <c r="N177" s="99">
        <v>0</v>
      </c>
      <c r="O177" s="99">
        <v>0</v>
      </c>
      <c r="P177" s="99">
        <v>0</v>
      </c>
      <c r="Q177" s="99">
        <v>0</v>
      </c>
      <c r="R177" s="99">
        <v>0</v>
      </c>
      <c r="S177">
        <v>70303</v>
      </c>
      <c r="T177">
        <v>2573</v>
      </c>
      <c r="U177">
        <v>0</v>
      </c>
      <c r="V177" s="99">
        <v>97</v>
      </c>
      <c r="W177" s="99">
        <v>37516</v>
      </c>
      <c r="X177" s="99">
        <v>619</v>
      </c>
      <c r="Y177" s="99">
        <v>0</v>
      </c>
      <c r="Z177" s="99">
        <v>134</v>
      </c>
      <c r="AA177" s="99">
        <v>0</v>
      </c>
      <c r="AB177" s="99">
        <v>0</v>
      </c>
      <c r="AC177" s="99">
        <v>0</v>
      </c>
      <c r="AD177" s="99">
        <v>0</v>
      </c>
    </row>
    <row r="178" spans="1:30" ht="15" x14ac:dyDescent="0.25">
      <c r="A178">
        <v>560</v>
      </c>
      <c r="B178" s="100" t="s">
        <v>305</v>
      </c>
      <c r="C178" s="99">
        <v>18085</v>
      </c>
      <c r="D178" s="99">
        <v>0</v>
      </c>
      <c r="E178" s="99">
        <v>0</v>
      </c>
      <c r="F178" s="99">
        <v>226</v>
      </c>
      <c r="G178" s="99">
        <v>0</v>
      </c>
      <c r="H178" s="99">
        <v>1141</v>
      </c>
      <c r="I178" s="99">
        <v>0</v>
      </c>
      <c r="J178">
        <v>0</v>
      </c>
      <c r="K178">
        <v>0</v>
      </c>
      <c r="L178">
        <v>0</v>
      </c>
      <c r="M178" s="99">
        <v>0</v>
      </c>
      <c r="N178" s="99">
        <v>0</v>
      </c>
      <c r="O178" s="99">
        <v>0</v>
      </c>
      <c r="P178" s="99">
        <v>0</v>
      </c>
      <c r="Q178" s="99">
        <v>0</v>
      </c>
      <c r="R178" s="99">
        <v>0</v>
      </c>
      <c r="S178">
        <v>101747</v>
      </c>
      <c r="T178">
        <v>3115</v>
      </c>
      <c r="U178">
        <v>226</v>
      </c>
      <c r="V178" s="99">
        <v>1371</v>
      </c>
      <c r="W178" s="99">
        <v>54061</v>
      </c>
      <c r="X178" s="99">
        <v>1838</v>
      </c>
      <c r="Y178" s="99">
        <v>0</v>
      </c>
      <c r="Z178" s="99">
        <v>0</v>
      </c>
      <c r="AA178" s="99">
        <v>0</v>
      </c>
      <c r="AB178" s="99">
        <v>0</v>
      </c>
      <c r="AC178" s="99">
        <v>1</v>
      </c>
      <c r="AD178" s="99">
        <v>0</v>
      </c>
    </row>
    <row r="179" spans="1:30" ht="15" x14ac:dyDescent="0.25">
      <c r="A179">
        <v>561</v>
      </c>
      <c r="B179" s="100" t="s">
        <v>306</v>
      </c>
      <c r="C179" s="99">
        <v>1731</v>
      </c>
      <c r="D179" s="99">
        <v>0</v>
      </c>
      <c r="E179" s="99">
        <v>0</v>
      </c>
      <c r="F179" s="99">
        <v>138</v>
      </c>
      <c r="G179" s="99">
        <v>9</v>
      </c>
      <c r="H179" s="99">
        <v>544</v>
      </c>
      <c r="I179" s="99">
        <v>0</v>
      </c>
      <c r="J179">
        <v>0</v>
      </c>
      <c r="K179">
        <v>0</v>
      </c>
      <c r="L179">
        <v>0</v>
      </c>
      <c r="M179" s="99">
        <v>0</v>
      </c>
      <c r="N179" s="99">
        <v>0</v>
      </c>
      <c r="O179" s="99">
        <v>0</v>
      </c>
      <c r="P179" s="99">
        <v>0</v>
      </c>
      <c r="Q179" s="99">
        <v>0</v>
      </c>
      <c r="R179" s="99">
        <v>0</v>
      </c>
      <c r="S179">
        <v>9059</v>
      </c>
      <c r="T179">
        <v>377</v>
      </c>
      <c r="U179">
        <v>157</v>
      </c>
      <c r="V179" s="99">
        <v>27</v>
      </c>
      <c r="W179" s="99">
        <v>5025</v>
      </c>
      <c r="X179" s="99">
        <v>103</v>
      </c>
      <c r="Y179" s="99">
        <v>0</v>
      </c>
      <c r="Z179" s="99">
        <v>0</v>
      </c>
      <c r="AA179" s="99">
        <v>0</v>
      </c>
      <c r="AB179" s="99">
        <v>0</v>
      </c>
      <c r="AC179" s="99">
        <v>54</v>
      </c>
      <c r="AD179" s="99">
        <v>0</v>
      </c>
    </row>
    <row r="180" spans="1:30" ht="15" x14ac:dyDescent="0.25">
      <c r="A180">
        <v>562</v>
      </c>
      <c r="B180" s="100" t="s">
        <v>307</v>
      </c>
      <c r="C180" s="99">
        <v>12290</v>
      </c>
      <c r="D180" s="99">
        <v>0</v>
      </c>
      <c r="E180" s="99">
        <v>36</v>
      </c>
      <c r="F180" s="99">
        <v>1392</v>
      </c>
      <c r="G180" s="99">
        <v>287</v>
      </c>
      <c r="H180" s="99">
        <v>501</v>
      </c>
      <c r="I180" s="99">
        <v>0</v>
      </c>
      <c r="J180">
        <v>0</v>
      </c>
      <c r="K180">
        <v>0</v>
      </c>
      <c r="L180">
        <v>0</v>
      </c>
      <c r="M180" s="99">
        <v>0</v>
      </c>
      <c r="N180" s="99">
        <v>0</v>
      </c>
      <c r="O180" s="99">
        <v>0</v>
      </c>
      <c r="P180" s="99">
        <v>0</v>
      </c>
      <c r="Q180" s="99">
        <v>0</v>
      </c>
      <c r="R180" s="99">
        <v>0</v>
      </c>
      <c r="S180">
        <v>65591</v>
      </c>
      <c r="T180">
        <v>3076</v>
      </c>
      <c r="U180">
        <v>1392</v>
      </c>
      <c r="V180" s="99">
        <v>1206</v>
      </c>
      <c r="W180" s="99">
        <v>35824</v>
      </c>
      <c r="X180" s="99">
        <v>672</v>
      </c>
      <c r="Y180" s="99">
        <v>7</v>
      </c>
      <c r="Z180" s="99">
        <v>7</v>
      </c>
      <c r="AA180" s="99">
        <v>0</v>
      </c>
      <c r="AB180" s="99">
        <v>0</v>
      </c>
      <c r="AC180" s="99">
        <v>18</v>
      </c>
      <c r="AD180" s="99">
        <v>0</v>
      </c>
    </row>
    <row r="181" spans="1:30" ht="15" x14ac:dyDescent="0.25">
      <c r="A181">
        <v>563</v>
      </c>
      <c r="B181" s="100" t="s">
        <v>308</v>
      </c>
      <c r="C181" s="99">
        <v>12605</v>
      </c>
      <c r="D181" s="99">
        <v>0</v>
      </c>
      <c r="E181" s="99">
        <v>0</v>
      </c>
      <c r="F181" s="99">
        <v>0</v>
      </c>
      <c r="G181" s="99">
        <v>88</v>
      </c>
      <c r="H181" s="99">
        <v>4115</v>
      </c>
      <c r="I181" s="99">
        <v>0</v>
      </c>
      <c r="J181">
        <v>0</v>
      </c>
      <c r="K181">
        <v>0</v>
      </c>
      <c r="L181">
        <v>0</v>
      </c>
      <c r="M181" s="99">
        <v>0</v>
      </c>
      <c r="N181" s="99">
        <v>0</v>
      </c>
      <c r="O181" s="99">
        <v>0</v>
      </c>
      <c r="P181" s="99">
        <v>0</v>
      </c>
      <c r="Q181" s="99">
        <v>0</v>
      </c>
      <c r="R181" s="99">
        <v>0</v>
      </c>
      <c r="S181">
        <v>58162</v>
      </c>
      <c r="T181">
        <v>2013</v>
      </c>
      <c r="U181">
        <v>0</v>
      </c>
      <c r="V181" s="99">
        <v>232</v>
      </c>
      <c r="W181" s="99">
        <v>32509</v>
      </c>
      <c r="X181" s="99">
        <v>744</v>
      </c>
      <c r="Y181" s="99">
        <v>0</v>
      </c>
      <c r="Z181" s="99">
        <v>137</v>
      </c>
      <c r="AA181" s="99">
        <v>0</v>
      </c>
      <c r="AB181" s="99">
        <v>0</v>
      </c>
      <c r="AC181" s="99">
        <v>0</v>
      </c>
      <c r="AD181" s="99">
        <v>0</v>
      </c>
    </row>
    <row r="182" spans="1:30" ht="15" x14ac:dyDescent="0.25">
      <c r="A182">
        <v>564</v>
      </c>
      <c r="B182" s="100" t="s">
        <v>309</v>
      </c>
      <c r="C182" s="99">
        <v>527430</v>
      </c>
      <c r="D182" s="99">
        <v>0</v>
      </c>
      <c r="E182" s="99">
        <v>19345</v>
      </c>
      <c r="F182" s="99">
        <v>0</v>
      </c>
      <c r="G182" s="99">
        <v>3359</v>
      </c>
      <c r="H182" s="99">
        <v>91545</v>
      </c>
      <c r="I182" s="99">
        <v>18822</v>
      </c>
      <c r="J182">
        <v>0</v>
      </c>
      <c r="K182">
        <v>0</v>
      </c>
      <c r="L182">
        <v>0</v>
      </c>
      <c r="M182" s="99">
        <v>0</v>
      </c>
      <c r="N182" s="99">
        <v>176</v>
      </c>
      <c r="O182" s="99">
        <v>12</v>
      </c>
      <c r="P182" s="99">
        <v>0</v>
      </c>
      <c r="Q182" s="99">
        <v>0</v>
      </c>
      <c r="R182" s="99">
        <v>0</v>
      </c>
      <c r="S182">
        <v>1451179</v>
      </c>
      <c r="T182">
        <v>79665</v>
      </c>
      <c r="U182">
        <v>0</v>
      </c>
      <c r="V182" s="99">
        <v>23676</v>
      </c>
      <c r="W182" s="99">
        <v>660351</v>
      </c>
      <c r="X182" s="99">
        <v>29744</v>
      </c>
      <c r="Y182" s="99">
        <v>0</v>
      </c>
      <c r="Z182" s="99">
        <v>2727</v>
      </c>
      <c r="AA182" s="99">
        <v>793</v>
      </c>
      <c r="AB182" s="99">
        <v>0</v>
      </c>
      <c r="AC182" s="99">
        <v>0</v>
      </c>
      <c r="AD182" s="99">
        <v>0</v>
      </c>
    </row>
    <row r="183" spans="1:30" ht="15" x14ac:dyDescent="0.25">
      <c r="A183">
        <v>576</v>
      </c>
      <c r="B183" s="100" t="s">
        <v>311</v>
      </c>
      <c r="C183" s="99">
        <v>3962</v>
      </c>
      <c r="D183" s="99">
        <v>0</v>
      </c>
      <c r="E183" s="99">
        <v>1</v>
      </c>
      <c r="F183" s="99">
        <v>0</v>
      </c>
      <c r="G183" s="99">
        <v>0</v>
      </c>
      <c r="H183" s="99">
        <v>69</v>
      </c>
      <c r="I183" s="99">
        <v>0</v>
      </c>
      <c r="J183">
        <v>0</v>
      </c>
      <c r="K183">
        <v>0</v>
      </c>
      <c r="L183">
        <v>0</v>
      </c>
      <c r="M183" s="99">
        <v>0</v>
      </c>
      <c r="N183" s="99">
        <v>0</v>
      </c>
      <c r="O183" s="99">
        <v>0</v>
      </c>
      <c r="P183" s="99">
        <v>0</v>
      </c>
      <c r="Q183" s="99">
        <v>0</v>
      </c>
      <c r="R183" s="99">
        <v>0</v>
      </c>
      <c r="S183">
        <v>22647</v>
      </c>
      <c r="T183">
        <v>1493</v>
      </c>
      <c r="U183">
        <v>0</v>
      </c>
      <c r="V183" s="99">
        <v>254</v>
      </c>
      <c r="W183" s="99">
        <v>13692</v>
      </c>
      <c r="X183" s="99">
        <v>280</v>
      </c>
      <c r="Y183" s="99">
        <v>0</v>
      </c>
      <c r="Z183" s="99">
        <v>0</v>
      </c>
      <c r="AA183" s="99">
        <v>0</v>
      </c>
      <c r="AB183" s="99">
        <v>0</v>
      </c>
      <c r="AC183" s="99">
        <v>0</v>
      </c>
      <c r="AD183" s="99">
        <v>0</v>
      </c>
    </row>
    <row r="184" spans="1:30" ht="15" x14ac:dyDescent="0.25">
      <c r="A184">
        <v>577</v>
      </c>
      <c r="B184" s="100" t="s">
        <v>312</v>
      </c>
      <c r="C184" s="99">
        <v>13770</v>
      </c>
      <c r="D184" s="99">
        <v>0</v>
      </c>
      <c r="E184" s="99">
        <v>0</v>
      </c>
      <c r="F184" s="99">
        <v>0</v>
      </c>
      <c r="G184" s="99">
        <v>176</v>
      </c>
      <c r="H184" s="99">
        <v>2176</v>
      </c>
      <c r="I184" s="99">
        <v>0</v>
      </c>
      <c r="J184">
        <v>0</v>
      </c>
      <c r="K184">
        <v>0</v>
      </c>
      <c r="L184">
        <v>0</v>
      </c>
      <c r="M184" s="99">
        <v>0</v>
      </c>
      <c r="N184" s="99">
        <v>0</v>
      </c>
      <c r="O184" s="99">
        <v>0</v>
      </c>
      <c r="P184" s="99">
        <v>0</v>
      </c>
      <c r="Q184" s="99">
        <v>0</v>
      </c>
      <c r="R184" s="99">
        <v>0</v>
      </c>
      <c r="S184">
        <v>68899</v>
      </c>
      <c r="T184">
        <v>1808</v>
      </c>
      <c r="U184">
        <v>0</v>
      </c>
      <c r="V184" s="99">
        <v>435</v>
      </c>
      <c r="W184" s="99">
        <v>34189</v>
      </c>
      <c r="X184" s="99">
        <v>741</v>
      </c>
      <c r="Y184" s="99">
        <v>0</v>
      </c>
      <c r="Z184" s="99">
        <v>0</v>
      </c>
      <c r="AA184" s="99">
        <v>0</v>
      </c>
      <c r="AB184" s="99">
        <v>0</v>
      </c>
      <c r="AC184" s="99">
        <v>0</v>
      </c>
      <c r="AD184" s="99">
        <v>0</v>
      </c>
    </row>
    <row r="185" spans="1:30" ht="15" x14ac:dyDescent="0.25">
      <c r="A185">
        <v>578</v>
      </c>
      <c r="B185" s="100" t="s">
        <v>313</v>
      </c>
      <c r="C185" s="99">
        <v>5259</v>
      </c>
      <c r="D185" s="99">
        <v>0</v>
      </c>
      <c r="E185" s="99">
        <v>0</v>
      </c>
      <c r="F185" s="99">
        <v>0</v>
      </c>
      <c r="G185" s="99">
        <v>6</v>
      </c>
      <c r="H185" s="99">
        <v>37</v>
      </c>
      <c r="I185" s="99">
        <v>0</v>
      </c>
      <c r="J185">
        <v>0</v>
      </c>
      <c r="K185">
        <v>0</v>
      </c>
      <c r="L185">
        <v>0</v>
      </c>
      <c r="M185" s="99">
        <v>0</v>
      </c>
      <c r="N185" s="99">
        <v>0</v>
      </c>
      <c r="O185" s="99">
        <v>0</v>
      </c>
      <c r="P185" s="99">
        <v>0</v>
      </c>
      <c r="Q185" s="99">
        <v>0</v>
      </c>
      <c r="R185" s="99">
        <v>0</v>
      </c>
      <c r="S185">
        <v>27275</v>
      </c>
      <c r="T185">
        <v>1270</v>
      </c>
      <c r="U185">
        <v>0</v>
      </c>
      <c r="V185" s="99">
        <v>141</v>
      </c>
      <c r="W185" s="99">
        <v>14654</v>
      </c>
      <c r="X185" s="99">
        <v>302</v>
      </c>
      <c r="Y185" s="99">
        <v>0</v>
      </c>
      <c r="Z185" s="99">
        <v>0</v>
      </c>
      <c r="AA185" s="99">
        <v>0</v>
      </c>
      <c r="AB185" s="99">
        <v>0</v>
      </c>
      <c r="AC185" s="99">
        <v>0</v>
      </c>
      <c r="AD185" s="99">
        <v>0</v>
      </c>
    </row>
    <row r="186" spans="1:30" ht="15" x14ac:dyDescent="0.25">
      <c r="A186">
        <v>580</v>
      </c>
      <c r="B186" s="100" t="s">
        <v>314</v>
      </c>
      <c r="C186" s="99">
        <v>11427</v>
      </c>
      <c r="D186" s="99">
        <v>0</v>
      </c>
      <c r="E186" s="99">
        <v>0</v>
      </c>
      <c r="F186" s="99">
        <v>23</v>
      </c>
      <c r="G186" s="99">
        <v>0</v>
      </c>
      <c r="H186" s="99">
        <v>3</v>
      </c>
      <c r="I186" s="99">
        <v>22</v>
      </c>
      <c r="J186">
        <v>0</v>
      </c>
      <c r="K186">
        <v>0</v>
      </c>
      <c r="L186">
        <v>0</v>
      </c>
      <c r="M186" s="99">
        <v>0</v>
      </c>
      <c r="N186" s="99">
        <v>0</v>
      </c>
      <c r="O186" s="99">
        <v>0</v>
      </c>
      <c r="P186" s="99">
        <v>0</v>
      </c>
      <c r="Q186" s="99">
        <v>0</v>
      </c>
      <c r="R186" s="99">
        <v>0</v>
      </c>
      <c r="S186">
        <v>42512</v>
      </c>
      <c r="T186">
        <v>1704</v>
      </c>
      <c r="U186">
        <v>23</v>
      </c>
      <c r="V186" s="99">
        <v>143</v>
      </c>
      <c r="W186" s="99">
        <v>22507</v>
      </c>
      <c r="X186" s="99">
        <v>461</v>
      </c>
      <c r="Y186" s="99">
        <v>0</v>
      </c>
      <c r="Z186" s="99">
        <v>2</v>
      </c>
      <c r="AA186" s="99">
        <v>19</v>
      </c>
      <c r="AB186" s="99">
        <v>0</v>
      </c>
      <c r="AC186" s="99">
        <v>0</v>
      </c>
      <c r="AD186" s="99">
        <v>0</v>
      </c>
    </row>
    <row r="187" spans="1:30" ht="15" x14ac:dyDescent="0.25">
      <c r="A187">
        <v>581</v>
      </c>
      <c r="B187" s="100" t="s">
        <v>315</v>
      </c>
      <c r="C187" s="99">
        <v>14848</v>
      </c>
      <c r="D187" s="99">
        <v>0</v>
      </c>
      <c r="E187" s="99">
        <v>237</v>
      </c>
      <c r="F187" s="99">
        <v>581</v>
      </c>
      <c r="G187" s="99">
        <v>162</v>
      </c>
      <c r="H187" s="99">
        <v>10912</v>
      </c>
      <c r="I187" s="99">
        <v>0</v>
      </c>
      <c r="J187">
        <v>0</v>
      </c>
      <c r="K187">
        <v>0</v>
      </c>
      <c r="L187">
        <v>0</v>
      </c>
      <c r="M187" s="99">
        <v>0</v>
      </c>
      <c r="N187" s="99">
        <v>0</v>
      </c>
      <c r="O187" s="99">
        <v>0</v>
      </c>
      <c r="P187" s="99">
        <v>0</v>
      </c>
      <c r="Q187" s="99">
        <v>0</v>
      </c>
      <c r="R187" s="99">
        <v>0</v>
      </c>
      <c r="S187">
        <v>51544</v>
      </c>
      <c r="T187">
        <v>2189</v>
      </c>
      <c r="U187">
        <v>581</v>
      </c>
      <c r="V187" s="99">
        <v>211</v>
      </c>
      <c r="W187" s="99">
        <v>34336</v>
      </c>
      <c r="X187" s="99">
        <v>483</v>
      </c>
      <c r="Y187" s="99">
        <v>0</v>
      </c>
      <c r="Z187" s="99">
        <v>324</v>
      </c>
      <c r="AA187" s="99">
        <v>0</v>
      </c>
      <c r="AB187" s="99">
        <v>3</v>
      </c>
      <c r="AC187" s="99">
        <v>240</v>
      </c>
      <c r="AD187" s="99">
        <v>0</v>
      </c>
    </row>
    <row r="188" spans="1:30" ht="15" x14ac:dyDescent="0.25">
      <c r="A188">
        <v>583</v>
      </c>
      <c r="B188" s="100" t="s">
        <v>316</v>
      </c>
      <c r="C188" s="99">
        <v>1777</v>
      </c>
      <c r="D188" s="99">
        <v>0</v>
      </c>
      <c r="E188" s="99">
        <v>0</v>
      </c>
      <c r="F188" s="99">
        <v>155</v>
      </c>
      <c r="G188" s="99">
        <v>65</v>
      </c>
      <c r="H188" s="99">
        <v>422</v>
      </c>
      <c r="I188" s="99">
        <v>0</v>
      </c>
      <c r="J188">
        <v>0</v>
      </c>
      <c r="K188">
        <v>0</v>
      </c>
      <c r="L188">
        <v>0</v>
      </c>
      <c r="M188" s="99">
        <v>0</v>
      </c>
      <c r="N188" s="99">
        <v>0</v>
      </c>
      <c r="O188" s="99">
        <v>0</v>
      </c>
      <c r="P188" s="99">
        <v>0</v>
      </c>
      <c r="Q188" s="99">
        <v>0</v>
      </c>
      <c r="R188" s="99">
        <v>0</v>
      </c>
      <c r="S188">
        <v>9678</v>
      </c>
      <c r="T188">
        <v>333</v>
      </c>
      <c r="U188">
        <v>155</v>
      </c>
      <c r="V188" s="99">
        <v>132</v>
      </c>
      <c r="W188" s="99">
        <v>5463</v>
      </c>
      <c r="X188" s="99">
        <v>199</v>
      </c>
      <c r="Y188" s="99">
        <v>0</v>
      </c>
      <c r="Z188" s="99">
        <v>33</v>
      </c>
      <c r="AA188" s="99">
        <v>2</v>
      </c>
      <c r="AB188" s="99">
        <v>2</v>
      </c>
      <c r="AC188" s="99">
        <v>87</v>
      </c>
      <c r="AD188" s="99">
        <v>3</v>
      </c>
    </row>
    <row r="189" spans="1:30" ht="15" x14ac:dyDescent="0.25">
      <c r="A189">
        <v>584</v>
      </c>
      <c r="B189" s="100" t="s">
        <v>318</v>
      </c>
      <c r="C189" s="99">
        <v>6507</v>
      </c>
      <c r="D189" s="99">
        <v>0</v>
      </c>
      <c r="E189" s="99">
        <v>0</v>
      </c>
      <c r="F189" s="99">
        <v>0</v>
      </c>
      <c r="G189" s="99">
        <v>26</v>
      </c>
      <c r="H189" s="99">
        <v>1435</v>
      </c>
      <c r="I189" s="99">
        <v>0</v>
      </c>
      <c r="J189">
        <v>0</v>
      </c>
      <c r="K189">
        <v>0</v>
      </c>
      <c r="L189">
        <v>0</v>
      </c>
      <c r="M189" s="99">
        <v>0</v>
      </c>
      <c r="N189" s="99">
        <v>0</v>
      </c>
      <c r="O189" s="99">
        <v>0</v>
      </c>
      <c r="P189" s="99">
        <v>0</v>
      </c>
      <c r="Q189" s="99">
        <v>0</v>
      </c>
      <c r="R189" s="99">
        <v>0</v>
      </c>
      <c r="S189">
        <v>22934</v>
      </c>
      <c r="T189">
        <v>1142</v>
      </c>
      <c r="U189">
        <v>0</v>
      </c>
      <c r="V189" s="99">
        <v>95</v>
      </c>
      <c r="W189" s="99">
        <v>10891</v>
      </c>
      <c r="X189" s="99">
        <v>215</v>
      </c>
      <c r="Y189" s="99">
        <v>0</v>
      </c>
      <c r="Z189" s="99">
        <v>20</v>
      </c>
      <c r="AA189" s="99">
        <v>73</v>
      </c>
      <c r="AB189" s="99">
        <v>0</v>
      </c>
      <c r="AC189" s="99">
        <v>0</v>
      </c>
      <c r="AD189" s="99">
        <v>0</v>
      </c>
    </row>
    <row r="190" spans="1:30" ht="15" x14ac:dyDescent="0.25">
      <c r="A190">
        <v>588</v>
      </c>
      <c r="B190" s="100" t="s">
        <v>319</v>
      </c>
      <c r="C190" s="99">
        <v>3350</v>
      </c>
      <c r="D190" s="99">
        <v>0</v>
      </c>
      <c r="E190" s="99">
        <v>68</v>
      </c>
      <c r="F190" s="99">
        <v>364</v>
      </c>
      <c r="G190" s="99">
        <v>1</v>
      </c>
      <c r="H190" s="99">
        <v>1031</v>
      </c>
      <c r="I190" s="99">
        <v>1</v>
      </c>
      <c r="J190">
        <v>0</v>
      </c>
      <c r="K190">
        <v>0</v>
      </c>
      <c r="L190">
        <v>0</v>
      </c>
      <c r="M190" s="99">
        <v>0</v>
      </c>
      <c r="N190" s="99">
        <v>0</v>
      </c>
      <c r="O190" s="99">
        <v>0</v>
      </c>
      <c r="P190" s="99">
        <v>0</v>
      </c>
      <c r="Q190" s="99">
        <v>0</v>
      </c>
      <c r="R190" s="99">
        <v>0</v>
      </c>
      <c r="S190">
        <v>14412</v>
      </c>
      <c r="T190">
        <v>685</v>
      </c>
      <c r="U190">
        <v>364</v>
      </c>
      <c r="V190" s="99">
        <v>183</v>
      </c>
      <c r="W190" s="99">
        <v>8259</v>
      </c>
      <c r="X190" s="99">
        <v>156</v>
      </c>
      <c r="Y190" s="99">
        <v>3</v>
      </c>
      <c r="Z190" s="99">
        <v>10</v>
      </c>
      <c r="AA190" s="99">
        <v>0</v>
      </c>
      <c r="AB190" s="99">
        <v>5</v>
      </c>
      <c r="AC190" s="99">
        <v>138</v>
      </c>
      <c r="AD190" s="99">
        <v>0</v>
      </c>
    </row>
    <row r="191" spans="1:30" ht="15" x14ac:dyDescent="0.25">
      <c r="A191">
        <v>592</v>
      </c>
      <c r="B191" s="100" t="s">
        <v>320</v>
      </c>
      <c r="C191" s="99">
        <v>7040</v>
      </c>
      <c r="D191" s="99">
        <v>0</v>
      </c>
      <c r="E191" s="99">
        <v>0</v>
      </c>
      <c r="F191" s="99">
        <v>0</v>
      </c>
      <c r="G191" s="99">
        <v>108</v>
      </c>
      <c r="H191" s="99">
        <v>1280</v>
      </c>
      <c r="I191" s="99">
        <v>0</v>
      </c>
      <c r="J191">
        <v>0</v>
      </c>
      <c r="K191">
        <v>0</v>
      </c>
      <c r="L191">
        <v>0</v>
      </c>
      <c r="M191" s="99">
        <v>0</v>
      </c>
      <c r="N191" s="99">
        <v>0</v>
      </c>
      <c r="O191" s="99">
        <v>0</v>
      </c>
      <c r="P191" s="99">
        <v>0</v>
      </c>
      <c r="Q191" s="99">
        <v>0</v>
      </c>
      <c r="R191" s="99">
        <v>0</v>
      </c>
      <c r="S191">
        <v>29077</v>
      </c>
      <c r="T191">
        <v>1031</v>
      </c>
      <c r="U191">
        <v>0</v>
      </c>
      <c r="V191" s="99">
        <v>381</v>
      </c>
      <c r="W191" s="99">
        <v>13652</v>
      </c>
      <c r="X191" s="99">
        <v>342</v>
      </c>
      <c r="Y191" s="99">
        <v>0</v>
      </c>
      <c r="Z191" s="99">
        <v>19</v>
      </c>
      <c r="AA191" s="99">
        <v>0</v>
      </c>
      <c r="AB191" s="99">
        <v>0</v>
      </c>
      <c r="AC191" s="99">
        <v>0</v>
      </c>
      <c r="AD191" s="99">
        <v>0</v>
      </c>
    </row>
    <row r="192" spans="1:30" ht="15" x14ac:dyDescent="0.25">
      <c r="A192">
        <v>593</v>
      </c>
      <c r="B192" s="100" t="s">
        <v>321</v>
      </c>
      <c r="C192" s="99">
        <v>39565</v>
      </c>
      <c r="D192" s="99">
        <v>0</v>
      </c>
      <c r="E192" s="99">
        <v>153</v>
      </c>
      <c r="F192" s="99">
        <v>0</v>
      </c>
      <c r="G192" s="99">
        <v>215</v>
      </c>
      <c r="H192" s="99">
        <v>12239</v>
      </c>
      <c r="I192" s="99">
        <v>0</v>
      </c>
      <c r="J192">
        <v>0</v>
      </c>
      <c r="K192">
        <v>0</v>
      </c>
      <c r="L192">
        <v>0</v>
      </c>
      <c r="M192" s="99">
        <v>0</v>
      </c>
      <c r="N192" s="99">
        <v>0</v>
      </c>
      <c r="O192" s="99">
        <v>0</v>
      </c>
      <c r="P192" s="99">
        <v>0</v>
      </c>
      <c r="Q192" s="99">
        <v>0</v>
      </c>
      <c r="R192" s="99">
        <v>0</v>
      </c>
      <c r="S192">
        <v>150996</v>
      </c>
      <c r="T192">
        <v>6286</v>
      </c>
      <c r="U192">
        <v>0</v>
      </c>
      <c r="V192" s="99">
        <v>1532</v>
      </c>
      <c r="W192" s="99">
        <v>92690</v>
      </c>
      <c r="X192" s="99">
        <v>1602</v>
      </c>
      <c r="Y192" s="99">
        <v>0</v>
      </c>
      <c r="Z192" s="99">
        <v>180</v>
      </c>
      <c r="AA192" s="99">
        <v>0</v>
      </c>
      <c r="AB192" s="99">
        <v>0</v>
      </c>
      <c r="AC192" s="99">
        <v>0</v>
      </c>
      <c r="AD192" s="99">
        <v>0</v>
      </c>
    </row>
    <row r="193" spans="1:30" ht="15" x14ac:dyDescent="0.25">
      <c r="A193">
        <v>595</v>
      </c>
      <c r="B193" s="100" t="s">
        <v>322</v>
      </c>
      <c r="C193" s="99">
        <v>7674</v>
      </c>
      <c r="D193" s="99">
        <v>0</v>
      </c>
      <c r="E193" s="99">
        <v>16</v>
      </c>
      <c r="F193" s="99">
        <v>261</v>
      </c>
      <c r="G193" s="99">
        <v>68</v>
      </c>
      <c r="H193" s="99">
        <v>1936</v>
      </c>
      <c r="I193" s="99">
        <v>0</v>
      </c>
      <c r="J193">
        <v>0</v>
      </c>
      <c r="K193">
        <v>0</v>
      </c>
      <c r="L193">
        <v>0</v>
      </c>
      <c r="M193" s="99">
        <v>0</v>
      </c>
      <c r="N193" s="99">
        <v>0</v>
      </c>
      <c r="O193" s="99">
        <v>0</v>
      </c>
      <c r="P193" s="99">
        <v>0</v>
      </c>
      <c r="Q193" s="99">
        <v>3</v>
      </c>
      <c r="R193" s="99">
        <v>0</v>
      </c>
      <c r="S193">
        <v>40273</v>
      </c>
      <c r="T193">
        <v>1179</v>
      </c>
      <c r="U193">
        <v>261</v>
      </c>
      <c r="V193" s="99">
        <v>434</v>
      </c>
      <c r="W193" s="99">
        <v>24655</v>
      </c>
      <c r="X193" s="99">
        <v>397</v>
      </c>
      <c r="Y193" s="99">
        <v>0</v>
      </c>
      <c r="Z193" s="99">
        <v>36</v>
      </c>
      <c r="AA193" s="99">
        <v>0</v>
      </c>
      <c r="AB193" s="99">
        <v>0</v>
      </c>
      <c r="AC193" s="99">
        <v>111</v>
      </c>
      <c r="AD193" s="99">
        <v>0</v>
      </c>
    </row>
    <row r="194" spans="1:30" ht="15" x14ac:dyDescent="0.25">
      <c r="A194">
        <v>598</v>
      </c>
      <c r="B194" s="100" t="s">
        <v>323</v>
      </c>
      <c r="C194" s="99">
        <v>120065</v>
      </c>
      <c r="D194" s="99">
        <v>0</v>
      </c>
      <c r="E194" s="99">
        <v>1179</v>
      </c>
      <c r="F194" s="99">
        <v>7714</v>
      </c>
      <c r="G194" s="99">
        <v>194</v>
      </c>
      <c r="H194" s="99">
        <v>71239</v>
      </c>
      <c r="I194" s="99">
        <v>429</v>
      </c>
      <c r="J194">
        <v>0</v>
      </c>
      <c r="K194">
        <v>0</v>
      </c>
      <c r="L194">
        <v>0</v>
      </c>
      <c r="M194" s="99">
        <v>0</v>
      </c>
      <c r="N194" s="99">
        <v>0</v>
      </c>
      <c r="O194" s="99">
        <v>0</v>
      </c>
      <c r="P194" s="99">
        <v>0</v>
      </c>
      <c r="Q194" s="99">
        <v>1</v>
      </c>
      <c r="R194" s="99">
        <v>0</v>
      </c>
      <c r="S194">
        <v>231167</v>
      </c>
      <c r="T194">
        <v>6965</v>
      </c>
      <c r="U194">
        <v>7714</v>
      </c>
      <c r="V194" s="99">
        <v>475</v>
      </c>
      <c r="W194" s="99">
        <v>135558</v>
      </c>
      <c r="X194" s="99">
        <v>2456</v>
      </c>
      <c r="Y194" s="99">
        <v>0</v>
      </c>
      <c r="Z194" s="99">
        <v>391</v>
      </c>
      <c r="AA194" s="99">
        <v>167</v>
      </c>
      <c r="AB194" s="99">
        <v>0</v>
      </c>
      <c r="AC194" s="99">
        <v>6437</v>
      </c>
      <c r="AD194" s="99">
        <v>0</v>
      </c>
    </row>
    <row r="195" spans="1:30" ht="15" x14ac:dyDescent="0.25">
      <c r="A195">
        <v>599</v>
      </c>
      <c r="B195" s="100" t="s">
        <v>129</v>
      </c>
      <c r="C195" s="99">
        <v>24441</v>
      </c>
      <c r="D195" s="99">
        <v>0</v>
      </c>
      <c r="E195" s="99">
        <v>76</v>
      </c>
      <c r="F195" s="99">
        <v>379</v>
      </c>
      <c r="G195" s="99">
        <v>0</v>
      </c>
      <c r="H195" s="99">
        <v>484</v>
      </c>
      <c r="I195" s="99">
        <v>0</v>
      </c>
      <c r="J195">
        <v>0</v>
      </c>
      <c r="K195">
        <v>0</v>
      </c>
      <c r="L195">
        <v>0</v>
      </c>
      <c r="M195" s="99">
        <v>0</v>
      </c>
      <c r="N195" s="99">
        <v>0</v>
      </c>
      <c r="O195" s="99">
        <v>0</v>
      </c>
      <c r="P195" s="99">
        <v>0</v>
      </c>
      <c r="Q195" s="99">
        <v>0</v>
      </c>
      <c r="R195" s="99">
        <v>0</v>
      </c>
      <c r="S195">
        <v>83409</v>
      </c>
      <c r="T195">
        <v>1942</v>
      </c>
      <c r="U195">
        <v>376</v>
      </c>
      <c r="V195" s="99">
        <v>481</v>
      </c>
      <c r="W195" s="99">
        <v>32983</v>
      </c>
      <c r="X195" s="99">
        <v>727</v>
      </c>
      <c r="Y195" s="99">
        <v>0</v>
      </c>
      <c r="Z195" s="99">
        <v>0</v>
      </c>
      <c r="AA195" s="99">
        <v>13</v>
      </c>
      <c r="AB195" s="99">
        <v>0</v>
      </c>
      <c r="AC195" s="99">
        <v>0</v>
      </c>
      <c r="AD195" s="99">
        <v>0</v>
      </c>
    </row>
    <row r="196" spans="1:30" ht="15" x14ac:dyDescent="0.25">
      <c r="A196">
        <v>601</v>
      </c>
      <c r="B196" s="100" t="s">
        <v>324</v>
      </c>
      <c r="C196" s="99">
        <v>16837</v>
      </c>
      <c r="D196" s="99">
        <v>0</v>
      </c>
      <c r="E196" s="99">
        <v>0</v>
      </c>
      <c r="F196" s="99">
        <v>0</v>
      </c>
      <c r="G196" s="99">
        <v>0</v>
      </c>
      <c r="H196" s="99">
        <v>60</v>
      </c>
      <c r="I196" s="99">
        <v>0</v>
      </c>
      <c r="J196">
        <v>0</v>
      </c>
      <c r="K196">
        <v>0</v>
      </c>
      <c r="L196">
        <v>0</v>
      </c>
      <c r="M196" s="99">
        <v>0</v>
      </c>
      <c r="N196" s="99">
        <v>0</v>
      </c>
      <c r="O196" s="99">
        <v>0</v>
      </c>
      <c r="P196" s="99">
        <v>0</v>
      </c>
      <c r="Q196" s="99">
        <v>0</v>
      </c>
      <c r="R196" s="99">
        <v>0</v>
      </c>
      <c r="S196">
        <v>43927</v>
      </c>
      <c r="T196">
        <v>1496</v>
      </c>
      <c r="U196">
        <v>0</v>
      </c>
      <c r="V196" s="99">
        <v>0</v>
      </c>
      <c r="W196" s="99">
        <v>16789</v>
      </c>
      <c r="X196" s="99">
        <v>345</v>
      </c>
      <c r="Y196" s="99">
        <v>0</v>
      </c>
      <c r="Z196" s="99">
        <v>47</v>
      </c>
      <c r="AA196" s="99">
        <v>0</v>
      </c>
      <c r="AB196" s="99">
        <v>0</v>
      </c>
      <c r="AC196" s="99">
        <v>0</v>
      </c>
      <c r="AD196" s="99">
        <v>0</v>
      </c>
    </row>
    <row r="197" spans="1:30" ht="15" x14ac:dyDescent="0.25">
      <c r="A197">
        <v>604</v>
      </c>
      <c r="B197" s="100" t="s">
        <v>325</v>
      </c>
      <c r="C197" s="99">
        <v>46984</v>
      </c>
      <c r="D197" s="99">
        <v>0</v>
      </c>
      <c r="E197" s="99">
        <v>0</v>
      </c>
      <c r="F197" s="99">
        <v>1528</v>
      </c>
      <c r="G197" s="99">
        <v>352</v>
      </c>
      <c r="H197" s="99">
        <v>21147</v>
      </c>
      <c r="I197" s="99">
        <v>0</v>
      </c>
      <c r="J197">
        <v>0</v>
      </c>
      <c r="K197">
        <v>0</v>
      </c>
      <c r="L197">
        <v>0</v>
      </c>
      <c r="M197" s="99">
        <v>0</v>
      </c>
      <c r="N197" s="99">
        <v>0</v>
      </c>
      <c r="O197" s="99">
        <v>0</v>
      </c>
      <c r="P197" s="99">
        <v>0</v>
      </c>
      <c r="Q197" s="99">
        <v>0</v>
      </c>
      <c r="R197" s="99">
        <v>0</v>
      </c>
      <c r="S197">
        <v>131237</v>
      </c>
      <c r="T197">
        <v>6950</v>
      </c>
      <c r="U197">
        <v>1528</v>
      </c>
      <c r="V197" s="99">
        <v>1893</v>
      </c>
      <c r="W197" s="99">
        <v>66349</v>
      </c>
      <c r="X197" s="99">
        <v>1251</v>
      </c>
      <c r="Y197" s="99">
        <v>0</v>
      </c>
      <c r="Z197" s="99">
        <v>334</v>
      </c>
      <c r="AA197" s="99">
        <v>0</v>
      </c>
      <c r="AB197" s="99">
        <v>23</v>
      </c>
      <c r="AC197" s="99">
        <v>643</v>
      </c>
      <c r="AD197" s="99">
        <v>13</v>
      </c>
    </row>
    <row r="198" spans="1:30" ht="15" x14ac:dyDescent="0.25">
      <c r="A198">
        <v>607</v>
      </c>
      <c r="B198" s="100" t="s">
        <v>326</v>
      </c>
      <c r="C198" s="99">
        <v>7221</v>
      </c>
      <c r="D198" s="99">
        <v>0</v>
      </c>
      <c r="E198" s="99">
        <v>0</v>
      </c>
      <c r="F198" s="99">
        <v>0</v>
      </c>
      <c r="G198" s="99">
        <v>0</v>
      </c>
      <c r="H198" s="99">
        <v>1927</v>
      </c>
      <c r="I198" s="99">
        <v>0</v>
      </c>
      <c r="J198">
        <v>0</v>
      </c>
      <c r="K198">
        <v>0</v>
      </c>
      <c r="L198">
        <v>0</v>
      </c>
      <c r="M198" s="99">
        <v>0</v>
      </c>
      <c r="N198" s="99">
        <v>0</v>
      </c>
      <c r="O198" s="99">
        <v>0</v>
      </c>
      <c r="P198" s="99">
        <v>0</v>
      </c>
      <c r="Q198" s="99">
        <v>0</v>
      </c>
      <c r="R198" s="99">
        <v>0</v>
      </c>
      <c r="S198">
        <v>32169</v>
      </c>
      <c r="T198">
        <v>1223</v>
      </c>
      <c r="U198">
        <v>0</v>
      </c>
      <c r="V198" s="99">
        <v>3</v>
      </c>
      <c r="W198" s="99">
        <v>18219</v>
      </c>
      <c r="X198" s="99">
        <v>364</v>
      </c>
      <c r="Y198" s="99">
        <v>0</v>
      </c>
      <c r="Z198" s="99">
        <v>116</v>
      </c>
      <c r="AA198" s="99">
        <v>0</v>
      </c>
      <c r="AB198" s="99">
        <v>0</v>
      </c>
      <c r="AC198" s="99">
        <v>0</v>
      </c>
      <c r="AD198" s="99">
        <v>0</v>
      </c>
    </row>
    <row r="199" spans="1:30" ht="15" x14ac:dyDescent="0.25">
      <c r="A199">
        <v>608</v>
      </c>
      <c r="B199" s="100" t="s">
        <v>327</v>
      </c>
      <c r="C199" s="99">
        <v>2296</v>
      </c>
      <c r="D199" s="99">
        <v>0</v>
      </c>
      <c r="E199" s="99">
        <v>0</v>
      </c>
      <c r="F199" s="99">
        <v>548</v>
      </c>
      <c r="G199" s="99">
        <v>74</v>
      </c>
      <c r="H199" s="99">
        <v>85</v>
      </c>
      <c r="I199" s="99">
        <v>0</v>
      </c>
      <c r="J199">
        <v>0</v>
      </c>
      <c r="K199">
        <v>0</v>
      </c>
      <c r="L199">
        <v>0</v>
      </c>
      <c r="M199" s="99">
        <v>0</v>
      </c>
      <c r="N199" s="99">
        <v>0</v>
      </c>
      <c r="O199" s="99">
        <v>0</v>
      </c>
      <c r="P199" s="99">
        <v>0</v>
      </c>
      <c r="Q199" s="99">
        <v>0</v>
      </c>
      <c r="R199" s="99">
        <v>0</v>
      </c>
      <c r="S199">
        <v>16358</v>
      </c>
      <c r="T199">
        <v>401</v>
      </c>
      <c r="U199">
        <v>548</v>
      </c>
      <c r="V199" s="99">
        <v>173</v>
      </c>
      <c r="W199" s="99">
        <v>9127</v>
      </c>
      <c r="X199" s="99">
        <v>289</v>
      </c>
      <c r="Y199" s="99">
        <v>0</v>
      </c>
      <c r="Z199" s="99">
        <v>40</v>
      </c>
      <c r="AA199" s="99">
        <v>12</v>
      </c>
      <c r="AB199" s="99">
        <v>0</v>
      </c>
      <c r="AC199" s="99">
        <v>0</v>
      </c>
      <c r="AD199" s="99">
        <v>0</v>
      </c>
    </row>
    <row r="200" spans="1:30" ht="15" x14ac:dyDescent="0.25">
      <c r="A200">
        <v>609</v>
      </c>
      <c r="B200" s="100" t="s">
        <v>328</v>
      </c>
      <c r="C200" s="99">
        <v>298865</v>
      </c>
      <c r="D200" s="99">
        <v>0</v>
      </c>
      <c r="E200" s="99">
        <v>15595</v>
      </c>
      <c r="F200" s="99">
        <v>2137</v>
      </c>
      <c r="G200" s="99">
        <v>473</v>
      </c>
      <c r="H200" s="99">
        <v>83220</v>
      </c>
      <c r="I200" s="99">
        <v>22228</v>
      </c>
      <c r="J200">
        <v>0</v>
      </c>
      <c r="K200">
        <v>0</v>
      </c>
      <c r="L200">
        <v>0</v>
      </c>
      <c r="M200" s="99">
        <v>0</v>
      </c>
      <c r="N200" s="99">
        <v>0</v>
      </c>
      <c r="O200" s="99">
        <v>1</v>
      </c>
      <c r="P200" s="99">
        <v>0</v>
      </c>
      <c r="Q200" s="99">
        <v>0</v>
      </c>
      <c r="R200" s="99">
        <v>0</v>
      </c>
      <c r="S200">
        <v>751545</v>
      </c>
      <c r="T200">
        <v>27977</v>
      </c>
      <c r="U200">
        <v>2137</v>
      </c>
      <c r="V200" s="99">
        <v>450</v>
      </c>
      <c r="W200" s="99">
        <v>368006</v>
      </c>
      <c r="X200" s="99">
        <v>28703</v>
      </c>
      <c r="Y200" s="99">
        <v>0</v>
      </c>
      <c r="Z200" s="99">
        <v>285</v>
      </c>
      <c r="AA200" s="99">
        <v>1261</v>
      </c>
      <c r="AB200" s="99">
        <v>0</v>
      </c>
      <c r="AC200" s="99">
        <v>0</v>
      </c>
      <c r="AD200" s="99">
        <v>0</v>
      </c>
    </row>
    <row r="201" spans="1:30" ht="15" x14ac:dyDescent="0.25">
      <c r="A201">
        <v>611</v>
      </c>
      <c r="B201" s="100" t="s">
        <v>329</v>
      </c>
      <c r="C201" s="99">
        <v>5922</v>
      </c>
      <c r="D201" s="99">
        <v>0</v>
      </c>
      <c r="E201" s="99">
        <v>0</v>
      </c>
      <c r="F201" s="99">
        <v>101</v>
      </c>
      <c r="G201" s="99">
        <v>0</v>
      </c>
      <c r="H201" s="99">
        <v>120</v>
      </c>
      <c r="I201" s="99">
        <v>0</v>
      </c>
      <c r="J201">
        <v>0</v>
      </c>
      <c r="K201">
        <v>0</v>
      </c>
      <c r="L201">
        <v>0</v>
      </c>
      <c r="M201" s="99">
        <v>0</v>
      </c>
      <c r="N201" s="99">
        <v>0</v>
      </c>
      <c r="O201" s="99">
        <v>0</v>
      </c>
      <c r="P201" s="99">
        <v>0</v>
      </c>
      <c r="Q201" s="99">
        <v>26</v>
      </c>
      <c r="R201" s="99">
        <v>0</v>
      </c>
      <c r="S201">
        <v>28323</v>
      </c>
      <c r="T201">
        <v>1753</v>
      </c>
      <c r="U201">
        <v>101</v>
      </c>
      <c r="V201" s="99">
        <v>224</v>
      </c>
      <c r="W201" s="99">
        <v>11757</v>
      </c>
      <c r="X201" s="99">
        <v>382</v>
      </c>
      <c r="Y201" s="99">
        <v>0</v>
      </c>
      <c r="Z201" s="99">
        <v>2</v>
      </c>
      <c r="AA201" s="99">
        <v>0</v>
      </c>
      <c r="AB201" s="99">
        <v>0</v>
      </c>
      <c r="AC201" s="99">
        <v>0</v>
      </c>
      <c r="AD201" s="99">
        <v>0</v>
      </c>
    </row>
    <row r="202" spans="1:30" ht="15" x14ac:dyDescent="0.25">
      <c r="A202">
        <v>614</v>
      </c>
      <c r="B202" s="100" t="s">
        <v>331</v>
      </c>
      <c r="C202" s="99">
        <v>11383</v>
      </c>
      <c r="D202" s="99">
        <v>0</v>
      </c>
      <c r="E202" s="99">
        <v>0</v>
      </c>
      <c r="F202" s="99">
        <v>0</v>
      </c>
      <c r="G202" s="99">
        <v>4</v>
      </c>
      <c r="H202" s="99">
        <v>2662</v>
      </c>
      <c r="I202" s="99">
        <v>7</v>
      </c>
      <c r="J202">
        <v>0</v>
      </c>
      <c r="K202">
        <v>0</v>
      </c>
      <c r="L202">
        <v>0</v>
      </c>
      <c r="M202" s="99">
        <v>0</v>
      </c>
      <c r="N202" s="99">
        <v>0</v>
      </c>
      <c r="O202" s="99">
        <v>0</v>
      </c>
      <c r="P202" s="99">
        <v>0</v>
      </c>
      <c r="Q202" s="99">
        <v>0</v>
      </c>
      <c r="R202" s="99">
        <v>0</v>
      </c>
      <c r="S202">
        <v>36705</v>
      </c>
      <c r="T202">
        <v>1078</v>
      </c>
      <c r="U202">
        <v>0</v>
      </c>
      <c r="V202" s="99">
        <v>154</v>
      </c>
      <c r="W202" s="99">
        <v>21088</v>
      </c>
      <c r="X202" s="99">
        <v>423</v>
      </c>
      <c r="Y202" s="99">
        <v>0</v>
      </c>
      <c r="Z202" s="99">
        <v>58</v>
      </c>
      <c r="AA202" s="99">
        <v>0</v>
      </c>
      <c r="AB202" s="99">
        <v>0</v>
      </c>
      <c r="AC202" s="99">
        <v>0</v>
      </c>
      <c r="AD202" s="99">
        <v>0</v>
      </c>
    </row>
    <row r="203" spans="1:30" ht="15" x14ac:dyDescent="0.25">
      <c r="A203">
        <v>615</v>
      </c>
      <c r="B203" s="100" t="s">
        <v>332</v>
      </c>
      <c r="C203" s="99">
        <v>14915</v>
      </c>
      <c r="D203" s="99">
        <v>0</v>
      </c>
      <c r="E203" s="99">
        <v>40</v>
      </c>
      <c r="F203" s="99">
        <v>1230</v>
      </c>
      <c r="G203" s="99">
        <v>41</v>
      </c>
      <c r="H203" s="99">
        <v>910</v>
      </c>
      <c r="I203" s="99">
        <v>0</v>
      </c>
      <c r="J203">
        <v>0</v>
      </c>
      <c r="K203">
        <v>0</v>
      </c>
      <c r="L203">
        <v>0</v>
      </c>
      <c r="M203" s="99">
        <v>0</v>
      </c>
      <c r="N203" s="99">
        <v>0</v>
      </c>
      <c r="O203" s="99">
        <v>0</v>
      </c>
      <c r="P203" s="99">
        <v>0</v>
      </c>
      <c r="Q203" s="99">
        <v>0</v>
      </c>
      <c r="R203" s="99">
        <v>0</v>
      </c>
      <c r="S203">
        <v>70568</v>
      </c>
      <c r="T203">
        <v>3503</v>
      </c>
      <c r="U203">
        <v>1232</v>
      </c>
      <c r="V203" s="99">
        <v>382</v>
      </c>
      <c r="W203" s="99">
        <v>35528</v>
      </c>
      <c r="X203" s="99">
        <v>549</v>
      </c>
      <c r="Y203" s="99">
        <v>0</v>
      </c>
      <c r="Z203" s="99">
        <v>4</v>
      </c>
      <c r="AA203" s="99">
        <v>0</v>
      </c>
      <c r="AB203" s="99">
        <v>3</v>
      </c>
      <c r="AC203" s="99">
        <v>56</v>
      </c>
      <c r="AD203" s="99">
        <v>0</v>
      </c>
    </row>
    <row r="204" spans="1:30" ht="15" x14ac:dyDescent="0.25">
      <c r="A204">
        <v>616</v>
      </c>
      <c r="B204" s="100" t="s">
        <v>333</v>
      </c>
      <c r="C204" s="99">
        <v>2653</v>
      </c>
      <c r="D204" s="99">
        <v>0</v>
      </c>
      <c r="E204" s="99">
        <v>0</v>
      </c>
      <c r="F204" s="99">
        <v>0</v>
      </c>
      <c r="G204" s="99">
        <v>0</v>
      </c>
      <c r="H204" s="99">
        <v>116</v>
      </c>
      <c r="I204" s="99">
        <v>44</v>
      </c>
      <c r="J204">
        <v>0</v>
      </c>
      <c r="K204">
        <v>0</v>
      </c>
      <c r="L204">
        <v>0</v>
      </c>
      <c r="M204" s="99">
        <v>0</v>
      </c>
      <c r="N204" s="99">
        <v>0</v>
      </c>
      <c r="O204" s="99">
        <v>0</v>
      </c>
      <c r="P204" s="99">
        <v>0</v>
      </c>
      <c r="Q204" s="99">
        <v>0</v>
      </c>
      <c r="R204" s="99">
        <v>0</v>
      </c>
      <c r="S204">
        <v>13179</v>
      </c>
      <c r="T204">
        <v>463</v>
      </c>
      <c r="U204">
        <v>0</v>
      </c>
      <c r="V204" s="99">
        <v>64</v>
      </c>
      <c r="W204" s="99">
        <v>6394</v>
      </c>
      <c r="X204" s="99">
        <v>256</v>
      </c>
      <c r="Y204" s="99">
        <v>0</v>
      </c>
      <c r="Z204" s="99">
        <v>0</v>
      </c>
      <c r="AA204" s="99">
        <v>9</v>
      </c>
      <c r="AB204" s="99">
        <v>0</v>
      </c>
      <c r="AC204" s="99">
        <v>0</v>
      </c>
      <c r="AD204" s="99">
        <v>0</v>
      </c>
    </row>
    <row r="205" spans="1:30" ht="15" x14ac:dyDescent="0.25">
      <c r="A205">
        <v>619</v>
      </c>
      <c r="B205" s="100" t="s">
        <v>334</v>
      </c>
      <c r="C205" s="99">
        <v>4634</v>
      </c>
      <c r="D205" s="99">
        <v>0</v>
      </c>
      <c r="E205" s="99">
        <v>0</v>
      </c>
      <c r="F205" s="99">
        <v>187</v>
      </c>
      <c r="G205" s="99">
        <v>82</v>
      </c>
      <c r="H205" s="99">
        <v>225</v>
      </c>
      <c r="I205" s="99">
        <v>0</v>
      </c>
      <c r="J205">
        <v>0</v>
      </c>
      <c r="K205">
        <v>0</v>
      </c>
      <c r="L205">
        <v>0</v>
      </c>
      <c r="M205" s="99">
        <v>0</v>
      </c>
      <c r="N205" s="99">
        <v>0</v>
      </c>
      <c r="O205" s="99">
        <v>0</v>
      </c>
      <c r="P205" s="99">
        <v>0</v>
      </c>
      <c r="Q205" s="99">
        <v>0</v>
      </c>
      <c r="R205" s="99">
        <v>0</v>
      </c>
      <c r="S205">
        <v>23167</v>
      </c>
      <c r="T205">
        <v>771</v>
      </c>
      <c r="U205">
        <v>187</v>
      </c>
      <c r="V205" s="99">
        <v>303</v>
      </c>
      <c r="W205" s="99">
        <v>12324</v>
      </c>
      <c r="X205" s="99">
        <v>221</v>
      </c>
      <c r="Y205" s="99">
        <v>0</v>
      </c>
      <c r="Z205" s="99">
        <v>9</v>
      </c>
      <c r="AA205" s="99">
        <v>0</v>
      </c>
      <c r="AB205" s="99">
        <v>5</v>
      </c>
      <c r="AC205" s="99">
        <v>5</v>
      </c>
      <c r="AD205" s="99">
        <v>0</v>
      </c>
    </row>
    <row r="206" spans="1:30" ht="15" x14ac:dyDescent="0.25">
      <c r="A206">
        <v>620</v>
      </c>
      <c r="B206" s="100" t="s">
        <v>335</v>
      </c>
      <c r="C206" s="99">
        <v>5245</v>
      </c>
      <c r="D206" s="99">
        <v>0</v>
      </c>
      <c r="E206" s="99">
        <v>0</v>
      </c>
      <c r="F206" s="99">
        <v>266</v>
      </c>
      <c r="G206" s="99">
        <v>23</v>
      </c>
      <c r="H206" s="99">
        <v>1971</v>
      </c>
      <c r="I206" s="99">
        <v>0</v>
      </c>
      <c r="J206">
        <v>0</v>
      </c>
      <c r="K206">
        <v>0</v>
      </c>
      <c r="L206">
        <v>0</v>
      </c>
      <c r="M206" s="99">
        <v>0</v>
      </c>
      <c r="N206" s="99">
        <v>0</v>
      </c>
      <c r="O206" s="99">
        <v>0</v>
      </c>
      <c r="P206" s="99">
        <v>0</v>
      </c>
      <c r="Q206" s="99">
        <v>0</v>
      </c>
      <c r="R206" s="99">
        <v>0</v>
      </c>
      <c r="S206">
        <v>26988</v>
      </c>
      <c r="T206">
        <v>998</v>
      </c>
      <c r="U206">
        <v>266</v>
      </c>
      <c r="V206" s="99">
        <v>149</v>
      </c>
      <c r="W206" s="99">
        <v>16372</v>
      </c>
      <c r="X206" s="99">
        <v>254</v>
      </c>
      <c r="Y206" s="99">
        <v>0</v>
      </c>
      <c r="Z206" s="99">
        <v>231</v>
      </c>
      <c r="AA206" s="99">
        <v>0</v>
      </c>
      <c r="AB206" s="99">
        <v>0</v>
      </c>
      <c r="AC206" s="99">
        <v>111</v>
      </c>
      <c r="AD206" s="99">
        <v>0</v>
      </c>
    </row>
    <row r="207" spans="1:30" ht="15" x14ac:dyDescent="0.25">
      <c r="A207">
        <v>623</v>
      </c>
      <c r="B207" s="100" t="s">
        <v>336</v>
      </c>
      <c r="C207" s="99">
        <v>4286</v>
      </c>
      <c r="D207" s="99">
        <v>0</v>
      </c>
      <c r="E207" s="99">
        <v>0</v>
      </c>
      <c r="F207" s="99">
        <v>167</v>
      </c>
      <c r="G207" s="99">
        <v>23</v>
      </c>
      <c r="H207" s="99">
        <v>275</v>
      </c>
      <c r="I207" s="99">
        <v>53</v>
      </c>
      <c r="J207">
        <v>0</v>
      </c>
      <c r="K207">
        <v>0</v>
      </c>
      <c r="L207">
        <v>0</v>
      </c>
      <c r="M207" s="99">
        <v>0</v>
      </c>
      <c r="N207" s="99">
        <v>0</v>
      </c>
      <c r="O207" s="99">
        <v>0</v>
      </c>
      <c r="P207" s="99">
        <v>0</v>
      </c>
      <c r="Q207" s="99">
        <v>0</v>
      </c>
      <c r="R207" s="99">
        <v>0</v>
      </c>
      <c r="S207">
        <v>19379</v>
      </c>
      <c r="T207">
        <v>862</v>
      </c>
      <c r="U207">
        <v>167</v>
      </c>
      <c r="V207" s="99">
        <v>73</v>
      </c>
      <c r="W207" s="99">
        <v>10234</v>
      </c>
      <c r="X207" s="99">
        <v>245</v>
      </c>
      <c r="Y207" s="99">
        <v>0</v>
      </c>
      <c r="Z207" s="99">
        <v>0</v>
      </c>
      <c r="AA207" s="99">
        <v>6</v>
      </c>
      <c r="AB207" s="99">
        <v>0</v>
      </c>
      <c r="AC207" s="99">
        <v>0</v>
      </c>
      <c r="AD207" s="99">
        <v>0</v>
      </c>
    </row>
    <row r="208" spans="1:30" ht="15" x14ac:dyDescent="0.25">
      <c r="A208">
        <v>624</v>
      </c>
      <c r="B208" s="100" t="s">
        <v>130</v>
      </c>
      <c r="C208" s="99">
        <v>5793</v>
      </c>
      <c r="D208" s="99">
        <v>0</v>
      </c>
      <c r="E208" s="99">
        <v>0</v>
      </c>
      <c r="F208" s="99">
        <v>0</v>
      </c>
      <c r="G208" s="99">
        <v>0</v>
      </c>
      <c r="H208" s="99">
        <v>1050</v>
      </c>
      <c r="I208" s="99">
        <v>0</v>
      </c>
      <c r="J208">
        <v>0</v>
      </c>
      <c r="K208">
        <v>0</v>
      </c>
      <c r="L208">
        <v>0</v>
      </c>
      <c r="M208" s="99">
        <v>0</v>
      </c>
      <c r="N208" s="99">
        <v>0</v>
      </c>
      <c r="O208" s="99">
        <v>0</v>
      </c>
      <c r="P208" s="99">
        <v>0</v>
      </c>
      <c r="Q208" s="99">
        <v>0</v>
      </c>
      <c r="R208" s="99">
        <v>0</v>
      </c>
      <c r="S208">
        <v>34113</v>
      </c>
      <c r="T208">
        <v>1327</v>
      </c>
      <c r="U208">
        <v>0</v>
      </c>
      <c r="V208" s="99">
        <v>373</v>
      </c>
      <c r="W208" s="99">
        <v>18699</v>
      </c>
      <c r="X208" s="99">
        <v>325</v>
      </c>
      <c r="Y208" s="99">
        <v>0</v>
      </c>
      <c r="Z208" s="99">
        <v>14</v>
      </c>
      <c r="AA208" s="99">
        <v>0</v>
      </c>
      <c r="AB208" s="99">
        <v>0</v>
      </c>
      <c r="AC208" s="99">
        <v>0</v>
      </c>
      <c r="AD208" s="99">
        <v>0</v>
      </c>
    </row>
    <row r="209" spans="1:30" ht="15" x14ac:dyDescent="0.25">
      <c r="A209">
        <v>625</v>
      </c>
      <c r="B209" s="100" t="s">
        <v>337</v>
      </c>
      <c r="C209" s="99">
        <v>6867</v>
      </c>
      <c r="D209" s="99">
        <v>2</v>
      </c>
      <c r="E209" s="99">
        <v>0</v>
      </c>
      <c r="F209" s="99">
        <v>246</v>
      </c>
      <c r="G209" s="99">
        <v>85</v>
      </c>
      <c r="H209" s="99">
        <v>118</v>
      </c>
      <c r="I209" s="99">
        <v>0</v>
      </c>
      <c r="J209">
        <v>0</v>
      </c>
      <c r="K209">
        <v>0</v>
      </c>
      <c r="L209">
        <v>0</v>
      </c>
      <c r="M209" s="99">
        <v>0</v>
      </c>
      <c r="N209" s="99">
        <v>0</v>
      </c>
      <c r="O209" s="99">
        <v>0</v>
      </c>
      <c r="P209" s="99">
        <v>0</v>
      </c>
      <c r="Q209" s="99">
        <v>31</v>
      </c>
      <c r="R209" s="99">
        <v>0</v>
      </c>
      <c r="S209">
        <v>24219</v>
      </c>
      <c r="T209">
        <v>887</v>
      </c>
      <c r="U209">
        <v>264</v>
      </c>
      <c r="V209" s="99">
        <v>239</v>
      </c>
      <c r="W209" s="99">
        <v>10701</v>
      </c>
      <c r="X209" s="99">
        <v>279</v>
      </c>
      <c r="Y209" s="99">
        <v>0</v>
      </c>
      <c r="Z209" s="99">
        <v>0</v>
      </c>
      <c r="AA209" s="99">
        <v>0</v>
      </c>
      <c r="AB209" s="99">
        <v>1</v>
      </c>
      <c r="AC209" s="99">
        <v>1</v>
      </c>
      <c r="AD209" s="99">
        <v>0</v>
      </c>
    </row>
    <row r="210" spans="1:30" ht="15" x14ac:dyDescent="0.25">
      <c r="A210">
        <v>626</v>
      </c>
      <c r="B210" s="100" t="s">
        <v>131</v>
      </c>
      <c r="C210" s="99">
        <v>6153</v>
      </c>
      <c r="D210" s="99">
        <v>0</v>
      </c>
      <c r="E210" s="99">
        <v>0</v>
      </c>
      <c r="F210" s="99">
        <v>0</v>
      </c>
      <c r="G210" s="99">
        <v>0</v>
      </c>
      <c r="H210" s="99">
        <v>10</v>
      </c>
      <c r="I210" s="99">
        <v>0</v>
      </c>
      <c r="J210">
        <v>0</v>
      </c>
      <c r="K210">
        <v>0</v>
      </c>
      <c r="L210">
        <v>0</v>
      </c>
      <c r="M210" s="99">
        <v>0</v>
      </c>
      <c r="N210" s="99">
        <v>0</v>
      </c>
      <c r="O210" s="99">
        <v>0</v>
      </c>
      <c r="P210" s="99">
        <v>0</v>
      </c>
      <c r="Q210" s="99">
        <v>0</v>
      </c>
      <c r="R210" s="99">
        <v>0</v>
      </c>
      <c r="S210">
        <v>44812</v>
      </c>
      <c r="T210">
        <v>1195</v>
      </c>
      <c r="U210">
        <v>0</v>
      </c>
      <c r="V210" s="99">
        <v>554</v>
      </c>
      <c r="W210" s="99">
        <v>25394</v>
      </c>
      <c r="X210" s="99">
        <v>494</v>
      </c>
      <c r="Y210" s="99">
        <v>0</v>
      </c>
      <c r="Z210" s="99">
        <v>0</v>
      </c>
      <c r="AA210" s="99">
        <v>0</v>
      </c>
      <c r="AB210" s="99">
        <v>0</v>
      </c>
      <c r="AC210" s="99">
        <v>0</v>
      </c>
      <c r="AD210" s="99">
        <v>0</v>
      </c>
    </row>
    <row r="211" spans="1:30" ht="15" x14ac:dyDescent="0.25">
      <c r="A211">
        <v>630</v>
      </c>
      <c r="B211" s="100" t="s">
        <v>338</v>
      </c>
      <c r="C211" s="99">
        <v>2538</v>
      </c>
      <c r="D211" s="99">
        <v>0</v>
      </c>
      <c r="E211" s="99">
        <v>0</v>
      </c>
      <c r="F211" s="99">
        <v>0</v>
      </c>
      <c r="G211" s="99">
        <v>0</v>
      </c>
      <c r="H211" s="99">
        <v>628</v>
      </c>
      <c r="I211" s="99">
        <v>36</v>
      </c>
      <c r="J211">
        <v>0</v>
      </c>
      <c r="K211">
        <v>0</v>
      </c>
      <c r="L211">
        <v>0</v>
      </c>
      <c r="M211" s="99">
        <v>0</v>
      </c>
      <c r="N211" s="99">
        <v>0</v>
      </c>
      <c r="O211" s="99">
        <v>0</v>
      </c>
      <c r="P211" s="99">
        <v>0</v>
      </c>
      <c r="Q211" s="99">
        <v>0</v>
      </c>
      <c r="R211" s="99">
        <v>0</v>
      </c>
      <c r="S211">
        <v>11823</v>
      </c>
      <c r="T211">
        <v>962</v>
      </c>
      <c r="U211">
        <v>0</v>
      </c>
      <c r="V211" s="99">
        <v>33</v>
      </c>
      <c r="W211" s="99">
        <v>6247</v>
      </c>
      <c r="X211" s="99">
        <v>198</v>
      </c>
      <c r="Y211" s="99">
        <v>0</v>
      </c>
      <c r="Z211" s="99">
        <v>243</v>
      </c>
      <c r="AA211" s="99">
        <v>24</v>
      </c>
      <c r="AB211" s="99">
        <v>0</v>
      </c>
      <c r="AC211" s="99">
        <v>0</v>
      </c>
      <c r="AD211" s="99">
        <v>0</v>
      </c>
    </row>
    <row r="212" spans="1:30" ht="15" x14ac:dyDescent="0.25">
      <c r="A212">
        <v>631</v>
      </c>
      <c r="B212" s="100" t="s">
        <v>339</v>
      </c>
      <c r="C212" s="99">
        <v>1694</v>
      </c>
      <c r="D212" s="99">
        <v>0</v>
      </c>
      <c r="E212" s="99">
        <v>0</v>
      </c>
      <c r="F212" s="99">
        <v>0</v>
      </c>
      <c r="G212" s="99">
        <v>0</v>
      </c>
      <c r="H212" s="99">
        <v>368</v>
      </c>
      <c r="I212" s="99">
        <v>0</v>
      </c>
      <c r="J212">
        <v>0</v>
      </c>
      <c r="K212">
        <v>0</v>
      </c>
      <c r="L212">
        <v>0</v>
      </c>
      <c r="M212" s="99">
        <v>0</v>
      </c>
      <c r="N212" s="99">
        <v>0</v>
      </c>
      <c r="O212" s="99">
        <v>0</v>
      </c>
      <c r="P212" s="99">
        <v>0</v>
      </c>
      <c r="Q212" s="99">
        <v>0</v>
      </c>
      <c r="R212" s="99">
        <v>0</v>
      </c>
      <c r="S212">
        <v>12593</v>
      </c>
      <c r="T212">
        <v>410</v>
      </c>
      <c r="U212">
        <v>0</v>
      </c>
      <c r="V212" s="99">
        <v>0</v>
      </c>
      <c r="W212" s="99">
        <v>7109</v>
      </c>
      <c r="X212" s="99">
        <v>158</v>
      </c>
      <c r="Y212" s="99">
        <v>0</v>
      </c>
      <c r="Z212" s="99">
        <v>0</v>
      </c>
      <c r="AA212" s="99">
        <v>0</v>
      </c>
      <c r="AB212" s="99">
        <v>0</v>
      </c>
      <c r="AC212" s="99">
        <v>0</v>
      </c>
      <c r="AD212" s="99">
        <v>0</v>
      </c>
    </row>
    <row r="213" spans="1:30" ht="15" x14ac:dyDescent="0.25">
      <c r="A213">
        <v>635</v>
      </c>
      <c r="B213" s="100" t="s">
        <v>340</v>
      </c>
      <c r="C213" s="99">
        <v>8749</v>
      </c>
      <c r="D213" s="99">
        <v>0</v>
      </c>
      <c r="E213" s="99">
        <v>0</v>
      </c>
      <c r="F213" s="99">
        <v>0</v>
      </c>
      <c r="G213" s="99">
        <v>73</v>
      </c>
      <c r="H213" s="99">
        <v>415</v>
      </c>
      <c r="I213" s="99">
        <v>0</v>
      </c>
      <c r="J213">
        <v>0</v>
      </c>
      <c r="K213">
        <v>0</v>
      </c>
      <c r="L213">
        <v>0</v>
      </c>
      <c r="M213" s="99">
        <v>0</v>
      </c>
      <c r="N213" s="99">
        <v>0</v>
      </c>
      <c r="O213" s="99">
        <v>0</v>
      </c>
      <c r="P213" s="99">
        <v>0</v>
      </c>
      <c r="Q213" s="99">
        <v>0</v>
      </c>
      <c r="R213" s="99">
        <v>0</v>
      </c>
      <c r="S213">
        <v>45228</v>
      </c>
      <c r="T213">
        <v>2154</v>
      </c>
      <c r="U213">
        <v>0</v>
      </c>
      <c r="V213" s="99">
        <v>449</v>
      </c>
      <c r="W213" s="99">
        <v>23838</v>
      </c>
      <c r="X213" s="99">
        <v>462</v>
      </c>
      <c r="Y213" s="99">
        <v>0</v>
      </c>
      <c r="Z213" s="99">
        <v>0</v>
      </c>
      <c r="AA213" s="99">
        <v>0</v>
      </c>
      <c r="AB213" s="99">
        <v>0</v>
      </c>
      <c r="AC213" s="99">
        <v>0</v>
      </c>
      <c r="AD213" s="99">
        <v>0</v>
      </c>
    </row>
    <row r="214" spans="1:30" ht="15" x14ac:dyDescent="0.25">
      <c r="A214">
        <v>636</v>
      </c>
      <c r="B214" s="100" t="s">
        <v>341</v>
      </c>
      <c r="C214" s="99">
        <v>14720</v>
      </c>
      <c r="D214" s="99">
        <v>0</v>
      </c>
      <c r="E214" s="99">
        <v>0</v>
      </c>
      <c r="F214" s="99">
        <v>795</v>
      </c>
      <c r="G214" s="99">
        <v>117</v>
      </c>
      <c r="H214" s="99">
        <v>2722</v>
      </c>
      <c r="I214" s="99">
        <v>0</v>
      </c>
      <c r="J214">
        <v>0</v>
      </c>
      <c r="K214">
        <v>0</v>
      </c>
      <c r="L214">
        <v>0</v>
      </c>
      <c r="M214" s="99">
        <v>0</v>
      </c>
      <c r="N214" s="99">
        <v>0</v>
      </c>
      <c r="O214" s="99">
        <v>0</v>
      </c>
      <c r="P214" s="99">
        <v>0</v>
      </c>
      <c r="Q214" s="99">
        <v>0</v>
      </c>
      <c r="R214" s="99">
        <v>0</v>
      </c>
      <c r="S214">
        <v>61553</v>
      </c>
      <c r="T214">
        <v>1957</v>
      </c>
      <c r="U214">
        <v>795</v>
      </c>
      <c r="V214" s="99">
        <v>285</v>
      </c>
      <c r="W214" s="99">
        <v>31753</v>
      </c>
      <c r="X214" s="99">
        <v>617</v>
      </c>
      <c r="Y214" s="99">
        <v>0</v>
      </c>
      <c r="Z214" s="99">
        <v>25</v>
      </c>
      <c r="AA214" s="99">
        <v>0</v>
      </c>
      <c r="AB214" s="99">
        <v>6</v>
      </c>
      <c r="AC214" s="99">
        <v>161</v>
      </c>
      <c r="AD214" s="99">
        <v>0</v>
      </c>
    </row>
    <row r="215" spans="1:30" ht="15" x14ac:dyDescent="0.25">
      <c r="A215">
        <v>638</v>
      </c>
      <c r="B215" s="100" t="s">
        <v>330</v>
      </c>
      <c r="C215" s="99">
        <v>115123</v>
      </c>
      <c r="D215" s="99">
        <v>0</v>
      </c>
      <c r="E215" s="99">
        <v>1340</v>
      </c>
      <c r="F215" s="99">
        <v>793</v>
      </c>
      <c r="G215" s="99">
        <v>333</v>
      </c>
      <c r="H215" s="99">
        <v>24791</v>
      </c>
      <c r="I215" s="99">
        <v>5497</v>
      </c>
      <c r="J215">
        <v>0</v>
      </c>
      <c r="K215">
        <v>0</v>
      </c>
      <c r="L215">
        <v>0</v>
      </c>
      <c r="M215" s="99">
        <v>0</v>
      </c>
      <c r="N215" s="99">
        <v>0</v>
      </c>
      <c r="O215" s="99">
        <v>0</v>
      </c>
      <c r="P215" s="99">
        <v>0</v>
      </c>
      <c r="Q215" s="99">
        <v>0</v>
      </c>
      <c r="R215" s="99">
        <v>0</v>
      </c>
      <c r="S215">
        <v>362837</v>
      </c>
      <c r="T215">
        <v>24294</v>
      </c>
      <c r="U215">
        <v>793</v>
      </c>
      <c r="V215" s="99">
        <v>5725</v>
      </c>
      <c r="W215" s="99">
        <v>172073</v>
      </c>
      <c r="X215" s="99">
        <v>9121</v>
      </c>
      <c r="Y215" s="99">
        <v>20</v>
      </c>
      <c r="Z215" s="99">
        <v>664</v>
      </c>
      <c r="AA215" s="99">
        <v>737</v>
      </c>
      <c r="AB215" s="99">
        <v>15</v>
      </c>
      <c r="AC215" s="99">
        <v>301</v>
      </c>
      <c r="AD215" s="99">
        <v>23</v>
      </c>
    </row>
    <row r="216" spans="1:30" ht="15" x14ac:dyDescent="0.25">
      <c r="A216">
        <v>678</v>
      </c>
      <c r="B216" s="100" t="s">
        <v>342</v>
      </c>
      <c r="C216" s="99">
        <v>29825</v>
      </c>
      <c r="D216" s="99">
        <v>0</v>
      </c>
      <c r="E216" s="99">
        <v>392</v>
      </c>
      <c r="F216" s="99">
        <v>3846</v>
      </c>
      <c r="G216" s="99">
        <v>605</v>
      </c>
      <c r="H216" s="99">
        <v>772</v>
      </c>
      <c r="I216" s="99">
        <v>0</v>
      </c>
      <c r="J216">
        <v>0</v>
      </c>
      <c r="K216">
        <v>0</v>
      </c>
      <c r="L216">
        <v>0</v>
      </c>
      <c r="M216" s="99">
        <v>0</v>
      </c>
      <c r="N216" s="99">
        <v>0</v>
      </c>
      <c r="O216" s="99">
        <v>0</v>
      </c>
      <c r="P216" s="99">
        <v>0</v>
      </c>
      <c r="Q216" s="99">
        <v>134</v>
      </c>
      <c r="R216" s="99">
        <v>0</v>
      </c>
      <c r="S216">
        <v>163251</v>
      </c>
      <c r="T216">
        <v>6719</v>
      </c>
      <c r="U216">
        <v>3846</v>
      </c>
      <c r="V216" s="99">
        <v>2500</v>
      </c>
      <c r="W216" s="99">
        <v>83815</v>
      </c>
      <c r="X216" s="99">
        <v>2525</v>
      </c>
      <c r="Y216" s="99">
        <v>0</v>
      </c>
      <c r="Z216" s="99">
        <v>0</v>
      </c>
      <c r="AA216" s="99">
        <v>0</v>
      </c>
      <c r="AB216" s="99">
        <v>0</v>
      </c>
      <c r="AC216" s="99">
        <v>22</v>
      </c>
      <c r="AD216" s="99">
        <v>0</v>
      </c>
    </row>
    <row r="217" spans="1:30" ht="15" x14ac:dyDescent="0.25">
      <c r="A217">
        <v>680</v>
      </c>
      <c r="B217" s="100" t="s">
        <v>343</v>
      </c>
      <c r="C217" s="99">
        <v>71111</v>
      </c>
      <c r="D217" s="99">
        <v>0</v>
      </c>
      <c r="E217" s="99">
        <v>0</v>
      </c>
      <c r="F217" s="99">
        <v>0</v>
      </c>
      <c r="G217" s="99">
        <v>239</v>
      </c>
      <c r="H217" s="99">
        <v>29613</v>
      </c>
      <c r="I217" s="99">
        <v>0</v>
      </c>
      <c r="J217">
        <v>0</v>
      </c>
      <c r="K217">
        <v>0</v>
      </c>
      <c r="L217">
        <v>0</v>
      </c>
      <c r="M217" s="99">
        <v>0</v>
      </c>
      <c r="N217" s="99">
        <v>0</v>
      </c>
      <c r="O217" s="99">
        <v>0</v>
      </c>
      <c r="P217" s="99">
        <v>0</v>
      </c>
      <c r="Q217" s="99">
        <v>0</v>
      </c>
      <c r="R217" s="99">
        <v>0</v>
      </c>
      <c r="S217">
        <v>189170</v>
      </c>
      <c r="T217">
        <v>8921</v>
      </c>
      <c r="U217">
        <v>0</v>
      </c>
      <c r="V217" s="99">
        <v>1723</v>
      </c>
      <c r="W217" s="99">
        <v>106596</v>
      </c>
      <c r="X217" s="99">
        <v>1724</v>
      </c>
      <c r="Y217" s="99">
        <v>0</v>
      </c>
      <c r="Z217" s="99">
        <v>234</v>
      </c>
      <c r="AA217" s="99">
        <v>0</v>
      </c>
      <c r="AB217" s="99">
        <v>0</v>
      </c>
      <c r="AC217" s="99">
        <v>0</v>
      </c>
      <c r="AD217" s="99">
        <v>0</v>
      </c>
    </row>
    <row r="218" spans="1:30" ht="15" x14ac:dyDescent="0.25">
      <c r="A218">
        <v>681</v>
      </c>
      <c r="B218" s="100" t="s">
        <v>344</v>
      </c>
      <c r="C218" s="99">
        <v>9355</v>
      </c>
      <c r="D218" s="99">
        <v>0</v>
      </c>
      <c r="E218" s="99">
        <v>6</v>
      </c>
      <c r="F218" s="99">
        <v>0</v>
      </c>
      <c r="G218" s="99">
        <v>21</v>
      </c>
      <c r="H218" s="99">
        <v>2075</v>
      </c>
      <c r="I218" s="99">
        <v>28</v>
      </c>
      <c r="J218">
        <v>0</v>
      </c>
      <c r="K218">
        <v>0</v>
      </c>
      <c r="L218">
        <v>0</v>
      </c>
      <c r="M218" s="99">
        <v>0</v>
      </c>
      <c r="N218" s="99">
        <v>6</v>
      </c>
      <c r="O218" s="99">
        <v>0</v>
      </c>
      <c r="P218" s="99">
        <v>0</v>
      </c>
      <c r="Q218" s="99">
        <v>0</v>
      </c>
      <c r="R218" s="99">
        <v>0</v>
      </c>
      <c r="S218">
        <v>32756</v>
      </c>
      <c r="T218">
        <v>983</v>
      </c>
      <c r="U218">
        <v>0</v>
      </c>
      <c r="V218" s="99">
        <v>265</v>
      </c>
      <c r="W218" s="99">
        <v>17439</v>
      </c>
      <c r="X218" s="99">
        <v>330</v>
      </c>
      <c r="Y218" s="99">
        <v>0</v>
      </c>
      <c r="Z218" s="99">
        <v>243</v>
      </c>
      <c r="AA218" s="99">
        <v>7</v>
      </c>
      <c r="AB218" s="99">
        <v>0</v>
      </c>
      <c r="AC218" s="99">
        <v>0</v>
      </c>
      <c r="AD218" s="99">
        <v>0</v>
      </c>
    </row>
    <row r="219" spans="1:30" ht="15" x14ac:dyDescent="0.25">
      <c r="A219">
        <v>683</v>
      </c>
      <c r="B219" s="100" t="s">
        <v>345</v>
      </c>
      <c r="C219" s="99">
        <v>8620</v>
      </c>
      <c r="D219" s="99">
        <v>0</v>
      </c>
      <c r="E219" s="99">
        <v>0</v>
      </c>
      <c r="F219" s="99">
        <v>0</v>
      </c>
      <c r="G219" s="99">
        <v>76</v>
      </c>
      <c r="H219" s="99">
        <v>2923</v>
      </c>
      <c r="I219" s="99">
        <v>0</v>
      </c>
      <c r="J219">
        <v>0</v>
      </c>
      <c r="K219">
        <v>0</v>
      </c>
      <c r="L219">
        <v>0</v>
      </c>
      <c r="M219" s="99">
        <v>0</v>
      </c>
      <c r="N219" s="99">
        <v>0</v>
      </c>
      <c r="O219" s="99">
        <v>0</v>
      </c>
      <c r="P219" s="99">
        <v>0</v>
      </c>
      <c r="Q219" s="99">
        <v>0</v>
      </c>
      <c r="R219" s="99">
        <v>0</v>
      </c>
      <c r="S219">
        <v>37390</v>
      </c>
      <c r="T219">
        <v>1302</v>
      </c>
      <c r="U219">
        <v>0</v>
      </c>
      <c r="V219" s="99">
        <v>683</v>
      </c>
      <c r="W219" s="99">
        <v>19992</v>
      </c>
      <c r="X219" s="99">
        <v>365</v>
      </c>
      <c r="Y219" s="99">
        <v>0</v>
      </c>
      <c r="Z219" s="99">
        <v>237</v>
      </c>
      <c r="AA219" s="99">
        <v>0</v>
      </c>
      <c r="AB219" s="99">
        <v>0</v>
      </c>
      <c r="AC219" s="99">
        <v>0</v>
      </c>
      <c r="AD219" s="99">
        <v>0</v>
      </c>
    </row>
    <row r="220" spans="1:30" ht="15" x14ac:dyDescent="0.25">
      <c r="A220">
        <v>684</v>
      </c>
      <c r="B220" s="100" t="s">
        <v>346</v>
      </c>
      <c r="C220" s="99">
        <v>90895</v>
      </c>
      <c r="D220" s="99">
        <v>-6</v>
      </c>
      <c r="E220" s="99">
        <v>24643</v>
      </c>
      <c r="F220" s="99">
        <v>4630</v>
      </c>
      <c r="G220" s="99">
        <v>313</v>
      </c>
      <c r="H220" s="99">
        <v>20051</v>
      </c>
      <c r="I220" s="99">
        <v>0</v>
      </c>
      <c r="J220">
        <v>0</v>
      </c>
      <c r="K220">
        <v>0</v>
      </c>
      <c r="L220">
        <v>0</v>
      </c>
      <c r="M220" s="99">
        <v>0</v>
      </c>
      <c r="N220" s="99">
        <v>636</v>
      </c>
      <c r="O220" s="99">
        <v>87</v>
      </c>
      <c r="P220" s="99">
        <v>0</v>
      </c>
      <c r="Q220" s="99">
        <v>458</v>
      </c>
      <c r="R220" s="99">
        <v>0</v>
      </c>
      <c r="S220">
        <v>316882</v>
      </c>
      <c r="T220">
        <v>20594</v>
      </c>
      <c r="U220">
        <v>4630</v>
      </c>
      <c r="V220" s="99">
        <v>3787</v>
      </c>
      <c r="W220" s="99">
        <v>150918</v>
      </c>
      <c r="X220" s="99">
        <v>3568</v>
      </c>
      <c r="Y220" s="99">
        <v>3</v>
      </c>
      <c r="Z220" s="99">
        <v>475</v>
      </c>
      <c r="AA220" s="99">
        <v>0</v>
      </c>
      <c r="AB220" s="99">
        <v>23</v>
      </c>
      <c r="AC220" s="99">
        <v>2181</v>
      </c>
      <c r="AD220" s="99">
        <v>0</v>
      </c>
    </row>
    <row r="221" spans="1:30" ht="15" x14ac:dyDescent="0.25">
      <c r="A221">
        <v>686</v>
      </c>
      <c r="B221" s="100" t="s">
        <v>347</v>
      </c>
      <c r="C221" s="99">
        <v>4235</v>
      </c>
      <c r="D221" s="99">
        <v>0</v>
      </c>
      <c r="E221" s="99">
        <v>0</v>
      </c>
      <c r="F221" s="99">
        <v>308</v>
      </c>
      <c r="G221" s="99">
        <v>17</v>
      </c>
      <c r="H221" s="99">
        <v>1321</v>
      </c>
      <c r="I221" s="99">
        <v>40</v>
      </c>
      <c r="J221">
        <v>0</v>
      </c>
      <c r="K221">
        <v>0</v>
      </c>
      <c r="L221">
        <v>0</v>
      </c>
      <c r="M221" s="99">
        <v>0</v>
      </c>
      <c r="N221" s="99">
        <v>0</v>
      </c>
      <c r="O221" s="99">
        <v>0</v>
      </c>
      <c r="P221" s="99">
        <v>0</v>
      </c>
      <c r="Q221" s="99">
        <v>0</v>
      </c>
      <c r="R221" s="99">
        <v>0</v>
      </c>
      <c r="S221">
        <v>25187</v>
      </c>
      <c r="T221">
        <v>777</v>
      </c>
      <c r="U221">
        <v>311</v>
      </c>
      <c r="V221" s="99">
        <v>210</v>
      </c>
      <c r="W221" s="99">
        <v>14823</v>
      </c>
      <c r="X221" s="99">
        <v>351</v>
      </c>
      <c r="Y221" s="99">
        <v>0</v>
      </c>
      <c r="Z221" s="99">
        <v>109</v>
      </c>
      <c r="AA221" s="99">
        <v>8</v>
      </c>
      <c r="AB221" s="99">
        <v>0</v>
      </c>
      <c r="AC221" s="99">
        <v>118</v>
      </c>
      <c r="AD221" s="99">
        <v>1</v>
      </c>
    </row>
    <row r="222" spans="1:30" ht="15" x14ac:dyDescent="0.25">
      <c r="A222">
        <v>687</v>
      </c>
      <c r="B222" s="100" t="s">
        <v>348</v>
      </c>
      <c r="C222" s="99">
        <v>3969</v>
      </c>
      <c r="D222" s="99">
        <v>0</v>
      </c>
      <c r="E222" s="99">
        <v>0</v>
      </c>
      <c r="F222" s="99">
        <v>0</v>
      </c>
      <c r="G222" s="99">
        <v>21</v>
      </c>
      <c r="H222" s="99">
        <v>1231</v>
      </c>
      <c r="I222" s="99">
        <v>45</v>
      </c>
      <c r="J222">
        <v>0</v>
      </c>
      <c r="K222">
        <v>0</v>
      </c>
      <c r="L222">
        <v>0</v>
      </c>
      <c r="M222" s="99">
        <v>0</v>
      </c>
      <c r="N222" s="99">
        <v>0</v>
      </c>
      <c r="O222" s="99">
        <v>0</v>
      </c>
      <c r="P222" s="99">
        <v>0</v>
      </c>
      <c r="Q222" s="99">
        <v>0</v>
      </c>
      <c r="R222" s="99">
        <v>0</v>
      </c>
      <c r="S222">
        <v>16818</v>
      </c>
      <c r="T222">
        <v>908</v>
      </c>
      <c r="U222">
        <v>0</v>
      </c>
      <c r="V222" s="99">
        <v>186</v>
      </c>
      <c r="W222" s="99">
        <v>9645</v>
      </c>
      <c r="X222" s="99">
        <v>288</v>
      </c>
      <c r="Y222" s="99">
        <v>0</v>
      </c>
      <c r="Z222" s="99">
        <v>259</v>
      </c>
      <c r="AA222" s="99">
        <v>15</v>
      </c>
      <c r="AB222" s="99">
        <v>0</v>
      </c>
      <c r="AC222" s="99">
        <v>0</v>
      </c>
      <c r="AD222" s="99">
        <v>0</v>
      </c>
    </row>
    <row r="223" spans="1:30" ht="15" x14ac:dyDescent="0.25">
      <c r="A223">
        <v>689</v>
      </c>
      <c r="B223" s="100" t="s">
        <v>349</v>
      </c>
      <c r="C223" s="99">
        <v>4729</v>
      </c>
      <c r="D223" s="99">
        <v>0</v>
      </c>
      <c r="E223" s="99">
        <v>0</v>
      </c>
      <c r="F223" s="99">
        <v>0</v>
      </c>
      <c r="G223" s="99">
        <v>4</v>
      </c>
      <c r="H223" s="99">
        <v>426</v>
      </c>
      <c r="I223" s="99">
        <v>4</v>
      </c>
      <c r="J223">
        <v>0</v>
      </c>
      <c r="K223">
        <v>0</v>
      </c>
      <c r="L223">
        <v>0</v>
      </c>
      <c r="M223" s="99">
        <v>0</v>
      </c>
      <c r="N223" s="99">
        <v>0</v>
      </c>
      <c r="O223" s="99">
        <v>0</v>
      </c>
      <c r="P223" s="99">
        <v>0</v>
      </c>
      <c r="Q223" s="99">
        <v>0</v>
      </c>
      <c r="R223" s="99">
        <v>0</v>
      </c>
      <c r="S223">
        <v>25813</v>
      </c>
      <c r="T223">
        <v>1470</v>
      </c>
      <c r="U223">
        <v>0</v>
      </c>
      <c r="V223" s="99">
        <v>108</v>
      </c>
      <c r="W223" s="99">
        <v>14843</v>
      </c>
      <c r="X223" s="99">
        <v>308</v>
      </c>
      <c r="Y223" s="99">
        <v>0</v>
      </c>
      <c r="Z223" s="99">
        <v>0</v>
      </c>
      <c r="AA223" s="99">
        <v>58</v>
      </c>
      <c r="AB223" s="99">
        <v>0</v>
      </c>
      <c r="AC223" s="99">
        <v>0</v>
      </c>
      <c r="AD223" s="99">
        <v>0</v>
      </c>
    </row>
    <row r="224" spans="1:30" ht="15" x14ac:dyDescent="0.25">
      <c r="A224">
        <v>691</v>
      </c>
      <c r="B224" s="100" t="s">
        <v>350</v>
      </c>
      <c r="C224" s="99">
        <v>10013</v>
      </c>
      <c r="D224" s="99">
        <v>0</v>
      </c>
      <c r="E224" s="99">
        <v>0</v>
      </c>
      <c r="F224" s="99">
        <v>0</v>
      </c>
      <c r="G224" s="99">
        <v>3</v>
      </c>
      <c r="H224" s="99">
        <v>57</v>
      </c>
      <c r="I224" s="99">
        <v>0</v>
      </c>
      <c r="J224">
        <v>0</v>
      </c>
      <c r="K224">
        <v>0</v>
      </c>
      <c r="L224">
        <v>0</v>
      </c>
      <c r="M224" s="99">
        <v>0</v>
      </c>
      <c r="N224" s="99">
        <v>0</v>
      </c>
      <c r="O224" s="99">
        <v>0</v>
      </c>
      <c r="P224" s="99">
        <v>0</v>
      </c>
      <c r="Q224" s="99">
        <v>0</v>
      </c>
      <c r="R224" s="99">
        <v>0</v>
      </c>
      <c r="S224">
        <v>28137</v>
      </c>
      <c r="T224">
        <v>1197</v>
      </c>
      <c r="U224">
        <v>0</v>
      </c>
      <c r="V224" s="99">
        <v>336</v>
      </c>
      <c r="W224" s="99">
        <v>11236</v>
      </c>
      <c r="X224" s="99">
        <v>225</v>
      </c>
      <c r="Y224" s="99">
        <v>0</v>
      </c>
      <c r="Z224" s="99">
        <v>0</v>
      </c>
      <c r="AA224" s="99">
        <v>0</v>
      </c>
      <c r="AB224" s="99">
        <v>0</v>
      </c>
      <c r="AC224" s="99">
        <v>0</v>
      </c>
      <c r="AD224" s="99">
        <v>0</v>
      </c>
    </row>
    <row r="225" spans="1:30" ht="15" x14ac:dyDescent="0.25">
      <c r="A225">
        <v>694</v>
      </c>
      <c r="B225" s="100" t="s">
        <v>351</v>
      </c>
      <c r="C225" s="99">
        <v>52287</v>
      </c>
      <c r="D225" s="99">
        <v>0</v>
      </c>
      <c r="E225" s="99">
        <v>0</v>
      </c>
      <c r="F225" s="99">
        <v>3472</v>
      </c>
      <c r="G225" s="99">
        <v>330</v>
      </c>
      <c r="H225" s="99">
        <v>7537</v>
      </c>
      <c r="I225" s="99">
        <v>1</v>
      </c>
      <c r="J225">
        <v>0</v>
      </c>
      <c r="K225">
        <v>0</v>
      </c>
      <c r="L225">
        <v>0</v>
      </c>
      <c r="M225" s="99">
        <v>0</v>
      </c>
      <c r="N225" s="99">
        <v>0</v>
      </c>
      <c r="O225" s="99">
        <v>0</v>
      </c>
      <c r="P225" s="99">
        <v>0</v>
      </c>
      <c r="Q225" s="99">
        <v>0</v>
      </c>
      <c r="R225" s="99">
        <v>0</v>
      </c>
      <c r="S225">
        <v>199055</v>
      </c>
      <c r="T225">
        <v>8525</v>
      </c>
      <c r="U225">
        <v>3472</v>
      </c>
      <c r="V225" s="99">
        <v>3458</v>
      </c>
      <c r="W225" s="99">
        <v>103885</v>
      </c>
      <c r="X225" s="99">
        <v>2124</v>
      </c>
      <c r="Y225" s="99">
        <v>7</v>
      </c>
      <c r="Z225" s="99">
        <v>49</v>
      </c>
      <c r="AA225" s="99">
        <v>0</v>
      </c>
      <c r="AB225" s="99">
        <v>62</v>
      </c>
      <c r="AC225" s="99">
        <v>1863</v>
      </c>
      <c r="AD225" s="99">
        <v>38</v>
      </c>
    </row>
    <row r="226" spans="1:30" ht="15" x14ac:dyDescent="0.25">
      <c r="A226">
        <v>697</v>
      </c>
      <c r="B226" s="100" t="s">
        <v>352</v>
      </c>
      <c r="C226" s="99">
        <v>4923</v>
      </c>
      <c r="D226" s="99">
        <v>0</v>
      </c>
      <c r="E226" s="99">
        <v>0</v>
      </c>
      <c r="F226" s="99">
        <v>73</v>
      </c>
      <c r="G226" s="99">
        <v>0</v>
      </c>
      <c r="H226" s="99">
        <v>3</v>
      </c>
      <c r="I226" s="99">
        <v>0</v>
      </c>
      <c r="J226">
        <v>0</v>
      </c>
      <c r="K226">
        <v>0</v>
      </c>
      <c r="L226">
        <v>0</v>
      </c>
      <c r="M226" s="99">
        <v>0</v>
      </c>
      <c r="N226" s="99">
        <v>0</v>
      </c>
      <c r="O226" s="99">
        <v>0</v>
      </c>
      <c r="P226" s="99">
        <v>0</v>
      </c>
      <c r="Q226" s="99">
        <v>0</v>
      </c>
      <c r="R226" s="99">
        <v>0</v>
      </c>
      <c r="S226">
        <v>15266</v>
      </c>
      <c r="T226">
        <v>559</v>
      </c>
      <c r="U226">
        <v>73</v>
      </c>
      <c r="V226" s="99">
        <v>117</v>
      </c>
      <c r="W226" s="99">
        <v>7174</v>
      </c>
      <c r="X226" s="99">
        <v>130</v>
      </c>
      <c r="Y226" s="99">
        <v>0</v>
      </c>
      <c r="Z226" s="99">
        <v>0</v>
      </c>
      <c r="AA226" s="99">
        <v>0</v>
      </c>
      <c r="AB226" s="99">
        <v>0</v>
      </c>
      <c r="AC226" s="99">
        <v>0</v>
      </c>
      <c r="AD226" s="99">
        <v>0</v>
      </c>
    </row>
    <row r="227" spans="1:30" ht="15" x14ac:dyDescent="0.25">
      <c r="A227">
        <v>698</v>
      </c>
      <c r="B227" s="100" t="s">
        <v>353</v>
      </c>
      <c r="C227" s="99">
        <v>110836</v>
      </c>
      <c r="D227" s="99">
        <v>0</v>
      </c>
      <c r="E227" s="99">
        <v>6006</v>
      </c>
      <c r="F227" s="99">
        <v>0</v>
      </c>
      <c r="G227" s="99">
        <v>1061</v>
      </c>
      <c r="H227" s="99">
        <v>29691</v>
      </c>
      <c r="I227" s="99">
        <v>59</v>
      </c>
      <c r="J227">
        <v>0</v>
      </c>
      <c r="K227">
        <v>0</v>
      </c>
      <c r="L227">
        <v>0</v>
      </c>
      <c r="M227" s="99">
        <v>0</v>
      </c>
      <c r="N227" s="99">
        <v>0</v>
      </c>
      <c r="O227" s="99">
        <v>0</v>
      </c>
      <c r="P227" s="99">
        <v>0</v>
      </c>
      <c r="Q227" s="99">
        <v>0</v>
      </c>
      <c r="R227" s="99">
        <v>0</v>
      </c>
      <c r="S227">
        <v>455921</v>
      </c>
      <c r="T227">
        <v>20152</v>
      </c>
      <c r="U227">
        <v>0</v>
      </c>
      <c r="V227" s="99">
        <v>7790</v>
      </c>
      <c r="W227" s="99">
        <v>237745</v>
      </c>
      <c r="X227" s="99">
        <v>4630</v>
      </c>
      <c r="Y227" s="99">
        <v>0</v>
      </c>
      <c r="Z227" s="99">
        <v>26</v>
      </c>
      <c r="AA227" s="99">
        <v>0</v>
      </c>
      <c r="AB227" s="99">
        <v>0</v>
      </c>
      <c r="AC227" s="99">
        <v>0</v>
      </c>
      <c r="AD227" s="99">
        <v>0</v>
      </c>
    </row>
    <row r="228" spans="1:30" ht="15" x14ac:dyDescent="0.25">
      <c r="A228">
        <v>700</v>
      </c>
      <c r="B228" s="100" t="s">
        <v>354</v>
      </c>
      <c r="C228" s="99">
        <v>9058</v>
      </c>
      <c r="D228" s="99">
        <v>0</v>
      </c>
      <c r="E228" s="99">
        <v>0</v>
      </c>
      <c r="F228" s="99">
        <v>0</v>
      </c>
      <c r="G228" s="99">
        <v>0</v>
      </c>
      <c r="H228" s="99">
        <v>37</v>
      </c>
      <c r="I228" s="99">
        <v>0</v>
      </c>
      <c r="J228">
        <v>0</v>
      </c>
      <c r="K228">
        <v>0</v>
      </c>
      <c r="L228">
        <v>0</v>
      </c>
      <c r="M228" s="99">
        <v>0</v>
      </c>
      <c r="N228" s="99">
        <v>0</v>
      </c>
      <c r="O228" s="99">
        <v>0</v>
      </c>
      <c r="P228" s="99">
        <v>0</v>
      </c>
      <c r="Q228" s="99">
        <v>0</v>
      </c>
      <c r="R228" s="99">
        <v>0</v>
      </c>
      <c r="S228">
        <v>40358</v>
      </c>
      <c r="T228">
        <v>2842</v>
      </c>
      <c r="U228">
        <v>0</v>
      </c>
      <c r="V228" s="99">
        <v>134</v>
      </c>
      <c r="W228" s="99">
        <v>20166</v>
      </c>
      <c r="X228" s="99">
        <v>0</v>
      </c>
      <c r="Y228" s="99">
        <v>0</v>
      </c>
      <c r="Z228" s="99">
        <v>0</v>
      </c>
      <c r="AA228" s="99">
        <v>0</v>
      </c>
      <c r="AB228" s="99">
        <v>0</v>
      </c>
      <c r="AC228" s="99">
        <v>0</v>
      </c>
      <c r="AD228" s="99">
        <v>0</v>
      </c>
    </row>
    <row r="229" spans="1:30" ht="15" x14ac:dyDescent="0.25">
      <c r="A229">
        <v>702</v>
      </c>
      <c r="B229" s="100" t="s">
        <v>355</v>
      </c>
      <c r="C229" s="99">
        <v>5667</v>
      </c>
      <c r="D229" s="99">
        <v>0</v>
      </c>
      <c r="E229" s="99">
        <v>0</v>
      </c>
      <c r="F229" s="99">
        <v>834</v>
      </c>
      <c r="G229" s="99">
        <v>105</v>
      </c>
      <c r="H229" s="99">
        <v>205</v>
      </c>
      <c r="I229" s="99">
        <v>0</v>
      </c>
      <c r="J229">
        <v>0</v>
      </c>
      <c r="K229">
        <v>0</v>
      </c>
      <c r="L229">
        <v>0</v>
      </c>
      <c r="M229" s="99">
        <v>0</v>
      </c>
      <c r="N229" s="99">
        <v>0</v>
      </c>
      <c r="O229" s="99">
        <v>0</v>
      </c>
      <c r="P229" s="99">
        <v>0</v>
      </c>
      <c r="Q229" s="99">
        <v>0</v>
      </c>
      <c r="R229" s="99">
        <v>0</v>
      </c>
      <c r="S229">
        <v>34302</v>
      </c>
      <c r="T229">
        <v>1257</v>
      </c>
      <c r="U229">
        <v>834</v>
      </c>
      <c r="V229" s="99">
        <v>188</v>
      </c>
      <c r="W229" s="99">
        <v>20783</v>
      </c>
      <c r="X229" s="99">
        <v>347</v>
      </c>
      <c r="Y229" s="99">
        <v>0</v>
      </c>
      <c r="Z229" s="99">
        <v>4</v>
      </c>
      <c r="AA229" s="99">
        <v>0</v>
      </c>
      <c r="AB229" s="99">
        <v>0</v>
      </c>
      <c r="AC229" s="99">
        <v>47</v>
      </c>
      <c r="AD229" s="99">
        <v>0</v>
      </c>
    </row>
    <row r="230" spans="1:30" ht="15" x14ac:dyDescent="0.25">
      <c r="A230">
        <v>704</v>
      </c>
      <c r="B230" s="100" t="s">
        <v>356</v>
      </c>
      <c r="C230" s="99">
        <v>7960</v>
      </c>
      <c r="D230" s="99">
        <v>0</v>
      </c>
      <c r="E230" s="99">
        <v>0</v>
      </c>
      <c r="F230" s="99">
        <v>379</v>
      </c>
      <c r="G230" s="99">
        <v>0</v>
      </c>
      <c r="H230" s="99">
        <v>6</v>
      </c>
      <c r="I230" s="99">
        <v>41</v>
      </c>
      <c r="J230">
        <v>0</v>
      </c>
      <c r="K230">
        <v>0</v>
      </c>
      <c r="L230">
        <v>0</v>
      </c>
      <c r="M230" s="99">
        <v>0</v>
      </c>
      <c r="N230" s="99">
        <v>0</v>
      </c>
      <c r="O230" s="99">
        <v>0</v>
      </c>
      <c r="P230" s="99">
        <v>0</v>
      </c>
      <c r="Q230" s="99">
        <v>0</v>
      </c>
      <c r="R230" s="99">
        <v>0</v>
      </c>
      <c r="S230">
        <v>34267</v>
      </c>
      <c r="T230">
        <v>1557</v>
      </c>
      <c r="U230">
        <v>377</v>
      </c>
      <c r="V230" s="99">
        <v>19</v>
      </c>
      <c r="W230" s="99">
        <v>14886</v>
      </c>
      <c r="X230" s="99">
        <v>493</v>
      </c>
      <c r="Y230" s="99">
        <v>0</v>
      </c>
      <c r="Z230" s="99">
        <v>0</v>
      </c>
      <c r="AA230" s="99">
        <v>0</v>
      </c>
      <c r="AB230" s="99">
        <v>0</v>
      </c>
      <c r="AC230" s="99">
        <v>4</v>
      </c>
      <c r="AD230" s="99">
        <v>0</v>
      </c>
    </row>
    <row r="231" spans="1:30" ht="15" x14ac:dyDescent="0.25">
      <c r="A231">
        <v>707</v>
      </c>
      <c r="B231" s="100" t="s">
        <v>357</v>
      </c>
      <c r="C231" s="99">
        <v>3537</v>
      </c>
      <c r="D231" s="99">
        <v>0</v>
      </c>
      <c r="E231" s="99">
        <v>0</v>
      </c>
      <c r="F231" s="99">
        <v>0</v>
      </c>
      <c r="G231" s="99">
        <v>96</v>
      </c>
      <c r="H231" s="99">
        <v>1063</v>
      </c>
      <c r="I231" s="99">
        <v>21</v>
      </c>
      <c r="J231">
        <v>0</v>
      </c>
      <c r="K231">
        <v>0</v>
      </c>
      <c r="L231">
        <v>0</v>
      </c>
      <c r="M231" s="99">
        <v>0</v>
      </c>
      <c r="N231" s="99">
        <v>0</v>
      </c>
      <c r="O231" s="99">
        <v>0</v>
      </c>
      <c r="P231" s="99">
        <v>0</v>
      </c>
      <c r="Q231" s="99">
        <v>0</v>
      </c>
      <c r="R231" s="99">
        <v>0</v>
      </c>
      <c r="S231">
        <v>19204</v>
      </c>
      <c r="T231">
        <v>517</v>
      </c>
      <c r="U231">
        <v>0</v>
      </c>
      <c r="V231" s="99">
        <v>344</v>
      </c>
      <c r="W231" s="99">
        <v>12221</v>
      </c>
      <c r="X231" s="99">
        <v>212</v>
      </c>
      <c r="Y231" s="99">
        <v>0</v>
      </c>
      <c r="Z231" s="99">
        <v>1</v>
      </c>
      <c r="AA231" s="99">
        <v>0</v>
      </c>
      <c r="AB231" s="99">
        <v>0</v>
      </c>
      <c r="AC231" s="99">
        <v>0</v>
      </c>
      <c r="AD231" s="99">
        <v>0</v>
      </c>
    </row>
    <row r="232" spans="1:30" ht="15" x14ac:dyDescent="0.25">
      <c r="A232">
        <v>710</v>
      </c>
      <c r="B232" s="100" t="s">
        <v>132</v>
      </c>
      <c r="C232" s="99">
        <v>53819</v>
      </c>
      <c r="D232" s="99">
        <v>0</v>
      </c>
      <c r="E232" s="99">
        <v>130</v>
      </c>
      <c r="F232" s="99">
        <v>0</v>
      </c>
      <c r="G232" s="99">
        <v>510</v>
      </c>
      <c r="H232" s="99">
        <v>13370</v>
      </c>
      <c r="I232" s="99">
        <v>0</v>
      </c>
      <c r="J232">
        <v>0</v>
      </c>
      <c r="K232">
        <v>0</v>
      </c>
      <c r="L232">
        <v>0</v>
      </c>
      <c r="M232" s="99">
        <v>0</v>
      </c>
      <c r="N232" s="99">
        <v>0</v>
      </c>
      <c r="O232" s="99">
        <v>0</v>
      </c>
      <c r="P232" s="99">
        <v>0</v>
      </c>
      <c r="Q232" s="99">
        <v>0</v>
      </c>
      <c r="R232" s="99">
        <v>0</v>
      </c>
      <c r="S232">
        <v>217165</v>
      </c>
      <c r="T232">
        <v>5919</v>
      </c>
      <c r="U232">
        <v>0</v>
      </c>
      <c r="V232" s="99">
        <v>3331</v>
      </c>
      <c r="W232" s="99">
        <v>116822</v>
      </c>
      <c r="X232" s="99">
        <v>1838</v>
      </c>
      <c r="Y232" s="99">
        <v>0</v>
      </c>
      <c r="Z232" s="99">
        <v>3</v>
      </c>
      <c r="AA232" s="99">
        <v>0</v>
      </c>
      <c r="AB232" s="99">
        <v>0</v>
      </c>
      <c r="AC232" s="99">
        <v>0</v>
      </c>
      <c r="AD232" s="99">
        <v>0</v>
      </c>
    </row>
    <row r="233" spans="1:30" ht="15" x14ac:dyDescent="0.25">
      <c r="A233">
        <v>729</v>
      </c>
      <c r="B233" s="100" t="s">
        <v>358</v>
      </c>
      <c r="C233" s="99">
        <v>15963</v>
      </c>
      <c r="D233" s="99">
        <v>0</v>
      </c>
      <c r="E233" s="99">
        <v>0</v>
      </c>
      <c r="F233" s="99">
        <v>925</v>
      </c>
      <c r="G233" s="99">
        <v>0</v>
      </c>
      <c r="H233" s="99">
        <v>316</v>
      </c>
      <c r="I233" s="99">
        <v>0</v>
      </c>
      <c r="J233">
        <v>0</v>
      </c>
      <c r="K233">
        <v>0</v>
      </c>
      <c r="L233">
        <v>0</v>
      </c>
      <c r="M233" s="99">
        <v>0</v>
      </c>
      <c r="N233" s="99">
        <v>0</v>
      </c>
      <c r="O233" s="99">
        <v>0</v>
      </c>
      <c r="P233" s="99">
        <v>0</v>
      </c>
      <c r="Q233" s="99">
        <v>0</v>
      </c>
      <c r="R233" s="99">
        <v>0</v>
      </c>
      <c r="S233">
        <v>72887</v>
      </c>
      <c r="T233">
        <v>4304</v>
      </c>
      <c r="U233">
        <v>926</v>
      </c>
      <c r="V233" s="99">
        <v>797</v>
      </c>
      <c r="W233" s="99">
        <v>39294</v>
      </c>
      <c r="X233" s="99">
        <v>838</v>
      </c>
      <c r="Y233" s="99">
        <v>0</v>
      </c>
      <c r="Z233" s="99">
        <v>0</v>
      </c>
      <c r="AA233" s="99">
        <v>0</v>
      </c>
      <c r="AB233" s="99">
        <v>0</v>
      </c>
      <c r="AC233" s="99">
        <v>0</v>
      </c>
      <c r="AD233" s="99">
        <v>19</v>
      </c>
    </row>
    <row r="234" spans="1:30" ht="15" x14ac:dyDescent="0.25">
      <c r="A234">
        <v>732</v>
      </c>
      <c r="B234" s="100" t="s">
        <v>359</v>
      </c>
      <c r="C234" s="99">
        <v>7052</v>
      </c>
      <c r="D234" s="99">
        <v>0</v>
      </c>
      <c r="E234" s="99">
        <v>0</v>
      </c>
      <c r="F234" s="99">
        <v>4376</v>
      </c>
      <c r="G234" s="99">
        <v>13</v>
      </c>
      <c r="H234" s="99">
        <v>3128</v>
      </c>
      <c r="I234" s="99">
        <v>0</v>
      </c>
      <c r="J234">
        <v>0</v>
      </c>
      <c r="K234">
        <v>0</v>
      </c>
      <c r="L234">
        <v>0</v>
      </c>
      <c r="M234" s="99">
        <v>0</v>
      </c>
      <c r="N234" s="99">
        <v>0</v>
      </c>
      <c r="O234" s="99">
        <v>0</v>
      </c>
      <c r="P234" s="99">
        <v>0</v>
      </c>
      <c r="Q234" s="99">
        <v>911</v>
      </c>
      <c r="R234" s="99">
        <v>0</v>
      </c>
      <c r="S234">
        <v>36755</v>
      </c>
      <c r="T234">
        <v>1297</v>
      </c>
      <c r="U234">
        <v>4376</v>
      </c>
      <c r="V234" s="99">
        <v>149</v>
      </c>
      <c r="W234" s="99">
        <v>22092</v>
      </c>
      <c r="X234" s="99">
        <v>350</v>
      </c>
      <c r="Y234" s="99">
        <v>0</v>
      </c>
      <c r="Z234" s="99">
        <v>155</v>
      </c>
      <c r="AA234" s="99">
        <v>0</v>
      </c>
      <c r="AB234" s="99">
        <v>0</v>
      </c>
      <c r="AC234" s="99">
        <v>2683</v>
      </c>
      <c r="AD234" s="99">
        <v>0</v>
      </c>
    </row>
    <row r="235" spans="1:30" ht="15" x14ac:dyDescent="0.25">
      <c r="A235">
        <v>734</v>
      </c>
      <c r="B235" s="100" t="s">
        <v>360</v>
      </c>
      <c r="C235" s="99">
        <v>92418</v>
      </c>
      <c r="D235" s="99">
        <v>0</v>
      </c>
      <c r="E235" s="99">
        <v>0</v>
      </c>
      <c r="F235" s="99">
        <v>4760</v>
      </c>
      <c r="G235" s="99">
        <v>461</v>
      </c>
      <c r="H235" s="99">
        <v>24178</v>
      </c>
      <c r="I235" s="99">
        <v>0</v>
      </c>
      <c r="J235">
        <v>0</v>
      </c>
      <c r="K235">
        <v>0</v>
      </c>
      <c r="L235">
        <v>0</v>
      </c>
      <c r="M235" s="99">
        <v>0</v>
      </c>
      <c r="N235" s="99">
        <v>0</v>
      </c>
      <c r="O235" s="99">
        <v>0</v>
      </c>
      <c r="P235" s="99">
        <v>0</v>
      </c>
      <c r="Q235" s="99">
        <v>1010</v>
      </c>
      <c r="R235" s="99">
        <v>0</v>
      </c>
      <c r="S235">
        <v>372315</v>
      </c>
      <c r="T235">
        <v>15320</v>
      </c>
      <c r="U235">
        <v>4762</v>
      </c>
      <c r="V235" s="99">
        <v>1725</v>
      </c>
      <c r="W235" s="99">
        <v>204371</v>
      </c>
      <c r="X235" s="99">
        <v>3915</v>
      </c>
      <c r="Y235" s="99">
        <v>0</v>
      </c>
      <c r="Z235" s="99">
        <v>594</v>
      </c>
      <c r="AA235" s="99">
        <v>0</v>
      </c>
      <c r="AB235" s="99">
        <v>32</v>
      </c>
      <c r="AC235" s="99">
        <v>2264</v>
      </c>
      <c r="AD235" s="99">
        <v>1</v>
      </c>
    </row>
    <row r="236" spans="1:30" ht="15" x14ac:dyDescent="0.25">
      <c r="A236">
        <v>738</v>
      </c>
      <c r="B236" s="100" t="s">
        <v>361</v>
      </c>
      <c r="C236" s="99">
        <v>2871</v>
      </c>
      <c r="D236" s="99">
        <v>0</v>
      </c>
      <c r="E236" s="99">
        <v>0</v>
      </c>
      <c r="F236" s="99">
        <v>176</v>
      </c>
      <c r="G236" s="99">
        <v>21</v>
      </c>
      <c r="H236" s="99">
        <v>636</v>
      </c>
      <c r="I236" s="99">
        <v>0</v>
      </c>
      <c r="J236">
        <v>0</v>
      </c>
      <c r="K236">
        <v>0</v>
      </c>
      <c r="L236">
        <v>0</v>
      </c>
      <c r="M236" s="99">
        <v>0</v>
      </c>
      <c r="N236" s="99">
        <v>0</v>
      </c>
      <c r="O236" s="99">
        <v>0</v>
      </c>
      <c r="P236" s="99">
        <v>0</v>
      </c>
      <c r="Q236" s="99">
        <v>0</v>
      </c>
      <c r="R236" s="99">
        <v>0</v>
      </c>
      <c r="S236">
        <v>18471</v>
      </c>
      <c r="T236">
        <v>360</v>
      </c>
      <c r="U236">
        <v>175</v>
      </c>
      <c r="V236" s="99">
        <v>157</v>
      </c>
      <c r="W236" s="99">
        <v>9981</v>
      </c>
      <c r="X236" s="99">
        <v>218</v>
      </c>
      <c r="Y236" s="99">
        <v>0</v>
      </c>
      <c r="Z236" s="99">
        <v>0</v>
      </c>
      <c r="AA236" s="99">
        <v>0</v>
      </c>
      <c r="AB236" s="99">
        <v>1</v>
      </c>
      <c r="AC236" s="99">
        <v>59</v>
      </c>
      <c r="AD236" s="99">
        <v>1</v>
      </c>
    </row>
    <row r="237" spans="1:30" ht="15" x14ac:dyDescent="0.25">
      <c r="A237">
        <v>739</v>
      </c>
      <c r="B237" s="100" t="s">
        <v>362</v>
      </c>
      <c r="C237" s="99">
        <v>7595</v>
      </c>
      <c r="D237" s="99">
        <v>0</v>
      </c>
      <c r="E237" s="99">
        <v>76</v>
      </c>
      <c r="F237" s="99">
        <v>1144</v>
      </c>
      <c r="G237" s="99">
        <v>22</v>
      </c>
      <c r="H237" s="99">
        <v>376</v>
      </c>
      <c r="I237" s="99">
        <v>0</v>
      </c>
      <c r="J237">
        <v>0</v>
      </c>
      <c r="K237">
        <v>0</v>
      </c>
      <c r="L237">
        <v>0</v>
      </c>
      <c r="M237" s="99">
        <v>0</v>
      </c>
      <c r="N237" s="99">
        <v>0</v>
      </c>
      <c r="O237" s="99">
        <v>0</v>
      </c>
      <c r="P237" s="99">
        <v>0</v>
      </c>
      <c r="Q237" s="99">
        <v>0</v>
      </c>
      <c r="R237" s="99">
        <v>0</v>
      </c>
      <c r="S237">
        <v>30408</v>
      </c>
      <c r="T237">
        <v>1099</v>
      </c>
      <c r="U237">
        <v>1144</v>
      </c>
      <c r="V237" s="99">
        <v>174</v>
      </c>
      <c r="W237" s="99">
        <v>16245</v>
      </c>
      <c r="X237" s="99">
        <v>279</v>
      </c>
      <c r="Y237" s="99">
        <v>0</v>
      </c>
      <c r="Z237" s="99">
        <v>0</v>
      </c>
      <c r="AA237" s="99">
        <v>0</v>
      </c>
      <c r="AB237" s="99">
        <v>0</v>
      </c>
      <c r="AC237" s="99">
        <v>0</v>
      </c>
      <c r="AD237" s="99">
        <v>17</v>
      </c>
    </row>
    <row r="238" spans="1:30" ht="15" x14ac:dyDescent="0.25">
      <c r="A238">
        <v>740</v>
      </c>
      <c r="B238" s="100" t="s">
        <v>363</v>
      </c>
      <c r="C238" s="99">
        <v>53478</v>
      </c>
      <c r="D238" s="99">
        <v>0</v>
      </c>
      <c r="E238" s="99">
        <v>0</v>
      </c>
      <c r="F238" s="99">
        <v>0</v>
      </c>
      <c r="G238" s="99">
        <v>1137</v>
      </c>
      <c r="H238" s="99">
        <v>5407</v>
      </c>
      <c r="I238" s="99">
        <v>1</v>
      </c>
      <c r="J238">
        <v>0</v>
      </c>
      <c r="K238">
        <v>0</v>
      </c>
      <c r="L238">
        <v>0</v>
      </c>
      <c r="M238" s="99">
        <v>0</v>
      </c>
      <c r="N238" s="99">
        <v>0</v>
      </c>
      <c r="O238" s="99">
        <v>0</v>
      </c>
      <c r="P238" s="99">
        <v>0</v>
      </c>
      <c r="Q238" s="99">
        <v>0</v>
      </c>
      <c r="R238" s="99">
        <v>0</v>
      </c>
      <c r="S238">
        <v>255267</v>
      </c>
      <c r="T238">
        <v>8926</v>
      </c>
      <c r="U238">
        <v>0</v>
      </c>
      <c r="V238" s="99">
        <v>3972</v>
      </c>
      <c r="W238" s="99">
        <v>148435</v>
      </c>
      <c r="X238" s="99">
        <v>3082</v>
      </c>
      <c r="Y238" s="99">
        <v>0</v>
      </c>
      <c r="Z238" s="99">
        <v>15</v>
      </c>
      <c r="AA238" s="99">
        <v>0</v>
      </c>
      <c r="AB238" s="99">
        <v>0</v>
      </c>
      <c r="AC238" s="99">
        <v>0</v>
      </c>
      <c r="AD238" s="99">
        <v>0</v>
      </c>
    </row>
    <row r="239" spans="1:30" ht="15" x14ac:dyDescent="0.25">
      <c r="A239">
        <v>742</v>
      </c>
      <c r="B239" s="100" t="s">
        <v>364</v>
      </c>
      <c r="C239" s="99">
        <v>1629</v>
      </c>
      <c r="D239" s="99">
        <v>0</v>
      </c>
      <c r="E239" s="99">
        <v>0</v>
      </c>
      <c r="F239" s="99">
        <v>1132</v>
      </c>
      <c r="G239" s="99">
        <v>26</v>
      </c>
      <c r="H239" s="99">
        <v>370</v>
      </c>
      <c r="I239" s="99">
        <v>0</v>
      </c>
      <c r="J239">
        <v>0</v>
      </c>
      <c r="K239">
        <v>0</v>
      </c>
      <c r="L239">
        <v>0</v>
      </c>
      <c r="M239" s="99">
        <v>0</v>
      </c>
      <c r="N239" s="99">
        <v>0</v>
      </c>
      <c r="O239" s="99">
        <v>0</v>
      </c>
      <c r="P239" s="99">
        <v>0</v>
      </c>
      <c r="Q239" s="99">
        <v>11</v>
      </c>
      <c r="R239" s="99">
        <v>0</v>
      </c>
      <c r="S239">
        <v>9520</v>
      </c>
      <c r="T239">
        <v>249</v>
      </c>
      <c r="U239">
        <v>1134</v>
      </c>
      <c r="V239" s="99">
        <v>224</v>
      </c>
      <c r="W239" s="99">
        <v>5266</v>
      </c>
      <c r="X239" s="99">
        <v>176</v>
      </c>
      <c r="Y239" s="99">
        <v>0</v>
      </c>
      <c r="Z239" s="99">
        <v>63</v>
      </c>
      <c r="AA239" s="99">
        <v>0</v>
      </c>
      <c r="AB239" s="99">
        <v>12</v>
      </c>
      <c r="AC239" s="99">
        <v>234</v>
      </c>
      <c r="AD239" s="99">
        <v>0</v>
      </c>
    </row>
    <row r="240" spans="1:30" ht="15" x14ac:dyDescent="0.25">
      <c r="A240">
        <v>743</v>
      </c>
      <c r="B240" s="100" t="s">
        <v>365</v>
      </c>
      <c r="C240" s="99">
        <v>107994</v>
      </c>
      <c r="D240" s="99">
        <v>0</v>
      </c>
      <c r="E240" s="99">
        <v>0</v>
      </c>
      <c r="F240" s="99">
        <v>0</v>
      </c>
      <c r="G240" s="99">
        <v>155</v>
      </c>
      <c r="H240" s="99">
        <v>27698</v>
      </c>
      <c r="I240" s="99">
        <v>11539</v>
      </c>
      <c r="J240">
        <v>0</v>
      </c>
      <c r="K240">
        <v>0</v>
      </c>
      <c r="L240">
        <v>0</v>
      </c>
      <c r="M240" s="99">
        <v>0</v>
      </c>
      <c r="N240" s="99">
        <v>0</v>
      </c>
      <c r="O240" s="99">
        <v>0</v>
      </c>
      <c r="P240" s="99">
        <v>0</v>
      </c>
      <c r="Q240" s="99">
        <v>0</v>
      </c>
      <c r="R240" s="99">
        <v>0</v>
      </c>
      <c r="S240">
        <v>427394</v>
      </c>
      <c r="T240">
        <v>17151</v>
      </c>
      <c r="U240">
        <v>0</v>
      </c>
      <c r="V240" s="99">
        <v>384</v>
      </c>
      <c r="W240" s="99">
        <v>213082</v>
      </c>
      <c r="X240" s="99">
        <v>15909</v>
      </c>
      <c r="Y240" s="99">
        <v>0</v>
      </c>
      <c r="Z240" s="99">
        <v>736</v>
      </c>
      <c r="AA240" s="99">
        <v>907</v>
      </c>
      <c r="AB240" s="99">
        <v>0</v>
      </c>
      <c r="AC240" s="99">
        <v>0</v>
      </c>
      <c r="AD240" s="99">
        <v>0</v>
      </c>
    </row>
    <row r="241" spans="1:30" ht="15" x14ac:dyDescent="0.25">
      <c r="A241">
        <v>746</v>
      </c>
      <c r="B241" s="100" t="s">
        <v>366</v>
      </c>
      <c r="C241" s="99">
        <v>6485</v>
      </c>
      <c r="D241" s="99">
        <v>0</v>
      </c>
      <c r="E241" s="99">
        <v>0</v>
      </c>
      <c r="F241" s="99">
        <v>0</v>
      </c>
      <c r="G241" s="99">
        <v>0</v>
      </c>
      <c r="H241" s="99">
        <v>0</v>
      </c>
      <c r="I241" s="99">
        <v>0</v>
      </c>
      <c r="J241">
        <v>0</v>
      </c>
      <c r="K241">
        <v>0</v>
      </c>
      <c r="L241">
        <v>0</v>
      </c>
      <c r="M241" s="99">
        <v>0</v>
      </c>
      <c r="N241" s="99">
        <v>0</v>
      </c>
      <c r="O241" s="99">
        <v>0</v>
      </c>
      <c r="P241" s="99">
        <v>0</v>
      </c>
      <c r="Q241" s="99">
        <v>0</v>
      </c>
      <c r="R241" s="99">
        <v>0</v>
      </c>
      <c r="S241">
        <v>38057</v>
      </c>
      <c r="T241">
        <v>664</v>
      </c>
      <c r="U241">
        <v>2</v>
      </c>
      <c r="V241" s="99">
        <v>180</v>
      </c>
      <c r="W241" s="99">
        <v>19167</v>
      </c>
      <c r="X241" s="99">
        <v>437</v>
      </c>
      <c r="Y241" s="99">
        <v>0</v>
      </c>
      <c r="Z241" s="99">
        <v>0</v>
      </c>
      <c r="AA241" s="99">
        <v>0</v>
      </c>
      <c r="AB241" s="99">
        <v>0</v>
      </c>
      <c r="AC241" s="99">
        <v>0</v>
      </c>
      <c r="AD241" s="99">
        <v>0</v>
      </c>
    </row>
    <row r="242" spans="1:30" ht="15" x14ac:dyDescent="0.25">
      <c r="A242">
        <v>747</v>
      </c>
      <c r="B242" s="100" t="s">
        <v>367</v>
      </c>
      <c r="C242" s="99">
        <v>1824</v>
      </c>
      <c r="D242" s="99">
        <v>0</v>
      </c>
      <c r="E242" s="99">
        <v>0</v>
      </c>
      <c r="F242" s="99">
        <v>539</v>
      </c>
      <c r="G242" s="99">
        <v>25</v>
      </c>
      <c r="H242" s="99">
        <v>59</v>
      </c>
      <c r="I242" s="99">
        <v>6</v>
      </c>
      <c r="J242">
        <v>0</v>
      </c>
      <c r="K242">
        <v>0</v>
      </c>
      <c r="L242">
        <v>0</v>
      </c>
      <c r="M242" s="99">
        <v>0</v>
      </c>
      <c r="N242" s="99">
        <v>0</v>
      </c>
      <c r="O242" s="99">
        <v>0</v>
      </c>
      <c r="P242" s="99">
        <v>0</v>
      </c>
      <c r="Q242" s="99">
        <v>0</v>
      </c>
      <c r="R242" s="99">
        <v>0</v>
      </c>
      <c r="S242">
        <v>11582</v>
      </c>
      <c r="T242">
        <v>574</v>
      </c>
      <c r="U242">
        <v>539</v>
      </c>
      <c r="V242" s="99">
        <v>74</v>
      </c>
      <c r="W242" s="99">
        <v>6588</v>
      </c>
      <c r="X242" s="99">
        <v>204</v>
      </c>
      <c r="Y242" s="99">
        <v>0</v>
      </c>
      <c r="Z242" s="99">
        <v>0</v>
      </c>
      <c r="AA242" s="99">
        <v>0</v>
      </c>
      <c r="AB242" s="99">
        <v>0</v>
      </c>
      <c r="AC242" s="99">
        <v>0</v>
      </c>
      <c r="AD242" s="99">
        <v>20</v>
      </c>
    </row>
    <row r="243" spans="1:30" ht="15" x14ac:dyDescent="0.25">
      <c r="A243">
        <v>748</v>
      </c>
      <c r="B243" s="100" t="s">
        <v>368</v>
      </c>
      <c r="C243" s="99">
        <v>6892</v>
      </c>
      <c r="D243" s="99">
        <v>0</v>
      </c>
      <c r="E243" s="99">
        <v>0</v>
      </c>
      <c r="F243" s="99">
        <v>100</v>
      </c>
      <c r="G243" s="99">
        <v>116</v>
      </c>
      <c r="H243" s="99">
        <v>171</v>
      </c>
      <c r="I243" s="99">
        <v>0</v>
      </c>
      <c r="J243">
        <v>0</v>
      </c>
      <c r="K243">
        <v>0</v>
      </c>
      <c r="L243">
        <v>0</v>
      </c>
      <c r="M243" s="99">
        <v>0</v>
      </c>
      <c r="N243" s="99">
        <v>0</v>
      </c>
      <c r="O243" s="99">
        <v>0</v>
      </c>
      <c r="P243" s="99">
        <v>0</v>
      </c>
      <c r="Q243" s="99">
        <v>49</v>
      </c>
      <c r="R243" s="99">
        <v>0</v>
      </c>
      <c r="S243">
        <v>39322</v>
      </c>
      <c r="T243">
        <v>1037</v>
      </c>
      <c r="U243">
        <v>100</v>
      </c>
      <c r="V243" s="99">
        <v>477</v>
      </c>
      <c r="W243" s="99">
        <v>18556</v>
      </c>
      <c r="X243" s="99">
        <v>443</v>
      </c>
      <c r="Y243" s="99">
        <v>0</v>
      </c>
      <c r="Z243" s="99">
        <v>0</v>
      </c>
      <c r="AA243" s="99">
        <v>0</v>
      </c>
      <c r="AB243" s="99">
        <v>0</v>
      </c>
      <c r="AC243" s="99">
        <v>0</v>
      </c>
      <c r="AD243" s="99">
        <v>0</v>
      </c>
    </row>
    <row r="244" spans="1:30" ht="15" x14ac:dyDescent="0.25">
      <c r="A244">
        <v>749</v>
      </c>
      <c r="B244" s="100" t="s">
        <v>369</v>
      </c>
      <c r="C244" s="99">
        <v>37310</v>
      </c>
      <c r="D244" s="99">
        <v>0</v>
      </c>
      <c r="E244" s="99">
        <v>175</v>
      </c>
      <c r="F244" s="99">
        <v>2511</v>
      </c>
      <c r="G244" s="99">
        <v>700</v>
      </c>
      <c r="H244" s="99">
        <v>8341</v>
      </c>
      <c r="I244" s="99">
        <v>0</v>
      </c>
      <c r="J244">
        <v>0</v>
      </c>
      <c r="K244">
        <v>0</v>
      </c>
      <c r="L244">
        <v>0</v>
      </c>
      <c r="M244" s="99">
        <v>0</v>
      </c>
      <c r="N244" s="99">
        <v>0</v>
      </c>
      <c r="O244" s="99">
        <v>0</v>
      </c>
      <c r="P244" s="99">
        <v>0</v>
      </c>
      <c r="Q244" s="99">
        <v>72</v>
      </c>
      <c r="R244" s="99">
        <v>0</v>
      </c>
      <c r="S244">
        <v>143272</v>
      </c>
      <c r="T244">
        <v>5894</v>
      </c>
      <c r="U244">
        <v>2511</v>
      </c>
      <c r="V244" s="99">
        <v>2126</v>
      </c>
      <c r="W244" s="99">
        <v>69386</v>
      </c>
      <c r="X244" s="99">
        <v>1535</v>
      </c>
      <c r="Y244" s="99">
        <v>0</v>
      </c>
      <c r="Z244" s="99">
        <v>306</v>
      </c>
      <c r="AA244" s="99">
        <v>0</v>
      </c>
      <c r="AB244" s="99">
        <v>15</v>
      </c>
      <c r="AC244" s="99">
        <v>2250</v>
      </c>
      <c r="AD244" s="99">
        <v>0</v>
      </c>
    </row>
    <row r="245" spans="1:30" ht="15" x14ac:dyDescent="0.25">
      <c r="A245">
        <v>751</v>
      </c>
      <c r="B245" s="100" t="s">
        <v>370</v>
      </c>
      <c r="C245" s="99">
        <v>4099</v>
      </c>
      <c r="D245" s="99">
        <v>0</v>
      </c>
      <c r="E245" s="99">
        <v>0</v>
      </c>
      <c r="F245" s="99">
        <v>0</v>
      </c>
      <c r="G245" s="99">
        <v>0</v>
      </c>
      <c r="H245" s="99">
        <v>32</v>
      </c>
      <c r="I245" s="99">
        <v>84</v>
      </c>
      <c r="J245">
        <v>0</v>
      </c>
      <c r="K245">
        <v>0</v>
      </c>
      <c r="L245">
        <v>0</v>
      </c>
      <c r="M245" s="99">
        <v>0</v>
      </c>
      <c r="N245" s="99">
        <v>0</v>
      </c>
      <c r="O245" s="99">
        <v>0</v>
      </c>
      <c r="P245" s="99">
        <v>0</v>
      </c>
      <c r="Q245" s="99">
        <v>0</v>
      </c>
      <c r="R245" s="99">
        <v>0</v>
      </c>
      <c r="S245">
        <v>24057</v>
      </c>
      <c r="T245">
        <v>817</v>
      </c>
      <c r="U245">
        <v>0</v>
      </c>
      <c r="V245" s="99">
        <v>110</v>
      </c>
      <c r="W245" s="99">
        <v>12564</v>
      </c>
      <c r="X245" s="99">
        <v>376</v>
      </c>
      <c r="Y245" s="99">
        <v>0</v>
      </c>
      <c r="Z245" s="99">
        <v>0</v>
      </c>
      <c r="AA245" s="99">
        <v>14</v>
      </c>
      <c r="AB245" s="99">
        <v>0</v>
      </c>
      <c r="AC245" s="99">
        <v>0</v>
      </c>
      <c r="AD245" s="99">
        <v>0</v>
      </c>
    </row>
    <row r="246" spans="1:30" ht="15" x14ac:dyDescent="0.25">
      <c r="A246">
        <v>753</v>
      </c>
      <c r="B246" s="100" t="s">
        <v>371</v>
      </c>
      <c r="C246" s="99">
        <v>50146</v>
      </c>
      <c r="D246" s="99">
        <v>0</v>
      </c>
      <c r="E246" s="99">
        <v>0</v>
      </c>
      <c r="F246" s="99">
        <v>0</v>
      </c>
      <c r="G246" s="99">
        <v>2</v>
      </c>
      <c r="H246" s="99">
        <v>5316</v>
      </c>
      <c r="I246" s="99">
        <v>0</v>
      </c>
      <c r="J246">
        <v>0</v>
      </c>
      <c r="K246">
        <v>0</v>
      </c>
      <c r="L246">
        <v>0</v>
      </c>
      <c r="M246" s="99">
        <v>0</v>
      </c>
      <c r="N246" s="99">
        <v>0</v>
      </c>
      <c r="O246" s="99">
        <v>0</v>
      </c>
      <c r="P246" s="99">
        <v>0</v>
      </c>
      <c r="Q246" s="99">
        <v>0</v>
      </c>
      <c r="R246" s="99">
        <v>0</v>
      </c>
      <c r="S246">
        <v>136253</v>
      </c>
      <c r="T246">
        <v>8312</v>
      </c>
      <c r="U246">
        <v>0</v>
      </c>
      <c r="V246" s="99">
        <v>159</v>
      </c>
      <c r="W246" s="99">
        <v>55777</v>
      </c>
      <c r="X246" s="99">
        <v>2291</v>
      </c>
      <c r="Y246" s="99">
        <v>0</v>
      </c>
      <c r="Z246" s="99">
        <v>32</v>
      </c>
      <c r="AA246" s="99">
        <v>0</v>
      </c>
      <c r="AB246" s="99">
        <v>0</v>
      </c>
      <c r="AC246" s="99">
        <v>0</v>
      </c>
      <c r="AD246" s="99">
        <v>0</v>
      </c>
    </row>
    <row r="247" spans="1:30" ht="15" x14ac:dyDescent="0.25">
      <c r="A247">
        <v>755</v>
      </c>
      <c r="B247" s="100" t="s">
        <v>372</v>
      </c>
      <c r="C247" s="99">
        <v>9095</v>
      </c>
      <c r="D247" s="99">
        <v>0</v>
      </c>
      <c r="E247" s="99">
        <v>0</v>
      </c>
      <c r="F247" s="99">
        <v>0</v>
      </c>
      <c r="G247" s="99">
        <v>0</v>
      </c>
      <c r="H247" s="99">
        <v>1454</v>
      </c>
      <c r="I247" s="99">
        <v>0</v>
      </c>
      <c r="J247">
        <v>0</v>
      </c>
      <c r="K247">
        <v>0</v>
      </c>
      <c r="L247">
        <v>0</v>
      </c>
      <c r="M247" s="99">
        <v>0</v>
      </c>
      <c r="N247" s="99">
        <v>0</v>
      </c>
      <c r="O247" s="99">
        <v>0</v>
      </c>
      <c r="P247" s="99">
        <v>0</v>
      </c>
      <c r="Q247" s="99">
        <v>0</v>
      </c>
      <c r="R247" s="99">
        <v>0</v>
      </c>
      <c r="S247">
        <v>40155</v>
      </c>
      <c r="T247">
        <v>1921</v>
      </c>
      <c r="U247">
        <v>0</v>
      </c>
      <c r="V247" s="99">
        <v>154</v>
      </c>
      <c r="W247" s="99">
        <v>18053</v>
      </c>
      <c r="X247" s="99">
        <v>396</v>
      </c>
      <c r="Y247" s="99">
        <v>0</v>
      </c>
      <c r="Z247" s="99">
        <v>26</v>
      </c>
      <c r="AA247" s="99">
        <v>1</v>
      </c>
      <c r="AB247" s="99">
        <v>0</v>
      </c>
      <c r="AC247" s="99">
        <v>0</v>
      </c>
      <c r="AD247" s="99">
        <v>0</v>
      </c>
    </row>
    <row r="248" spans="1:30" ht="15" x14ac:dyDescent="0.25">
      <c r="A248">
        <v>758</v>
      </c>
      <c r="B248" s="100" t="s">
        <v>373</v>
      </c>
      <c r="C248" s="99">
        <v>15304</v>
      </c>
      <c r="D248" s="99">
        <v>0</v>
      </c>
      <c r="E248" s="99">
        <v>0</v>
      </c>
      <c r="F248" s="99">
        <v>1542</v>
      </c>
      <c r="G248" s="99">
        <v>256</v>
      </c>
      <c r="H248" s="99">
        <v>5121</v>
      </c>
      <c r="I248" s="99">
        <v>0</v>
      </c>
      <c r="J248">
        <v>0</v>
      </c>
      <c r="K248">
        <v>0</v>
      </c>
      <c r="L248">
        <v>0</v>
      </c>
      <c r="M248" s="99">
        <v>0</v>
      </c>
      <c r="N248" s="99">
        <v>0</v>
      </c>
      <c r="O248" s="99">
        <v>0</v>
      </c>
      <c r="P248" s="99">
        <v>0</v>
      </c>
      <c r="Q248" s="99">
        <v>0</v>
      </c>
      <c r="R248" s="99">
        <v>0</v>
      </c>
      <c r="S248">
        <v>73273</v>
      </c>
      <c r="T248">
        <v>3660</v>
      </c>
      <c r="U248">
        <v>1465</v>
      </c>
      <c r="V248" s="99">
        <v>1138</v>
      </c>
      <c r="W248" s="99">
        <v>39263</v>
      </c>
      <c r="X248" s="99">
        <v>727</v>
      </c>
      <c r="Y248" s="99">
        <v>0</v>
      </c>
      <c r="Z248" s="99">
        <v>151</v>
      </c>
      <c r="AA248" s="99">
        <v>102</v>
      </c>
      <c r="AB248" s="99">
        <v>24</v>
      </c>
      <c r="AC248" s="99">
        <v>815</v>
      </c>
      <c r="AD248" s="99">
        <v>15</v>
      </c>
    </row>
    <row r="249" spans="1:30" ht="15" x14ac:dyDescent="0.25">
      <c r="A249">
        <v>759</v>
      </c>
      <c r="B249" s="100" t="s">
        <v>374</v>
      </c>
      <c r="C249" s="99">
        <v>15643</v>
      </c>
      <c r="D249" s="99">
        <v>0</v>
      </c>
      <c r="E249" s="99">
        <v>0</v>
      </c>
      <c r="F249" s="99">
        <v>0</v>
      </c>
      <c r="G249" s="99">
        <v>0</v>
      </c>
      <c r="H249" s="99">
        <v>11</v>
      </c>
      <c r="I249" s="99">
        <v>0</v>
      </c>
      <c r="J249">
        <v>0</v>
      </c>
      <c r="K249">
        <v>0</v>
      </c>
      <c r="L249">
        <v>0</v>
      </c>
      <c r="M249" s="99">
        <v>0</v>
      </c>
      <c r="N249" s="99">
        <v>0</v>
      </c>
      <c r="O249" s="99">
        <v>0</v>
      </c>
      <c r="P249" s="99">
        <v>0</v>
      </c>
      <c r="Q249" s="99">
        <v>0</v>
      </c>
      <c r="R249" s="99">
        <v>0</v>
      </c>
      <c r="S249">
        <v>28868</v>
      </c>
      <c r="T249">
        <v>507</v>
      </c>
      <c r="U249">
        <v>0</v>
      </c>
      <c r="V249" s="99">
        <v>75</v>
      </c>
      <c r="W249" s="99">
        <v>8947</v>
      </c>
      <c r="X249" s="99">
        <v>191</v>
      </c>
      <c r="Y249" s="99">
        <v>0</v>
      </c>
      <c r="Z249" s="99">
        <v>0</v>
      </c>
      <c r="AA249" s="99">
        <v>0</v>
      </c>
      <c r="AB249" s="99">
        <v>0</v>
      </c>
      <c r="AC249" s="99">
        <v>0</v>
      </c>
      <c r="AD249" s="99">
        <v>0</v>
      </c>
    </row>
    <row r="250" spans="1:30" ht="15" x14ac:dyDescent="0.25">
      <c r="A250">
        <v>761</v>
      </c>
      <c r="B250" s="100" t="s">
        <v>375</v>
      </c>
      <c r="C250" s="99">
        <v>17452</v>
      </c>
      <c r="D250" s="99">
        <v>0</v>
      </c>
      <c r="E250" s="99">
        <v>0</v>
      </c>
      <c r="F250" s="99">
        <v>0</v>
      </c>
      <c r="G250" s="99">
        <v>242</v>
      </c>
      <c r="H250" s="99">
        <v>5243</v>
      </c>
      <c r="I250" s="99">
        <v>20</v>
      </c>
      <c r="J250">
        <v>0</v>
      </c>
      <c r="K250">
        <v>0</v>
      </c>
      <c r="L250">
        <v>0</v>
      </c>
      <c r="M250" s="99">
        <v>0</v>
      </c>
      <c r="N250" s="99">
        <v>0</v>
      </c>
      <c r="O250" s="99">
        <v>0</v>
      </c>
      <c r="P250" s="99">
        <v>0</v>
      </c>
      <c r="Q250" s="99">
        <v>0</v>
      </c>
      <c r="R250" s="99">
        <v>0</v>
      </c>
      <c r="S250">
        <v>65923</v>
      </c>
      <c r="T250">
        <v>2442</v>
      </c>
      <c r="U250">
        <v>0</v>
      </c>
      <c r="V250" s="99">
        <v>503</v>
      </c>
      <c r="W250" s="99">
        <v>37144</v>
      </c>
      <c r="X250" s="99">
        <v>656</v>
      </c>
      <c r="Y250" s="99">
        <v>1</v>
      </c>
      <c r="Z250" s="99">
        <v>95</v>
      </c>
      <c r="AA250" s="99">
        <v>0</v>
      </c>
      <c r="AB250" s="99">
        <v>0</v>
      </c>
      <c r="AC250" s="99">
        <v>0</v>
      </c>
      <c r="AD250" s="99">
        <v>0</v>
      </c>
    </row>
    <row r="251" spans="1:30" ht="15" x14ac:dyDescent="0.25">
      <c r="A251">
        <v>762</v>
      </c>
      <c r="B251" s="100" t="s">
        <v>376</v>
      </c>
      <c r="C251" s="99">
        <v>5518</v>
      </c>
      <c r="D251" s="99">
        <v>0</v>
      </c>
      <c r="E251" s="99">
        <v>29</v>
      </c>
      <c r="F251" s="99">
        <v>243</v>
      </c>
      <c r="G251" s="99">
        <v>161</v>
      </c>
      <c r="H251" s="99">
        <v>296</v>
      </c>
      <c r="I251" s="99">
        <v>0</v>
      </c>
      <c r="J251">
        <v>0</v>
      </c>
      <c r="K251">
        <v>0</v>
      </c>
      <c r="L251">
        <v>0</v>
      </c>
      <c r="M251" s="99">
        <v>13</v>
      </c>
      <c r="N251" s="99">
        <v>13</v>
      </c>
      <c r="O251" s="99">
        <v>0</v>
      </c>
      <c r="P251" s="99">
        <v>0</v>
      </c>
      <c r="Q251" s="99">
        <v>0</v>
      </c>
      <c r="R251" s="99">
        <v>0</v>
      </c>
      <c r="S251">
        <v>31794</v>
      </c>
      <c r="T251">
        <v>1804</v>
      </c>
      <c r="U251">
        <v>243</v>
      </c>
      <c r="V251" s="99">
        <v>793</v>
      </c>
      <c r="W251" s="99">
        <v>18433</v>
      </c>
      <c r="X251" s="99">
        <v>372</v>
      </c>
      <c r="Y251" s="99">
        <v>0</v>
      </c>
      <c r="Z251" s="99">
        <v>0</v>
      </c>
      <c r="AA251" s="99">
        <v>0</v>
      </c>
      <c r="AB251" s="99">
        <v>10</v>
      </c>
      <c r="AC251" s="99">
        <v>10</v>
      </c>
      <c r="AD251" s="99">
        <v>0</v>
      </c>
    </row>
    <row r="252" spans="1:30" ht="15" x14ac:dyDescent="0.25">
      <c r="A252">
        <v>765</v>
      </c>
      <c r="B252" s="100" t="s">
        <v>377</v>
      </c>
      <c r="C252" s="99">
        <v>15238</v>
      </c>
      <c r="D252" s="99">
        <v>0</v>
      </c>
      <c r="E252" s="99">
        <v>0</v>
      </c>
      <c r="F252" s="99">
        <v>433</v>
      </c>
      <c r="G252" s="99">
        <v>0</v>
      </c>
      <c r="H252" s="99">
        <v>19</v>
      </c>
      <c r="I252" s="99">
        <v>0</v>
      </c>
      <c r="J252">
        <v>0</v>
      </c>
      <c r="K252">
        <v>0</v>
      </c>
      <c r="L252">
        <v>0</v>
      </c>
      <c r="M252" s="99">
        <v>0</v>
      </c>
      <c r="N252" s="99">
        <v>0</v>
      </c>
      <c r="O252" s="99">
        <v>0</v>
      </c>
      <c r="P252" s="99">
        <v>0</v>
      </c>
      <c r="Q252" s="99">
        <v>0</v>
      </c>
      <c r="R252" s="99">
        <v>0</v>
      </c>
      <c r="S252">
        <v>80647</v>
      </c>
      <c r="T252">
        <v>2583</v>
      </c>
      <c r="U252">
        <v>433</v>
      </c>
      <c r="V252" s="99">
        <v>130</v>
      </c>
      <c r="W252" s="99">
        <v>37348</v>
      </c>
      <c r="X252" s="99">
        <v>931</v>
      </c>
      <c r="Y252" s="99">
        <v>0</v>
      </c>
      <c r="Z252" s="99">
        <v>0</v>
      </c>
      <c r="AA252" s="99">
        <v>0</v>
      </c>
      <c r="AB252" s="99">
        <v>0</v>
      </c>
      <c r="AC252" s="99">
        <v>0</v>
      </c>
      <c r="AD252" s="99">
        <v>12</v>
      </c>
    </row>
    <row r="253" spans="1:30" ht="15" x14ac:dyDescent="0.25">
      <c r="A253">
        <v>768</v>
      </c>
      <c r="B253" s="100" t="s">
        <v>378</v>
      </c>
      <c r="C253" s="99">
        <v>3026</v>
      </c>
      <c r="D253" s="99">
        <v>0</v>
      </c>
      <c r="E253" s="99">
        <v>0</v>
      </c>
      <c r="F253" s="99">
        <v>0</v>
      </c>
      <c r="G253" s="99">
        <v>4</v>
      </c>
      <c r="H253" s="99">
        <v>948</v>
      </c>
      <c r="I253" s="99">
        <v>41</v>
      </c>
      <c r="J253">
        <v>0</v>
      </c>
      <c r="K253">
        <v>0</v>
      </c>
      <c r="L253">
        <v>0</v>
      </c>
      <c r="M253" s="99">
        <v>0</v>
      </c>
      <c r="N253" s="99">
        <v>0</v>
      </c>
      <c r="O253" s="99">
        <v>0</v>
      </c>
      <c r="P253" s="99">
        <v>0</v>
      </c>
      <c r="Q253" s="99">
        <v>0</v>
      </c>
      <c r="R253" s="99">
        <v>0</v>
      </c>
      <c r="S253">
        <v>21917</v>
      </c>
      <c r="T253">
        <v>416</v>
      </c>
      <c r="U253">
        <v>0</v>
      </c>
      <c r="V253" s="99">
        <v>151</v>
      </c>
      <c r="W253" s="99">
        <v>14104</v>
      </c>
      <c r="X253" s="99">
        <v>279</v>
      </c>
      <c r="Y253" s="99">
        <v>0</v>
      </c>
      <c r="Z253" s="99">
        <v>78</v>
      </c>
      <c r="AA253" s="99">
        <v>1</v>
      </c>
      <c r="AB253" s="99">
        <v>0</v>
      </c>
      <c r="AC253" s="99">
        <v>0</v>
      </c>
      <c r="AD253" s="99">
        <v>0</v>
      </c>
    </row>
    <row r="254" spans="1:30" ht="15" x14ac:dyDescent="0.25">
      <c r="A254">
        <v>777</v>
      </c>
      <c r="B254" s="100" t="s">
        <v>379</v>
      </c>
      <c r="C254" s="99">
        <v>13101</v>
      </c>
      <c r="D254" s="99">
        <v>0</v>
      </c>
      <c r="E254" s="99">
        <v>0</v>
      </c>
      <c r="F254" s="99">
        <v>0</v>
      </c>
      <c r="G254" s="99">
        <v>0</v>
      </c>
      <c r="H254" s="99">
        <v>267</v>
      </c>
      <c r="I254" s="99">
        <v>0</v>
      </c>
      <c r="J254">
        <v>0</v>
      </c>
      <c r="K254">
        <v>0</v>
      </c>
      <c r="L254">
        <v>0</v>
      </c>
      <c r="M254" s="99">
        <v>0</v>
      </c>
      <c r="N254" s="99">
        <v>0</v>
      </c>
      <c r="O254" s="99">
        <v>0</v>
      </c>
      <c r="P254" s="99">
        <v>0</v>
      </c>
      <c r="Q254" s="99">
        <v>0</v>
      </c>
      <c r="R254" s="99">
        <v>0</v>
      </c>
      <c r="S254">
        <v>70815</v>
      </c>
      <c r="T254">
        <v>3220</v>
      </c>
      <c r="U254">
        <v>0</v>
      </c>
      <c r="V254" s="99">
        <v>133</v>
      </c>
      <c r="W254" s="99">
        <v>39698</v>
      </c>
      <c r="X254" s="99">
        <v>733</v>
      </c>
      <c r="Y254" s="99">
        <v>0</v>
      </c>
      <c r="Z254" s="99">
        <v>0</v>
      </c>
      <c r="AA254" s="99">
        <v>0</v>
      </c>
      <c r="AB254" s="99">
        <v>0</v>
      </c>
      <c r="AC254" s="99">
        <v>0</v>
      </c>
      <c r="AD254" s="99">
        <v>0</v>
      </c>
    </row>
    <row r="255" spans="1:30" ht="15" x14ac:dyDescent="0.25">
      <c r="A255">
        <v>778</v>
      </c>
      <c r="B255" s="100" t="s">
        <v>380</v>
      </c>
      <c r="C255" s="99">
        <v>10457</v>
      </c>
      <c r="D255" s="99">
        <v>0</v>
      </c>
      <c r="E255" s="99">
        <v>67</v>
      </c>
      <c r="F255" s="99">
        <v>657</v>
      </c>
      <c r="G255" s="99">
        <v>31</v>
      </c>
      <c r="H255" s="99">
        <v>2952</v>
      </c>
      <c r="I255" s="99">
        <v>0</v>
      </c>
      <c r="J255">
        <v>0</v>
      </c>
      <c r="K255">
        <v>0</v>
      </c>
      <c r="L255">
        <v>0</v>
      </c>
      <c r="M255" s="99">
        <v>0</v>
      </c>
      <c r="N255" s="99">
        <v>0</v>
      </c>
      <c r="O255" s="99">
        <v>0</v>
      </c>
      <c r="P255" s="99">
        <v>0</v>
      </c>
      <c r="Q255" s="99">
        <v>26</v>
      </c>
      <c r="R255" s="99">
        <v>0</v>
      </c>
      <c r="S255">
        <v>54115</v>
      </c>
      <c r="T255">
        <v>3060</v>
      </c>
      <c r="U255">
        <v>657</v>
      </c>
      <c r="V255" s="99">
        <v>74</v>
      </c>
      <c r="W255" s="99">
        <v>33299</v>
      </c>
      <c r="X255" s="99">
        <v>581</v>
      </c>
      <c r="Y255" s="99">
        <v>0</v>
      </c>
      <c r="Z255" s="99">
        <v>158</v>
      </c>
      <c r="AA255" s="99">
        <v>0</v>
      </c>
      <c r="AB255" s="99">
        <v>1</v>
      </c>
      <c r="AC255" s="99">
        <v>316</v>
      </c>
      <c r="AD255" s="99">
        <v>0</v>
      </c>
    </row>
    <row r="256" spans="1:30" ht="15" x14ac:dyDescent="0.25">
      <c r="A256">
        <v>781</v>
      </c>
      <c r="B256" s="100" t="s">
        <v>381</v>
      </c>
      <c r="C256" s="99">
        <v>11426</v>
      </c>
      <c r="D256" s="99">
        <v>0</v>
      </c>
      <c r="E256" s="99">
        <v>3</v>
      </c>
      <c r="F256" s="99">
        <v>281</v>
      </c>
      <c r="G256" s="99">
        <v>0</v>
      </c>
      <c r="H256" s="99">
        <v>0</v>
      </c>
      <c r="I256" s="99">
        <v>0</v>
      </c>
      <c r="J256">
        <v>0</v>
      </c>
      <c r="K256">
        <v>0</v>
      </c>
      <c r="L256">
        <v>0</v>
      </c>
      <c r="M256" s="99">
        <v>0</v>
      </c>
      <c r="N256" s="99">
        <v>0</v>
      </c>
      <c r="O256" s="99">
        <v>0</v>
      </c>
      <c r="P256" s="99">
        <v>0</v>
      </c>
      <c r="Q256" s="99">
        <v>0</v>
      </c>
      <c r="R256" s="99">
        <v>0</v>
      </c>
      <c r="S256">
        <v>35229</v>
      </c>
      <c r="T256">
        <v>929</v>
      </c>
      <c r="U256">
        <v>275</v>
      </c>
      <c r="V256" s="99">
        <v>496</v>
      </c>
      <c r="W256" s="99">
        <v>16010</v>
      </c>
      <c r="X256" s="99">
        <v>282</v>
      </c>
      <c r="Y256" s="99">
        <v>0</v>
      </c>
      <c r="Z256" s="99">
        <v>0</v>
      </c>
      <c r="AA256" s="99">
        <v>0</v>
      </c>
      <c r="AB256" s="99">
        <v>2</v>
      </c>
      <c r="AC256" s="99">
        <v>89</v>
      </c>
      <c r="AD256" s="99">
        <v>0</v>
      </c>
    </row>
    <row r="257" spans="1:30" ht="15" x14ac:dyDescent="0.25">
      <c r="A257">
        <v>783</v>
      </c>
      <c r="B257" s="100" t="s">
        <v>382</v>
      </c>
      <c r="C257" s="99">
        <v>5965</v>
      </c>
      <c r="D257" s="99">
        <v>0</v>
      </c>
      <c r="E257" s="99">
        <v>0</v>
      </c>
      <c r="F257" s="99">
        <v>2267</v>
      </c>
      <c r="G257" s="99">
        <v>51</v>
      </c>
      <c r="H257" s="99">
        <v>1654</v>
      </c>
      <c r="I257" s="99">
        <v>0</v>
      </c>
      <c r="J257">
        <v>0</v>
      </c>
      <c r="K257">
        <v>0</v>
      </c>
      <c r="L257">
        <v>0</v>
      </c>
      <c r="M257" s="99">
        <v>0</v>
      </c>
      <c r="N257" s="99">
        <v>0</v>
      </c>
      <c r="O257" s="99">
        <v>0</v>
      </c>
      <c r="P257" s="99">
        <v>27</v>
      </c>
      <c r="Q257" s="99">
        <v>182</v>
      </c>
      <c r="R257" s="99">
        <v>0</v>
      </c>
      <c r="S257">
        <v>30209</v>
      </c>
      <c r="T257">
        <v>1514</v>
      </c>
      <c r="U257">
        <v>2267</v>
      </c>
      <c r="V257" s="99">
        <v>239</v>
      </c>
      <c r="W257" s="99">
        <v>17508</v>
      </c>
      <c r="X257" s="99">
        <v>468</v>
      </c>
      <c r="Y257" s="99">
        <v>0</v>
      </c>
      <c r="Z257" s="99">
        <v>15</v>
      </c>
      <c r="AA257" s="99">
        <v>0</v>
      </c>
      <c r="AB257" s="99">
        <v>20</v>
      </c>
      <c r="AC257" s="99">
        <v>451</v>
      </c>
      <c r="AD257" s="99">
        <v>19</v>
      </c>
    </row>
    <row r="258" spans="1:30" ht="15" x14ac:dyDescent="0.25">
      <c r="A258">
        <v>785</v>
      </c>
      <c r="B258" s="100" t="s">
        <v>406</v>
      </c>
      <c r="C258" s="99">
        <v>5122</v>
      </c>
      <c r="D258" s="99">
        <v>0</v>
      </c>
      <c r="E258" s="99">
        <v>45</v>
      </c>
      <c r="F258" s="99">
        <v>690</v>
      </c>
      <c r="G258" s="99">
        <v>65</v>
      </c>
      <c r="H258" s="99">
        <v>158</v>
      </c>
      <c r="I258" s="99">
        <v>0</v>
      </c>
      <c r="J258">
        <v>0</v>
      </c>
      <c r="K258">
        <v>0</v>
      </c>
      <c r="L258">
        <v>0</v>
      </c>
      <c r="M258" s="99">
        <v>0</v>
      </c>
      <c r="N258" s="99">
        <v>0</v>
      </c>
      <c r="O258" s="99">
        <v>0</v>
      </c>
      <c r="P258" s="99">
        <v>0</v>
      </c>
      <c r="Q258" s="99">
        <v>0</v>
      </c>
      <c r="R258" s="99">
        <v>0</v>
      </c>
      <c r="S258">
        <v>27261</v>
      </c>
      <c r="T258">
        <v>1449</v>
      </c>
      <c r="U258">
        <v>690</v>
      </c>
      <c r="V258" s="99">
        <v>255</v>
      </c>
      <c r="W258" s="99">
        <v>14036</v>
      </c>
      <c r="X258" s="99">
        <v>258</v>
      </c>
      <c r="Y258" s="99">
        <v>0</v>
      </c>
      <c r="Z258" s="99">
        <v>0</v>
      </c>
      <c r="AA258" s="99">
        <v>15</v>
      </c>
      <c r="AB258" s="99">
        <v>0</v>
      </c>
      <c r="AC258" s="99">
        <v>0</v>
      </c>
      <c r="AD258" s="99">
        <v>5</v>
      </c>
    </row>
    <row r="259" spans="1:30" ht="15" x14ac:dyDescent="0.25">
      <c r="A259">
        <v>790</v>
      </c>
      <c r="B259" s="100" t="s">
        <v>133</v>
      </c>
      <c r="C259" s="99">
        <v>57556</v>
      </c>
      <c r="D259" s="99">
        <v>0</v>
      </c>
      <c r="E259" s="99">
        <v>477</v>
      </c>
      <c r="F259" s="99">
        <v>0</v>
      </c>
      <c r="G259" s="99">
        <v>692</v>
      </c>
      <c r="H259" s="99">
        <v>22530</v>
      </c>
      <c r="I259" s="99">
        <v>0</v>
      </c>
      <c r="J259">
        <v>0</v>
      </c>
      <c r="K259">
        <v>0</v>
      </c>
      <c r="L259">
        <v>0</v>
      </c>
      <c r="M259" s="99">
        <v>0</v>
      </c>
      <c r="N259" s="99">
        <v>0</v>
      </c>
      <c r="O259" s="99">
        <v>0</v>
      </c>
      <c r="P259" s="99">
        <v>0</v>
      </c>
      <c r="Q259" s="99">
        <v>0</v>
      </c>
      <c r="R259" s="99">
        <v>0</v>
      </c>
      <c r="S259">
        <v>191792</v>
      </c>
      <c r="T259">
        <v>7231</v>
      </c>
      <c r="U259">
        <v>0</v>
      </c>
      <c r="V259" s="99">
        <v>1247</v>
      </c>
      <c r="W259" s="99">
        <v>112485</v>
      </c>
      <c r="X259" s="99">
        <v>1844</v>
      </c>
      <c r="Y259" s="99">
        <v>0</v>
      </c>
      <c r="Z259" s="99">
        <v>96</v>
      </c>
      <c r="AA259" s="99">
        <v>0</v>
      </c>
      <c r="AB259" s="99">
        <v>0</v>
      </c>
      <c r="AC259" s="99">
        <v>0</v>
      </c>
      <c r="AD259" s="99">
        <v>0</v>
      </c>
    </row>
    <row r="260" spans="1:30" ht="15" x14ac:dyDescent="0.25">
      <c r="A260">
        <v>791</v>
      </c>
      <c r="B260" s="100" t="s">
        <v>134</v>
      </c>
      <c r="C260" s="99">
        <v>11442</v>
      </c>
      <c r="D260" s="99">
        <v>0</v>
      </c>
      <c r="E260" s="99">
        <v>0</v>
      </c>
      <c r="F260" s="99">
        <v>0</v>
      </c>
      <c r="G260" s="99">
        <v>0</v>
      </c>
      <c r="H260" s="99">
        <v>68</v>
      </c>
      <c r="I260" s="99">
        <v>0</v>
      </c>
      <c r="J260">
        <v>0</v>
      </c>
      <c r="K260">
        <v>0</v>
      </c>
      <c r="L260">
        <v>0</v>
      </c>
      <c r="M260" s="99">
        <v>0</v>
      </c>
      <c r="N260" s="99">
        <v>0</v>
      </c>
      <c r="O260" s="99">
        <v>0</v>
      </c>
      <c r="P260" s="99">
        <v>0</v>
      </c>
      <c r="Q260" s="99">
        <v>0</v>
      </c>
      <c r="R260" s="99">
        <v>0</v>
      </c>
      <c r="S260">
        <v>50399</v>
      </c>
      <c r="T260">
        <v>1248</v>
      </c>
      <c r="U260">
        <v>0</v>
      </c>
      <c r="V260" s="99">
        <v>77</v>
      </c>
      <c r="W260" s="99">
        <v>26456</v>
      </c>
      <c r="X260" s="99">
        <v>626</v>
      </c>
      <c r="Y260" s="99">
        <v>0</v>
      </c>
      <c r="Z260" s="99">
        <v>4</v>
      </c>
      <c r="AA260" s="99">
        <v>0</v>
      </c>
      <c r="AB260" s="99">
        <v>0</v>
      </c>
      <c r="AC260" s="99">
        <v>0</v>
      </c>
      <c r="AD260" s="99">
        <v>0</v>
      </c>
    </row>
    <row r="261" spans="1:30" ht="15" x14ac:dyDescent="0.25">
      <c r="A261">
        <v>831</v>
      </c>
      <c r="B261" s="100" t="s">
        <v>383</v>
      </c>
      <c r="C261" s="99">
        <v>4147</v>
      </c>
      <c r="D261" s="99">
        <v>0</v>
      </c>
      <c r="E261" s="99">
        <v>0</v>
      </c>
      <c r="F261" s="99">
        <v>0</v>
      </c>
      <c r="G261" s="99">
        <v>0</v>
      </c>
      <c r="H261" s="99">
        <v>428</v>
      </c>
      <c r="I261" s="99">
        <v>0</v>
      </c>
      <c r="J261">
        <v>0</v>
      </c>
      <c r="K261">
        <v>0</v>
      </c>
      <c r="L261">
        <v>0</v>
      </c>
      <c r="M261" s="99">
        <v>0</v>
      </c>
      <c r="N261" s="99">
        <v>0</v>
      </c>
      <c r="O261" s="99">
        <v>0</v>
      </c>
      <c r="P261" s="99">
        <v>0</v>
      </c>
      <c r="Q261" s="99">
        <v>0</v>
      </c>
      <c r="R261" s="99">
        <v>0</v>
      </c>
      <c r="S261">
        <v>27463</v>
      </c>
      <c r="T261">
        <v>1563</v>
      </c>
      <c r="U261">
        <v>0</v>
      </c>
      <c r="V261" s="99">
        <v>115</v>
      </c>
      <c r="W261" s="99">
        <v>13525</v>
      </c>
      <c r="X261" s="99">
        <v>378</v>
      </c>
      <c r="Y261" s="99">
        <v>0</v>
      </c>
      <c r="Z261" s="99">
        <v>0</v>
      </c>
      <c r="AA261" s="99">
        <v>0</v>
      </c>
      <c r="AB261" s="99">
        <v>0</v>
      </c>
      <c r="AC261" s="99">
        <v>0</v>
      </c>
      <c r="AD261" s="99">
        <v>0</v>
      </c>
    </row>
    <row r="262" spans="1:30" ht="15" x14ac:dyDescent="0.25">
      <c r="A262">
        <v>832</v>
      </c>
      <c r="B262" s="100" t="s">
        <v>384</v>
      </c>
      <c r="C262" s="99">
        <v>8655</v>
      </c>
      <c r="D262" s="99">
        <v>0</v>
      </c>
      <c r="E262" s="99">
        <v>0</v>
      </c>
      <c r="F262" s="99">
        <v>733</v>
      </c>
      <c r="G262" s="99">
        <v>13</v>
      </c>
      <c r="H262" s="99">
        <v>2177</v>
      </c>
      <c r="I262" s="99">
        <v>66</v>
      </c>
      <c r="J262">
        <v>0</v>
      </c>
      <c r="K262">
        <v>0</v>
      </c>
      <c r="L262">
        <v>0</v>
      </c>
      <c r="M262" s="99">
        <v>0</v>
      </c>
      <c r="N262" s="99">
        <v>0</v>
      </c>
      <c r="O262" s="99">
        <v>0</v>
      </c>
      <c r="P262" s="99">
        <v>0</v>
      </c>
      <c r="Q262" s="99">
        <v>0</v>
      </c>
      <c r="R262" s="99">
        <v>0</v>
      </c>
      <c r="S262">
        <v>36171</v>
      </c>
      <c r="T262">
        <v>2005</v>
      </c>
      <c r="U262">
        <v>733</v>
      </c>
      <c r="V262" s="99">
        <v>239</v>
      </c>
      <c r="W262" s="99">
        <v>18591</v>
      </c>
      <c r="X262" s="99">
        <v>316</v>
      </c>
      <c r="Y262" s="99">
        <v>0</v>
      </c>
      <c r="Z262" s="99">
        <v>104</v>
      </c>
      <c r="AA262" s="99">
        <v>0</v>
      </c>
      <c r="AB262" s="99">
        <v>1</v>
      </c>
      <c r="AC262" s="99">
        <v>312</v>
      </c>
      <c r="AD262" s="99">
        <v>10</v>
      </c>
    </row>
    <row r="263" spans="1:30" ht="15" x14ac:dyDescent="0.25">
      <c r="A263">
        <v>833</v>
      </c>
      <c r="B263" s="100" t="s">
        <v>385</v>
      </c>
      <c r="C263" s="99">
        <v>2901</v>
      </c>
      <c r="D263" s="99">
        <v>0</v>
      </c>
      <c r="E263" s="99">
        <v>0</v>
      </c>
      <c r="F263" s="99">
        <v>0</v>
      </c>
      <c r="G263" s="99">
        <v>0</v>
      </c>
      <c r="H263" s="99">
        <v>579</v>
      </c>
      <c r="I263" s="99">
        <v>0</v>
      </c>
      <c r="J263">
        <v>0</v>
      </c>
      <c r="K263">
        <v>0</v>
      </c>
      <c r="L263">
        <v>0</v>
      </c>
      <c r="M263" s="99">
        <v>0</v>
      </c>
      <c r="N263" s="99">
        <v>0</v>
      </c>
      <c r="O263" s="99">
        <v>0</v>
      </c>
      <c r="P263" s="99">
        <v>0</v>
      </c>
      <c r="Q263" s="99">
        <v>0</v>
      </c>
      <c r="R263" s="99">
        <v>0</v>
      </c>
      <c r="S263">
        <v>12088</v>
      </c>
      <c r="T263">
        <v>694</v>
      </c>
      <c r="U263">
        <v>0</v>
      </c>
      <c r="V263" s="99">
        <v>1</v>
      </c>
      <c r="W263" s="99">
        <v>6213</v>
      </c>
      <c r="X263" s="99">
        <v>126</v>
      </c>
      <c r="Y263" s="99">
        <v>0</v>
      </c>
      <c r="Z263" s="99">
        <v>28</v>
      </c>
      <c r="AA263" s="99">
        <v>0</v>
      </c>
      <c r="AB263" s="99">
        <v>0</v>
      </c>
      <c r="AC263" s="99">
        <v>0</v>
      </c>
      <c r="AD263" s="99">
        <v>0</v>
      </c>
    </row>
    <row r="264" spans="1:30" ht="15" x14ac:dyDescent="0.25">
      <c r="A264">
        <v>834</v>
      </c>
      <c r="B264" s="100" t="s">
        <v>386</v>
      </c>
      <c r="C264" s="99">
        <v>6633</v>
      </c>
      <c r="D264" s="99">
        <v>0</v>
      </c>
      <c r="E264" s="99">
        <v>0</v>
      </c>
      <c r="F264" s="99">
        <v>282</v>
      </c>
      <c r="G264" s="99">
        <v>123</v>
      </c>
      <c r="H264" s="99">
        <v>123</v>
      </c>
      <c r="I264" s="99">
        <v>0</v>
      </c>
      <c r="J264">
        <v>0</v>
      </c>
      <c r="K264">
        <v>0</v>
      </c>
      <c r="L264">
        <v>0</v>
      </c>
      <c r="M264" s="99">
        <v>0</v>
      </c>
      <c r="N264" s="99">
        <v>0</v>
      </c>
      <c r="O264" s="99">
        <v>0</v>
      </c>
      <c r="P264" s="99">
        <v>0</v>
      </c>
      <c r="Q264" s="99">
        <v>0</v>
      </c>
      <c r="R264" s="99">
        <v>0</v>
      </c>
      <c r="S264">
        <v>38347</v>
      </c>
      <c r="T264">
        <v>2003</v>
      </c>
      <c r="U264">
        <v>283</v>
      </c>
      <c r="V264" s="99">
        <v>538</v>
      </c>
      <c r="W264" s="99">
        <v>19336</v>
      </c>
      <c r="X264" s="99">
        <v>344</v>
      </c>
      <c r="Y264" s="99">
        <v>0</v>
      </c>
      <c r="Z264" s="99">
        <v>12</v>
      </c>
      <c r="AA264" s="99">
        <v>0</v>
      </c>
      <c r="AB264" s="99">
        <v>0</v>
      </c>
      <c r="AC264" s="99">
        <v>0</v>
      </c>
      <c r="AD264" s="99">
        <v>0</v>
      </c>
    </row>
    <row r="265" spans="1:30" ht="15" x14ac:dyDescent="0.25">
      <c r="A265">
        <v>837</v>
      </c>
      <c r="B265" s="100" t="s">
        <v>387</v>
      </c>
      <c r="C265" s="99">
        <v>760039</v>
      </c>
      <c r="D265" s="99">
        <v>-156</v>
      </c>
      <c r="E265" s="99">
        <v>22457</v>
      </c>
      <c r="F265" s="99">
        <v>0</v>
      </c>
      <c r="G265" s="99">
        <v>1712</v>
      </c>
      <c r="H265" s="99">
        <v>161296</v>
      </c>
      <c r="I265" s="99">
        <v>20476</v>
      </c>
      <c r="J265">
        <v>0</v>
      </c>
      <c r="K265">
        <v>0</v>
      </c>
      <c r="L265">
        <v>0</v>
      </c>
      <c r="M265" s="99">
        <v>0</v>
      </c>
      <c r="N265" s="99">
        <v>0</v>
      </c>
      <c r="O265" s="99">
        <v>0</v>
      </c>
      <c r="P265" s="99">
        <v>0</v>
      </c>
      <c r="Q265" s="99">
        <v>0</v>
      </c>
      <c r="R265" s="99">
        <v>0</v>
      </c>
      <c r="S265">
        <v>1905780</v>
      </c>
      <c r="T265">
        <v>103136</v>
      </c>
      <c r="U265">
        <v>0</v>
      </c>
      <c r="V265" s="99">
        <v>38270</v>
      </c>
      <c r="W265" s="99">
        <v>883128</v>
      </c>
      <c r="X265" s="99">
        <v>35038</v>
      </c>
      <c r="Y265" s="99">
        <v>0</v>
      </c>
      <c r="Z265" s="99">
        <v>4079</v>
      </c>
      <c r="AA265" s="99">
        <v>1565</v>
      </c>
      <c r="AB265" s="99">
        <v>0</v>
      </c>
      <c r="AC265" s="99">
        <v>0</v>
      </c>
      <c r="AD265" s="99">
        <v>0</v>
      </c>
    </row>
    <row r="266" spans="1:30" ht="15" x14ac:dyDescent="0.25">
      <c r="A266">
        <v>844</v>
      </c>
      <c r="B266" s="100" t="s">
        <v>388</v>
      </c>
      <c r="C266" s="99">
        <v>3631</v>
      </c>
      <c r="D266" s="99">
        <v>0</v>
      </c>
      <c r="E266" s="99">
        <v>0</v>
      </c>
      <c r="F266" s="99">
        <v>297</v>
      </c>
      <c r="G266" s="99">
        <v>3</v>
      </c>
      <c r="H266" s="99">
        <v>2043</v>
      </c>
      <c r="I266" s="99">
        <v>15</v>
      </c>
      <c r="J266">
        <v>0</v>
      </c>
      <c r="K266">
        <v>0</v>
      </c>
      <c r="L266">
        <v>0</v>
      </c>
      <c r="M266" s="99">
        <v>0</v>
      </c>
      <c r="N266" s="99">
        <v>0</v>
      </c>
      <c r="O266" s="99">
        <v>0</v>
      </c>
      <c r="P266" s="99">
        <v>0</v>
      </c>
      <c r="Q266" s="99">
        <v>0</v>
      </c>
      <c r="R266" s="99">
        <v>0</v>
      </c>
      <c r="S266">
        <v>14317</v>
      </c>
      <c r="T266">
        <v>403</v>
      </c>
      <c r="U266">
        <v>295</v>
      </c>
      <c r="V266" s="99">
        <v>143</v>
      </c>
      <c r="W266" s="99">
        <v>9531</v>
      </c>
      <c r="X266" s="99">
        <v>150</v>
      </c>
      <c r="Y266" s="99">
        <v>0</v>
      </c>
      <c r="Z266" s="99">
        <v>26</v>
      </c>
      <c r="AA266" s="99">
        <v>3</v>
      </c>
      <c r="AB266" s="99">
        <v>3</v>
      </c>
      <c r="AC266" s="99">
        <v>141</v>
      </c>
      <c r="AD266" s="99">
        <v>0</v>
      </c>
    </row>
    <row r="267" spans="1:30" ht="15" x14ac:dyDescent="0.25">
      <c r="A267">
        <v>845</v>
      </c>
      <c r="B267" s="100" t="s">
        <v>389</v>
      </c>
      <c r="C267" s="99">
        <v>8112</v>
      </c>
      <c r="D267" s="99">
        <v>0</v>
      </c>
      <c r="E267" s="99">
        <v>0</v>
      </c>
      <c r="F267" s="99">
        <v>2586</v>
      </c>
      <c r="G267" s="99">
        <v>15</v>
      </c>
      <c r="H267" s="99">
        <v>1661</v>
      </c>
      <c r="I267" s="99">
        <v>0</v>
      </c>
      <c r="J267">
        <v>0</v>
      </c>
      <c r="K267">
        <v>0</v>
      </c>
      <c r="L267">
        <v>0</v>
      </c>
      <c r="M267" s="99">
        <v>0</v>
      </c>
      <c r="N267" s="99">
        <v>0</v>
      </c>
      <c r="O267" s="99">
        <v>0</v>
      </c>
      <c r="P267" s="99">
        <v>0</v>
      </c>
      <c r="Q267" s="99">
        <v>0</v>
      </c>
      <c r="R267" s="99">
        <v>0</v>
      </c>
      <c r="S267">
        <v>29331</v>
      </c>
      <c r="T267">
        <v>1330</v>
      </c>
      <c r="U267">
        <v>2586</v>
      </c>
      <c r="V267" s="99">
        <v>40</v>
      </c>
      <c r="W267" s="99">
        <v>14373</v>
      </c>
      <c r="X267" s="99">
        <v>303</v>
      </c>
      <c r="Y267" s="99">
        <v>0</v>
      </c>
      <c r="Z267" s="99">
        <v>34</v>
      </c>
      <c r="AA267" s="99">
        <v>0</v>
      </c>
      <c r="AB267" s="99">
        <v>1</v>
      </c>
      <c r="AC267" s="99">
        <v>1111</v>
      </c>
      <c r="AD267" s="99">
        <v>0</v>
      </c>
    </row>
    <row r="268" spans="1:30" ht="15" x14ac:dyDescent="0.25">
      <c r="A268">
        <v>846</v>
      </c>
      <c r="B268" s="100" t="s">
        <v>390</v>
      </c>
      <c r="C268" s="99">
        <v>8233</v>
      </c>
      <c r="D268" s="99">
        <v>0</v>
      </c>
      <c r="E268" s="99">
        <v>0</v>
      </c>
      <c r="F268" s="99">
        <v>680</v>
      </c>
      <c r="G268" s="99">
        <v>0</v>
      </c>
      <c r="H268" s="99">
        <v>151</v>
      </c>
      <c r="I268" s="99">
        <v>0</v>
      </c>
      <c r="J268">
        <v>0</v>
      </c>
      <c r="K268">
        <v>0</v>
      </c>
      <c r="L268">
        <v>0</v>
      </c>
      <c r="M268" s="99">
        <v>0</v>
      </c>
      <c r="N268" s="99">
        <v>0</v>
      </c>
      <c r="O268" s="99">
        <v>0</v>
      </c>
      <c r="P268" s="99">
        <v>0</v>
      </c>
      <c r="Q268" s="99">
        <v>0</v>
      </c>
      <c r="R268" s="99">
        <v>0</v>
      </c>
      <c r="S268">
        <v>41705</v>
      </c>
      <c r="T268">
        <v>1515</v>
      </c>
      <c r="U268">
        <v>680</v>
      </c>
      <c r="V268" s="99">
        <v>78</v>
      </c>
      <c r="W268" s="99">
        <v>22741</v>
      </c>
      <c r="X268" s="99">
        <v>509</v>
      </c>
      <c r="Y268" s="99">
        <v>0</v>
      </c>
      <c r="Z268" s="99">
        <v>0</v>
      </c>
      <c r="AA268" s="99">
        <v>0</v>
      </c>
      <c r="AB268" s="99">
        <v>0</v>
      </c>
      <c r="AC268" s="99">
        <v>0</v>
      </c>
      <c r="AD268" s="99">
        <v>13</v>
      </c>
    </row>
    <row r="269" spans="1:30" ht="15" x14ac:dyDescent="0.25">
      <c r="A269">
        <v>848</v>
      </c>
      <c r="B269" s="100" t="s">
        <v>391</v>
      </c>
      <c r="C269" s="99">
        <v>12305</v>
      </c>
      <c r="D269" s="99">
        <v>0</v>
      </c>
      <c r="E269" s="99">
        <v>0</v>
      </c>
      <c r="F269" s="99">
        <v>0</v>
      </c>
      <c r="G269" s="99">
        <v>50</v>
      </c>
      <c r="H269" s="99">
        <v>2184</v>
      </c>
      <c r="I269" s="99">
        <v>0</v>
      </c>
      <c r="J269">
        <v>0</v>
      </c>
      <c r="K269">
        <v>0</v>
      </c>
      <c r="L269">
        <v>0</v>
      </c>
      <c r="M269" s="99">
        <v>0</v>
      </c>
      <c r="N269" s="99">
        <v>0</v>
      </c>
      <c r="O269" s="99">
        <v>0</v>
      </c>
      <c r="P269" s="99">
        <v>0</v>
      </c>
      <c r="Q269" s="99">
        <v>0</v>
      </c>
      <c r="R269" s="99">
        <v>0</v>
      </c>
      <c r="S269">
        <v>40934</v>
      </c>
      <c r="T269">
        <v>840</v>
      </c>
      <c r="U269">
        <v>0</v>
      </c>
      <c r="V269" s="99">
        <v>430</v>
      </c>
      <c r="W269" s="99">
        <v>20799</v>
      </c>
      <c r="X269" s="99">
        <v>379</v>
      </c>
      <c r="Y269" s="99">
        <v>0</v>
      </c>
      <c r="Z269" s="99">
        <v>3</v>
      </c>
      <c r="AA269" s="99">
        <v>0</v>
      </c>
      <c r="AB269" s="99">
        <v>0</v>
      </c>
      <c r="AC269" s="99">
        <v>0</v>
      </c>
      <c r="AD269" s="99">
        <v>0</v>
      </c>
    </row>
    <row r="270" spans="1:30" ht="15" x14ac:dyDescent="0.25">
      <c r="A270">
        <v>849</v>
      </c>
      <c r="B270" s="100" t="s">
        <v>392</v>
      </c>
      <c r="C270" s="99">
        <v>12699</v>
      </c>
      <c r="D270" s="99">
        <v>0</v>
      </c>
      <c r="E270" s="99">
        <v>0</v>
      </c>
      <c r="F270" s="99">
        <v>0</v>
      </c>
      <c r="G270" s="99">
        <v>0</v>
      </c>
      <c r="H270" s="99">
        <v>0</v>
      </c>
      <c r="I270" s="99">
        <v>2</v>
      </c>
      <c r="J270">
        <v>0</v>
      </c>
      <c r="K270">
        <v>0</v>
      </c>
      <c r="L270">
        <v>0</v>
      </c>
      <c r="M270" s="99">
        <v>0</v>
      </c>
      <c r="N270" s="99">
        <v>0</v>
      </c>
      <c r="O270" s="99">
        <v>0</v>
      </c>
      <c r="P270" s="99">
        <v>0</v>
      </c>
      <c r="Q270" s="99">
        <v>0</v>
      </c>
      <c r="R270" s="99">
        <v>0</v>
      </c>
      <c r="S270">
        <v>30513</v>
      </c>
      <c r="T270">
        <v>1971</v>
      </c>
      <c r="U270">
        <v>0</v>
      </c>
      <c r="V270" s="99">
        <v>54</v>
      </c>
      <c r="W270" s="99">
        <v>11252</v>
      </c>
      <c r="X270" s="99">
        <v>244</v>
      </c>
      <c r="Y270" s="99">
        <v>0</v>
      </c>
      <c r="Z270" s="99">
        <v>27</v>
      </c>
      <c r="AA270" s="99">
        <v>31</v>
      </c>
      <c r="AB270" s="99">
        <v>0</v>
      </c>
      <c r="AC270" s="99">
        <v>0</v>
      </c>
      <c r="AD270" s="99">
        <v>0</v>
      </c>
    </row>
    <row r="271" spans="1:30" ht="15" x14ac:dyDescent="0.25">
      <c r="A271">
        <v>850</v>
      </c>
      <c r="B271" s="100" t="s">
        <v>393</v>
      </c>
      <c r="C271" s="99">
        <v>3863</v>
      </c>
      <c r="D271" s="99">
        <v>0</v>
      </c>
      <c r="E271" s="99">
        <v>0</v>
      </c>
      <c r="F271" s="99">
        <v>0</v>
      </c>
      <c r="G271" s="99">
        <v>0</v>
      </c>
      <c r="H271" s="99">
        <v>618</v>
      </c>
      <c r="I271" s="99">
        <v>0</v>
      </c>
      <c r="J271">
        <v>0</v>
      </c>
      <c r="K271">
        <v>0</v>
      </c>
      <c r="L271">
        <v>0</v>
      </c>
      <c r="M271" s="99">
        <v>0</v>
      </c>
      <c r="N271" s="99">
        <v>0</v>
      </c>
      <c r="O271" s="99">
        <v>0</v>
      </c>
      <c r="P271" s="99">
        <v>0</v>
      </c>
      <c r="Q271" s="99">
        <v>0</v>
      </c>
      <c r="R271" s="99">
        <v>0</v>
      </c>
      <c r="S271">
        <v>17040</v>
      </c>
      <c r="T271">
        <v>495</v>
      </c>
      <c r="U271">
        <v>0</v>
      </c>
      <c r="V271" s="99">
        <v>30</v>
      </c>
      <c r="W271" s="99">
        <v>8118</v>
      </c>
      <c r="X271" s="99">
        <v>197</v>
      </c>
      <c r="Y271" s="99">
        <v>0</v>
      </c>
      <c r="Z271" s="99">
        <v>22</v>
      </c>
      <c r="AA271" s="99">
        <v>0</v>
      </c>
      <c r="AB271" s="99">
        <v>0</v>
      </c>
      <c r="AC271" s="99">
        <v>0</v>
      </c>
      <c r="AD271" s="99">
        <v>0</v>
      </c>
    </row>
    <row r="272" spans="1:30" ht="15" x14ac:dyDescent="0.25">
      <c r="A272">
        <v>851</v>
      </c>
      <c r="B272" s="100" t="s">
        <v>394</v>
      </c>
      <c r="C272" s="99">
        <v>33566</v>
      </c>
      <c r="D272" s="99">
        <v>0</v>
      </c>
      <c r="E272" s="99">
        <v>0</v>
      </c>
      <c r="F272" s="99">
        <v>0</v>
      </c>
      <c r="G272" s="99">
        <v>81</v>
      </c>
      <c r="H272" s="99">
        <v>10797</v>
      </c>
      <c r="I272" s="99">
        <v>0</v>
      </c>
      <c r="J272">
        <v>0</v>
      </c>
      <c r="K272">
        <v>0</v>
      </c>
      <c r="L272">
        <v>0</v>
      </c>
      <c r="M272" s="99">
        <v>0</v>
      </c>
      <c r="N272" s="99">
        <v>0</v>
      </c>
      <c r="O272" s="99">
        <v>0</v>
      </c>
      <c r="P272" s="99">
        <v>0</v>
      </c>
      <c r="Q272" s="99">
        <v>0</v>
      </c>
      <c r="R272" s="99">
        <v>0</v>
      </c>
      <c r="S272">
        <v>147187</v>
      </c>
      <c r="T272">
        <v>5415</v>
      </c>
      <c r="U272">
        <v>0</v>
      </c>
      <c r="V272" s="99">
        <v>2022</v>
      </c>
      <c r="W272" s="99">
        <v>80684</v>
      </c>
      <c r="X272" s="99">
        <v>2192</v>
      </c>
      <c r="Y272" s="99">
        <v>0</v>
      </c>
      <c r="Z272" s="99">
        <v>60</v>
      </c>
      <c r="AA272" s="99">
        <v>0</v>
      </c>
      <c r="AB272" s="99">
        <v>0</v>
      </c>
      <c r="AC272" s="99">
        <v>0</v>
      </c>
      <c r="AD272" s="99">
        <v>0</v>
      </c>
    </row>
    <row r="273" spans="1:30" ht="15" x14ac:dyDescent="0.25">
      <c r="A273">
        <v>853</v>
      </c>
      <c r="B273" s="100" t="s">
        <v>395</v>
      </c>
      <c r="C273" s="99">
        <v>510413</v>
      </c>
      <c r="D273" s="99">
        <v>0</v>
      </c>
      <c r="E273" s="99">
        <v>3856</v>
      </c>
      <c r="F273" s="99">
        <v>2310</v>
      </c>
      <c r="G273" s="99">
        <v>1862</v>
      </c>
      <c r="H273" s="99">
        <v>97730</v>
      </c>
      <c r="I273" s="99">
        <v>29315</v>
      </c>
      <c r="J273">
        <v>0</v>
      </c>
      <c r="K273">
        <v>0</v>
      </c>
      <c r="L273">
        <v>0</v>
      </c>
      <c r="M273" s="99">
        <v>0</v>
      </c>
      <c r="N273" s="99">
        <v>206</v>
      </c>
      <c r="O273" s="99">
        <v>0</v>
      </c>
      <c r="P273" s="99">
        <v>0</v>
      </c>
      <c r="Q273" s="99">
        <v>0</v>
      </c>
      <c r="R273" s="99">
        <v>0</v>
      </c>
      <c r="S273">
        <v>1475757</v>
      </c>
      <c r="T273">
        <v>62705</v>
      </c>
      <c r="U273">
        <v>2310</v>
      </c>
      <c r="V273" s="99">
        <v>31723</v>
      </c>
      <c r="W273" s="99">
        <v>708956</v>
      </c>
      <c r="X273" s="99">
        <v>41071</v>
      </c>
      <c r="Y273" s="99">
        <v>0</v>
      </c>
      <c r="Z273" s="99">
        <v>372</v>
      </c>
      <c r="AA273" s="99">
        <v>1607</v>
      </c>
      <c r="AB273" s="99">
        <v>0</v>
      </c>
      <c r="AC273" s="99">
        <v>0</v>
      </c>
      <c r="AD273" s="99">
        <v>0</v>
      </c>
    </row>
    <row r="274" spans="1:30" ht="15" x14ac:dyDescent="0.25">
      <c r="A274">
        <v>854</v>
      </c>
      <c r="B274" s="100" t="s">
        <v>317</v>
      </c>
      <c r="C274" s="99">
        <v>4372</v>
      </c>
      <c r="D274" s="99">
        <v>0</v>
      </c>
      <c r="E274" s="99">
        <v>0</v>
      </c>
      <c r="F274" s="99">
        <v>2163</v>
      </c>
      <c r="G274" s="99">
        <v>0</v>
      </c>
      <c r="H274" s="99">
        <v>2532</v>
      </c>
      <c r="I274" s="99">
        <v>0</v>
      </c>
      <c r="J274">
        <v>0</v>
      </c>
      <c r="K274">
        <v>0</v>
      </c>
      <c r="L274">
        <v>0</v>
      </c>
      <c r="M274" s="99">
        <v>0</v>
      </c>
      <c r="N274" s="99">
        <v>0</v>
      </c>
      <c r="O274" s="99">
        <v>0</v>
      </c>
      <c r="P274" s="99">
        <v>0</v>
      </c>
      <c r="Q274" s="99">
        <v>344</v>
      </c>
      <c r="R274" s="99">
        <v>0</v>
      </c>
      <c r="S274">
        <v>30030</v>
      </c>
      <c r="T274">
        <v>1142</v>
      </c>
      <c r="U274">
        <v>2163</v>
      </c>
      <c r="V274" s="99">
        <v>135</v>
      </c>
      <c r="W274" s="99">
        <v>20337</v>
      </c>
      <c r="X274" s="99">
        <v>381</v>
      </c>
      <c r="Y274" s="99">
        <v>0</v>
      </c>
      <c r="Z274" s="99">
        <v>327</v>
      </c>
      <c r="AA274" s="99">
        <v>0</v>
      </c>
      <c r="AB274" s="99">
        <v>0</v>
      </c>
      <c r="AC274" s="99">
        <v>1050</v>
      </c>
      <c r="AD274" s="99">
        <v>6</v>
      </c>
    </row>
    <row r="275" spans="1:30" ht="15" x14ac:dyDescent="0.25">
      <c r="A275">
        <v>857</v>
      </c>
      <c r="B275" s="100" t="s">
        <v>396</v>
      </c>
      <c r="C275" s="99">
        <v>4806</v>
      </c>
      <c r="D275" s="99">
        <v>0</v>
      </c>
      <c r="E275" s="99">
        <v>0</v>
      </c>
      <c r="F275" s="99">
        <v>0</v>
      </c>
      <c r="G275" s="99">
        <v>23</v>
      </c>
      <c r="H275" s="99">
        <v>1135</v>
      </c>
      <c r="I275" s="99">
        <v>0</v>
      </c>
      <c r="J275">
        <v>0</v>
      </c>
      <c r="K275">
        <v>0</v>
      </c>
      <c r="L275">
        <v>0</v>
      </c>
      <c r="M275" s="99">
        <v>0</v>
      </c>
      <c r="N275" s="99">
        <v>0</v>
      </c>
      <c r="O275" s="99">
        <v>0</v>
      </c>
      <c r="P275" s="99">
        <v>0</v>
      </c>
      <c r="Q275" s="99">
        <v>0</v>
      </c>
      <c r="R275" s="99">
        <v>0</v>
      </c>
      <c r="S275">
        <v>21808</v>
      </c>
      <c r="T275">
        <v>1241</v>
      </c>
      <c r="U275">
        <v>0</v>
      </c>
      <c r="V275" s="99">
        <v>267</v>
      </c>
      <c r="W275" s="99">
        <v>13274</v>
      </c>
      <c r="X275" s="99">
        <v>270</v>
      </c>
      <c r="Y275" s="99">
        <v>0</v>
      </c>
      <c r="Z275" s="99">
        <v>276</v>
      </c>
      <c r="AA275" s="99">
        <v>0</v>
      </c>
      <c r="AB275" s="99">
        <v>0</v>
      </c>
      <c r="AC275" s="99">
        <v>0</v>
      </c>
      <c r="AD275" s="99">
        <v>0</v>
      </c>
    </row>
    <row r="276" spans="1:30" ht="15" x14ac:dyDescent="0.25">
      <c r="A276">
        <v>858</v>
      </c>
      <c r="B276" s="100" t="s">
        <v>397</v>
      </c>
      <c r="C276" s="99">
        <v>72512</v>
      </c>
      <c r="D276" s="99">
        <v>0</v>
      </c>
      <c r="E276" s="99">
        <v>120</v>
      </c>
      <c r="F276" s="99">
        <v>0</v>
      </c>
      <c r="G276" s="99">
        <v>97</v>
      </c>
      <c r="H276" s="99">
        <v>12605</v>
      </c>
      <c r="I276" s="99">
        <v>0</v>
      </c>
      <c r="J276">
        <v>0</v>
      </c>
      <c r="K276">
        <v>0</v>
      </c>
      <c r="L276">
        <v>0</v>
      </c>
      <c r="M276" s="99">
        <v>0</v>
      </c>
      <c r="N276" s="99">
        <v>0</v>
      </c>
      <c r="O276" s="99">
        <v>0</v>
      </c>
      <c r="P276" s="99">
        <v>0</v>
      </c>
      <c r="Q276" s="99">
        <v>0</v>
      </c>
      <c r="R276" s="99">
        <v>0</v>
      </c>
      <c r="S276">
        <v>252432</v>
      </c>
      <c r="T276">
        <v>12154</v>
      </c>
      <c r="U276">
        <v>0</v>
      </c>
      <c r="V276" s="99">
        <v>2059</v>
      </c>
      <c r="W276" s="99">
        <v>116711</v>
      </c>
      <c r="X276" s="99">
        <v>2939</v>
      </c>
      <c r="Y276" s="99">
        <v>4</v>
      </c>
      <c r="Z276" s="99">
        <v>573</v>
      </c>
      <c r="AA276" s="99">
        <v>35</v>
      </c>
      <c r="AB276" s="99">
        <v>0</v>
      </c>
      <c r="AC276" s="99">
        <v>0</v>
      </c>
      <c r="AD276" s="99">
        <v>0</v>
      </c>
    </row>
    <row r="277" spans="1:30" ht="15" x14ac:dyDescent="0.25">
      <c r="A277">
        <v>859</v>
      </c>
      <c r="B277" s="100" t="s">
        <v>398</v>
      </c>
      <c r="C277" s="99">
        <v>7419</v>
      </c>
      <c r="D277" s="99">
        <v>0</v>
      </c>
      <c r="E277" s="99">
        <v>0</v>
      </c>
      <c r="F277" s="99">
        <v>1432</v>
      </c>
      <c r="G277" s="99">
        <v>87</v>
      </c>
      <c r="H277" s="99">
        <v>1239</v>
      </c>
      <c r="I277" s="99">
        <v>0</v>
      </c>
      <c r="J277">
        <v>0</v>
      </c>
      <c r="K277">
        <v>0</v>
      </c>
      <c r="L277">
        <v>0</v>
      </c>
      <c r="M277" s="99">
        <v>0</v>
      </c>
      <c r="N277" s="99">
        <v>0</v>
      </c>
      <c r="O277" s="99">
        <v>0</v>
      </c>
      <c r="P277" s="99">
        <v>0</v>
      </c>
      <c r="Q277" s="99">
        <v>0</v>
      </c>
      <c r="R277" s="99">
        <v>0</v>
      </c>
      <c r="S277">
        <v>41964</v>
      </c>
      <c r="T277">
        <v>1604</v>
      </c>
      <c r="U277">
        <v>1429</v>
      </c>
      <c r="V277" s="99">
        <v>478</v>
      </c>
      <c r="W277" s="99">
        <v>19864</v>
      </c>
      <c r="X277" s="99">
        <v>417</v>
      </c>
      <c r="Y277" s="99">
        <v>0</v>
      </c>
      <c r="Z277" s="99">
        <v>186</v>
      </c>
      <c r="AA277" s="99">
        <v>0</v>
      </c>
      <c r="AB277" s="99">
        <v>19</v>
      </c>
      <c r="AC277" s="99">
        <v>526</v>
      </c>
      <c r="AD277" s="99">
        <v>17</v>
      </c>
    </row>
    <row r="278" spans="1:30" ht="15" x14ac:dyDescent="0.25">
      <c r="A278">
        <v>886</v>
      </c>
      <c r="B278" s="100" t="s">
        <v>399</v>
      </c>
      <c r="C278" s="99">
        <v>13542</v>
      </c>
      <c r="D278" s="99">
        <v>0</v>
      </c>
      <c r="E278" s="99">
        <v>0</v>
      </c>
      <c r="F278" s="99">
        <v>0</v>
      </c>
      <c r="G278" s="99">
        <v>132</v>
      </c>
      <c r="H278" s="99">
        <v>876</v>
      </c>
      <c r="I278" s="99">
        <v>412</v>
      </c>
      <c r="J278">
        <v>0</v>
      </c>
      <c r="K278">
        <v>0</v>
      </c>
      <c r="L278">
        <v>0</v>
      </c>
      <c r="M278" s="99">
        <v>0</v>
      </c>
      <c r="N278" s="99">
        <v>0</v>
      </c>
      <c r="O278" s="99">
        <v>0</v>
      </c>
      <c r="P278" s="99">
        <v>0</v>
      </c>
      <c r="Q278" s="99">
        <v>0</v>
      </c>
      <c r="R278" s="99">
        <v>0</v>
      </c>
      <c r="S278">
        <v>81917</v>
      </c>
      <c r="T278">
        <v>2953</v>
      </c>
      <c r="U278">
        <v>0</v>
      </c>
      <c r="V278" s="99">
        <v>253</v>
      </c>
      <c r="W278" s="99">
        <v>42374</v>
      </c>
      <c r="X278" s="99">
        <v>1581</v>
      </c>
      <c r="Y278" s="99">
        <v>0</v>
      </c>
      <c r="Z278" s="99">
        <v>67</v>
      </c>
      <c r="AA278" s="99">
        <v>0</v>
      </c>
      <c r="AB278" s="99">
        <v>0</v>
      </c>
      <c r="AC278" s="99">
        <v>0</v>
      </c>
      <c r="AD278" s="99">
        <v>0</v>
      </c>
    </row>
    <row r="279" spans="1:30" ht="15" x14ac:dyDescent="0.25">
      <c r="A279">
        <v>887</v>
      </c>
      <c r="B279" s="100" t="s">
        <v>400</v>
      </c>
      <c r="C279" s="99">
        <v>5638</v>
      </c>
      <c r="D279" s="99">
        <v>0</v>
      </c>
      <c r="E279" s="99">
        <v>0</v>
      </c>
      <c r="F279" s="99">
        <v>0</v>
      </c>
      <c r="G279" s="99">
        <v>507</v>
      </c>
      <c r="H279" s="99">
        <v>654</v>
      </c>
      <c r="I279" s="99">
        <v>0</v>
      </c>
      <c r="J279">
        <v>0</v>
      </c>
      <c r="K279">
        <v>0</v>
      </c>
      <c r="L279">
        <v>0</v>
      </c>
      <c r="M279" s="99">
        <v>0</v>
      </c>
      <c r="N279" s="99">
        <v>0</v>
      </c>
      <c r="O279" s="99">
        <v>0</v>
      </c>
      <c r="P279" s="99">
        <v>0</v>
      </c>
      <c r="Q279" s="99">
        <v>0</v>
      </c>
      <c r="R279" s="99">
        <v>0</v>
      </c>
      <c r="S279">
        <v>32701</v>
      </c>
      <c r="T279">
        <v>842</v>
      </c>
      <c r="U279">
        <v>136</v>
      </c>
      <c r="V279" s="99">
        <v>1328</v>
      </c>
      <c r="W279" s="99">
        <v>18552</v>
      </c>
      <c r="X279" s="99">
        <v>349</v>
      </c>
      <c r="Y279" s="99">
        <v>0</v>
      </c>
      <c r="Z279" s="99">
        <v>26</v>
      </c>
      <c r="AA279" s="99">
        <v>2</v>
      </c>
      <c r="AB279" s="99">
        <v>0</v>
      </c>
      <c r="AC279" s="99">
        <v>0</v>
      </c>
      <c r="AD279" s="99">
        <v>0</v>
      </c>
    </row>
    <row r="280" spans="1:30" ht="15" x14ac:dyDescent="0.25">
      <c r="A280">
        <v>889</v>
      </c>
      <c r="B280" s="100" t="s">
        <v>401</v>
      </c>
      <c r="C280" s="99">
        <v>4562</v>
      </c>
      <c r="D280" s="99">
        <v>0</v>
      </c>
      <c r="E280" s="99">
        <v>0</v>
      </c>
      <c r="F280" s="99">
        <v>409</v>
      </c>
      <c r="G280" s="99">
        <v>56</v>
      </c>
      <c r="H280" s="99">
        <v>89</v>
      </c>
      <c r="I280" s="99">
        <v>0</v>
      </c>
      <c r="J280">
        <v>0</v>
      </c>
      <c r="K280">
        <v>0</v>
      </c>
      <c r="L280">
        <v>0</v>
      </c>
      <c r="M280" s="99">
        <v>0</v>
      </c>
      <c r="N280" s="99">
        <v>0</v>
      </c>
      <c r="O280" s="99">
        <v>0</v>
      </c>
      <c r="P280" s="99">
        <v>0</v>
      </c>
      <c r="Q280" s="99">
        <v>60</v>
      </c>
      <c r="R280" s="99">
        <v>0</v>
      </c>
      <c r="S280">
        <v>25379</v>
      </c>
      <c r="T280">
        <v>1234</v>
      </c>
      <c r="U280">
        <v>409</v>
      </c>
      <c r="V280" s="99">
        <v>265</v>
      </c>
      <c r="W280" s="99">
        <v>11775</v>
      </c>
      <c r="X280" s="99">
        <v>185</v>
      </c>
      <c r="Y280" s="99">
        <v>0</v>
      </c>
      <c r="Z280" s="99">
        <v>0</v>
      </c>
      <c r="AA280" s="99">
        <v>0</v>
      </c>
      <c r="AB280" s="99">
        <v>0</v>
      </c>
      <c r="AC280" s="99">
        <v>0</v>
      </c>
      <c r="AD280" s="99">
        <v>0</v>
      </c>
    </row>
    <row r="281" spans="1:30" ht="15" x14ac:dyDescent="0.25">
      <c r="A281">
        <v>890</v>
      </c>
      <c r="B281" s="100" t="s">
        <v>402</v>
      </c>
      <c r="C281" s="99">
        <v>3401</v>
      </c>
      <c r="D281" s="99">
        <v>0</v>
      </c>
      <c r="E281" s="99">
        <v>0</v>
      </c>
      <c r="F281" s="99">
        <v>349</v>
      </c>
      <c r="G281" s="99">
        <v>4</v>
      </c>
      <c r="H281" s="99">
        <v>557</v>
      </c>
      <c r="I281" s="99">
        <v>0</v>
      </c>
      <c r="J281">
        <v>0</v>
      </c>
      <c r="K281">
        <v>0</v>
      </c>
      <c r="L281">
        <v>0</v>
      </c>
      <c r="M281" s="99">
        <v>0</v>
      </c>
      <c r="N281" s="99">
        <v>0</v>
      </c>
      <c r="O281" s="99">
        <v>0</v>
      </c>
      <c r="P281" s="99">
        <v>0</v>
      </c>
      <c r="Q281" s="99">
        <v>0</v>
      </c>
      <c r="R281" s="99">
        <v>0</v>
      </c>
      <c r="S281">
        <v>13825</v>
      </c>
      <c r="T281">
        <v>527</v>
      </c>
      <c r="U281">
        <v>335</v>
      </c>
      <c r="V281" s="99">
        <v>116</v>
      </c>
      <c r="W281" s="99">
        <v>6820</v>
      </c>
      <c r="X281" s="99">
        <v>165</v>
      </c>
      <c r="Y281" s="99">
        <v>0</v>
      </c>
      <c r="Z281" s="99">
        <v>83</v>
      </c>
      <c r="AA281" s="99">
        <v>0</v>
      </c>
      <c r="AB281" s="99">
        <v>1</v>
      </c>
      <c r="AC281" s="99">
        <v>120</v>
      </c>
      <c r="AD281" s="99">
        <v>1</v>
      </c>
    </row>
    <row r="282" spans="1:30" ht="15" x14ac:dyDescent="0.25">
      <c r="A282">
        <v>892</v>
      </c>
      <c r="B282" s="100" t="s">
        <v>403</v>
      </c>
      <c r="C282" s="99">
        <v>4729</v>
      </c>
      <c r="D282" s="99">
        <v>0</v>
      </c>
      <c r="E282" s="99">
        <v>25</v>
      </c>
      <c r="F282" s="99">
        <v>483</v>
      </c>
      <c r="G282" s="99">
        <v>55</v>
      </c>
      <c r="H282" s="99">
        <v>1225</v>
      </c>
      <c r="I282" s="99">
        <v>0</v>
      </c>
      <c r="J282">
        <v>0</v>
      </c>
      <c r="K282">
        <v>0</v>
      </c>
      <c r="L282">
        <v>0</v>
      </c>
      <c r="M282" s="99">
        <v>0</v>
      </c>
      <c r="N282" s="99">
        <v>0</v>
      </c>
      <c r="O282" s="99">
        <v>0</v>
      </c>
      <c r="P282" s="99">
        <v>0</v>
      </c>
      <c r="Q282" s="99">
        <v>0</v>
      </c>
      <c r="R282" s="99">
        <v>0</v>
      </c>
      <c r="S282">
        <v>23059</v>
      </c>
      <c r="T282">
        <v>1068</v>
      </c>
      <c r="U282">
        <v>483</v>
      </c>
      <c r="V282" s="99">
        <v>104</v>
      </c>
      <c r="W282" s="99">
        <v>10850</v>
      </c>
      <c r="X282" s="99">
        <v>291</v>
      </c>
      <c r="Y282" s="99">
        <v>0</v>
      </c>
      <c r="Z282" s="99">
        <v>87</v>
      </c>
      <c r="AA282" s="99">
        <v>0</v>
      </c>
      <c r="AB282" s="99">
        <v>3</v>
      </c>
      <c r="AC282" s="99">
        <v>138</v>
      </c>
      <c r="AD282" s="99">
        <v>1</v>
      </c>
    </row>
    <row r="283" spans="1:30" ht="15" x14ac:dyDescent="0.25">
      <c r="A283">
        <v>893</v>
      </c>
      <c r="B283" s="100" t="s">
        <v>404</v>
      </c>
      <c r="C283" s="99">
        <v>8134</v>
      </c>
      <c r="D283" s="99">
        <v>0</v>
      </c>
      <c r="E283" s="99">
        <v>76</v>
      </c>
      <c r="F283" s="99">
        <v>0</v>
      </c>
      <c r="G283" s="99">
        <v>0</v>
      </c>
      <c r="H283" s="99">
        <v>327</v>
      </c>
      <c r="I283" s="99">
        <v>0</v>
      </c>
      <c r="J283">
        <v>0</v>
      </c>
      <c r="K283">
        <v>0</v>
      </c>
      <c r="L283">
        <v>0</v>
      </c>
      <c r="M283" s="99">
        <v>0</v>
      </c>
      <c r="N283" s="99">
        <v>0</v>
      </c>
      <c r="O283" s="99">
        <v>0</v>
      </c>
      <c r="P283" s="99">
        <v>0</v>
      </c>
      <c r="Q283" s="99">
        <v>0</v>
      </c>
      <c r="R283" s="99">
        <v>0</v>
      </c>
      <c r="S283">
        <v>51897</v>
      </c>
      <c r="T283">
        <v>1725</v>
      </c>
      <c r="U283">
        <v>0</v>
      </c>
      <c r="V283" s="99">
        <v>561</v>
      </c>
      <c r="W283" s="99">
        <v>26455</v>
      </c>
      <c r="X283" s="99">
        <v>540</v>
      </c>
      <c r="Y283" s="99">
        <v>0</v>
      </c>
      <c r="Z283" s="99">
        <v>49</v>
      </c>
      <c r="AA283" s="99">
        <v>0</v>
      </c>
      <c r="AB283" s="99">
        <v>0</v>
      </c>
      <c r="AC283" s="99">
        <v>0</v>
      </c>
      <c r="AD283" s="99">
        <v>0</v>
      </c>
    </row>
    <row r="284" spans="1:30" ht="15" x14ac:dyDescent="0.25">
      <c r="A284">
        <v>895</v>
      </c>
      <c r="B284" s="100" t="s">
        <v>405</v>
      </c>
      <c r="C284" s="99">
        <v>44598</v>
      </c>
      <c r="D284" s="99">
        <v>0</v>
      </c>
      <c r="E284" s="99">
        <v>448</v>
      </c>
      <c r="F284" s="99">
        <v>0</v>
      </c>
      <c r="G284" s="99">
        <v>142</v>
      </c>
      <c r="H284" s="99">
        <v>15276</v>
      </c>
      <c r="I284" s="99">
        <v>0</v>
      </c>
      <c r="J284">
        <v>0</v>
      </c>
      <c r="K284">
        <v>0</v>
      </c>
      <c r="L284">
        <v>0</v>
      </c>
      <c r="M284" s="99">
        <v>0</v>
      </c>
      <c r="N284" s="99">
        <v>0</v>
      </c>
      <c r="O284" s="99">
        <v>0</v>
      </c>
      <c r="P284" s="99">
        <v>0</v>
      </c>
      <c r="Q284" s="99">
        <v>0</v>
      </c>
      <c r="R284" s="99">
        <v>0</v>
      </c>
      <c r="S284">
        <v>123011</v>
      </c>
      <c r="T284">
        <v>5510</v>
      </c>
      <c r="U284">
        <v>0</v>
      </c>
      <c r="V284" s="99">
        <v>780</v>
      </c>
      <c r="W284" s="99">
        <v>71524</v>
      </c>
      <c r="X284" s="99">
        <v>1169</v>
      </c>
      <c r="Y284" s="99">
        <v>0</v>
      </c>
      <c r="Z284" s="99">
        <v>270</v>
      </c>
      <c r="AA284" s="99">
        <v>0</v>
      </c>
      <c r="AB284" s="99">
        <v>0</v>
      </c>
      <c r="AC284" s="99">
        <v>0</v>
      </c>
      <c r="AD284" s="99">
        <v>0</v>
      </c>
    </row>
    <row r="285" spans="1:30" ht="15" x14ac:dyDescent="0.25">
      <c r="A285">
        <v>905</v>
      </c>
      <c r="B285" s="100" t="s">
        <v>407</v>
      </c>
      <c r="C285" s="99">
        <v>194830</v>
      </c>
      <c r="D285" s="99">
        <v>0</v>
      </c>
      <c r="E285" s="99">
        <v>2473</v>
      </c>
      <c r="F285" s="99">
        <v>5543</v>
      </c>
      <c r="G285" s="99">
        <v>1646</v>
      </c>
      <c r="H285" s="99">
        <v>49575</v>
      </c>
      <c r="I285" s="99">
        <v>6113</v>
      </c>
      <c r="J285">
        <v>0</v>
      </c>
      <c r="K285">
        <v>0</v>
      </c>
      <c r="L285">
        <v>0</v>
      </c>
      <c r="M285" s="99">
        <v>0</v>
      </c>
      <c r="N285" s="99">
        <v>0</v>
      </c>
      <c r="O285" s="99">
        <v>0</v>
      </c>
      <c r="P285" s="99">
        <v>0</v>
      </c>
      <c r="Q285" s="99">
        <v>715</v>
      </c>
      <c r="R285" s="99">
        <v>0</v>
      </c>
      <c r="S285">
        <v>574248</v>
      </c>
      <c r="T285">
        <v>30904</v>
      </c>
      <c r="U285">
        <v>5544</v>
      </c>
      <c r="V285" s="99">
        <v>6530</v>
      </c>
      <c r="W285" s="99">
        <v>281395</v>
      </c>
      <c r="X285" s="99">
        <v>10208</v>
      </c>
      <c r="Y285" s="99">
        <v>1</v>
      </c>
      <c r="Z285" s="99">
        <v>1132</v>
      </c>
      <c r="AA285" s="99">
        <v>421</v>
      </c>
      <c r="AB285" s="99">
        <v>17</v>
      </c>
      <c r="AC285" s="99">
        <v>2722</v>
      </c>
      <c r="AD285" s="99">
        <v>0</v>
      </c>
    </row>
    <row r="286" spans="1:30" ht="15" x14ac:dyDescent="0.25">
      <c r="A286">
        <v>908</v>
      </c>
      <c r="B286" s="100" t="s">
        <v>408</v>
      </c>
      <c r="C286" s="99">
        <v>52869</v>
      </c>
      <c r="D286" s="99">
        <v>0</v>
      </c>
      <c r="E286" s="99">
        <v>283</v>
      </c>
      <c r="F286" s="99">
        <v>0</v>
      </c>
      <c r="G286" s="99">
        <v>584</v>
      </c>
      <c r="H286" s="99">
        <v>10766</v>
      </c>
      <c r="I286" s="99">
        <v>0</v>
      </c>
      <c r="J286">
        <v>0</v>
      </c>
      <c r="K286">
        <v>0</v>
      </c>
      <c r="L286">
        <v>0</v>
      </c>
      <c r="M286" s="99">
        <v>0</v>
      </c>
      <c r="N286" s="99">
        <v>0</v>
      </c>
      <c r="O286" s="99">
        <v>0</v>
      </c>
      <c r="P286" s="99">
        <v>0</v>
      </c>
      <c r="Q286" s="99">
        <v>0</v>
      </c>
      <c r="R286" s="99">
        <v>0</v>
      </c>
      <c r="S286">
        <v>160366</v>
      </c>
      <c r="T286">
        <v>9254</v>
      </c>
      <c r="U286">
        <v>0</v>
      </c>
      <c r="V286" s="99">
        <v>1735</v>
      </c>
      <c r="W286" s="99">
        <v>79366</v>
      </c>
      <c r="X286" s="99">
        <v>1505</v>
      </c>
      <c r="Y286" s="99">
        <v>0</v>
      </c>
      <c r="Z286" s="99">
        <v>81</v>
      </c>
      <c r="AA286" s="99">
        <v>2</v>
      </c>
      <c r="AB286" s="99">
        <v>0</v>
      </c>
      <c r="AC286" s="99">
        <v>0</v>
      </c>
      <c r="AD286" s="99">
        <v>0</v>
      </c>
    </row>
    <row r="287" spans="1:30" ht="15" x14ac:dyDescent="0.25">
      <c r="A287">
        <v>911</v>
      </c>
      <c r="B287" s="100" t="s">
        <v>409</v>
      </c>
      <c r="C287" s="99">
        <v>8320</v>
      </c>
      <c r="D287" s="99">
        <v>0</v>
      </c>
      <c r="E287" s="99">
        <v>23</v>
      </c>
      <c r="F287" s="99">
        <v>0</v>
      </c>
      <c r="G287" s="99">
        <v>15</v>
      </c>
      <c r="H287" s="99">
        <v>772</v>
      </c>
      <c r="I287" s="99">
        <v>0</v>
      </c>
      <c r="J287">
        <v>0</v>
      </c>
      <c r="K287">
        <v>0</v>
      </c>
      <c r="L287">
        <v>0</v>
      </c>
      <c r="M287" s="99">
        <v>0</v>
      </c>
      <c r="N287" s="99">
        <v>1</v>
      </c>
      <c r="O287" s="99">
        <v>0</v>
      </c>
      <c r="P287" s="99">
        <v>0</v>
      </c>
      <c r="Q287" s="99">
        <v>0</v>
      </c>
      <c r="R287" s="99">
        <v>0</v>
      </c>
      <c r="S287">
        <v>24748</v>
      </c>
      <c r="T287">
        <v>940</v>
      </c>
      <c r="U287">
        <v>0</v>
      </c>
      <c r="V287" s="99">
        <v>45</v>
      </c>
      <c r="W287" s="99">
        <v>12274</v>
      </c>
      <c r="X287" s="99">
        <v>172</v>
      </c>
      <c r="Y287" s="99">
        <v>0</v>
      </c>
      <c r="Z287" s="99">
        <v>0</v>
      </c>
      <c r="AA287" s="99">
        <v>0</v>
      </c>
      <c r="AB287" s="99">
        <v>0</v>
      </c>
      <c r="AC287" s="99">
        <v>0</v>
      </c>
      <c r="AD287" s="99">
        <v>0</v>
      </c>
    </row>
    <row r="288" spans="1:30" ht="15" x14ac:dyDescent="0.25">
      <c r="A288">
        <v>915</v>
      </c>
      <c r="B288" s="100" t="s">
        <v>411</v>
      </c>
      <c r="C288" s="99">
        <v>75131</v>
      </c>
      <c r="D288" s="99">
        <v>0</v>
      </c>
      <c r="E288" s="99">
        <v>338</v>
      </c>
      <c r="F288" s="99">
        <v>0</v>
      </c>
      <c r="G288" s="99">
        <v>777</v>
      </c>
      <c r="H288" s="99">
        <v>45664</v>
      </c>
      <c r="I288" s="99">
        <v>0</v>
      </c>
      <c r="J288">
        <v>0</v>
      </c>
      <c r="K288">
        <v>0</v>
      </c>
      <c r="L288">
        <v>0</v>
      </c>
      <c r="M288" s="99">
        <v>0</v>
      </c>
      <c r="N288" s="99">
        <v>0</v>
      </c>
      <c r="O288" s="99">
        <v>0</v>
      </c>
      <c r="P288" s="99">
        <v>0</v>
      </c>
      <c r="Q288" s="99">
        <v>0</v>
      </c>
      <c r="R288" s="99">
        <v>0</v>
      </c>
      <c r="S288">
        <v>195467</v>
      </c>
      <c r="T288">
        <v>5048</v>
      </c>
      <c r="U288">
        <v>0</v>
      </c>
      <c r="V288" s="99">
        <v>3491</v>
      </c>
      <c r="W288" s="99">
        <v>127441</v>
      </c>
      <c r="X288" s="99">
        <v>2490</v>
      </c>
      <c r="Y288" s="99">
        <v>0</v>
      </c>
      <c r="Z288" s="99">
        <v>599</v>
      </c>
      <c r="AA288" s="99">
        <v>0</v>
      </c>
      <c r="AB288" s="99">
        <v>0</v>
      </c>
      <c r="AC288" s="99">
        <v>0</v>
      </c>
      <c r="AD288" s="99">
        <v>0</v>
      </c>
    </row>
    <row r="289" spans="1:30" ht="15" x14ac:dyDescent="0.25">
      <c r="A289">
        <v>918</v>
      </c>
      <c r="B289" s="100" t="s">
        <v>412</v>
      </c>
      <c r="C289" s="99">
        <v>6967</v>
      </c>
      <c r="D289" s="99">
        <v>0</v>
      </c>
      <c r="E289" s="99">
        <v>0</v>
      </c>
      <c r="F289" s="99">
        <v>0</v>
      </c>
      <c r="G289" s="99">
        <v>0</v>
      </c>
      <c r="H289" s="99">
        <v>1366</v>
      </c>
      <c r="I289" s="99">
        <v>86</v>
      </c>
      <c r="J289">
        <v>0</v>
      </c>
      <c r="K289">
        <v>0</v>
      </c>
      <c r="L289">
        <v>0</v>
      </c>
      <c r="M289" s="99">
        <v>0</v>
      </c>
      <c r="N289" s="99">
        <v>0</v>
      </c>
      <c r="O289" s="99">
        <v>0</v>
      </c>
      <c r="P289" s="99">
        <v>0</v>
      </c>
      <c r="Q289" s="99">
        <v>0</v>
      </c>
      <c r="R289" s="99">
        <v>0</v>
      </c>
      <c r="S289">
        <v>20362</v>
      </c>
      <c r="T289">
        <v>391</v>
      </c>
      <c r="U289">
        <v>0</v>
      </c>
      <c r="V289" s="99">
        <v>54</v>
      </c>
      <c r="W289" s="99">
        <v>10798</v>
      </c>
      <c r="X289" s="99">
        <v>233</v>
      </c>
      <c r="Y289" s="99">
        <v>0</v>
      </c>
      <c r="Z289" s="99">
        <v>9</v>
      </c>
      <c r="AA289" s="99">
        <v>4</v>
      </c>
      <c r="AB289" s="99">
        <v>0</v>
      </c>
      <c r="AC289" s="99">
        <v>0</v>
      </c>
      <c r="AD289" s="99">
        <v>0</v>
      </c>
    </row>
    <row r="290" spans="1:30" ht="15" x14ac:dyDescent="0.25">
      <c r="A290">
        <v>921</v>
      </c>
      <c r="B290" s="100" t="s">
        <v>413</v>
      </c>
      <c r="C290" s="99">
        <v>3446</v>
      </c>
      <c r="D290" s="99">
        <v>0</v>
      </c>
      <c r="E290" s="99">
        <v>0</v>
      </c>
      <c r="F290" s="99">
        <v>821</v>
      </c>
      <c r="G290" s="99">
        <v>50</v>
      </c>
      <c r="H290" s="99">
        <v>1008</v>
      </c>
      <c r="I290" s="99">
        <v>0</v>
      </c>
      <c r="J290">
        <v>0</v>
      </c>
      <c r="K290">
        <v>0</v>
      </c>
      <c r="L290">
        <v>0</v>
      </c>
      <c r="M290" s="99">
        <v>0</v>
      </c>
      <c r="N290" s="99">
        <v>0</v>
      </c>
      <c r="O290" s="99">
        <v>0</v>
      </c>
      <c r="P290" s="99">
        <v>0</v>
      </c>
      <c r="Q290" s="99">
        <v>96</v>
      </c>
      <c r="R290" s="99">
        <v>0</v>
      </c>
      <c r="S290">
        <v>19366</v>
      </c>
      <c r="T290">
        <v>596</v>
      </c>
      <c r="U290">
        <v>810</v>
      </c>
      <c r="V290" s="99">
        <v>187</v>
      </c>
      <c r="W290" s="99">
        <v>12154</v>
      </c>
      <c r="X290" s="99">
        <v>230</v>
      </c>
      <c r="Y290" s="99">
        <v>1</v>
      </c>
      <c r="Z290" s="99">
        <v>16</v>
      </c>
      <c r="AA290" s="99">
        <v>0</v>
      </c>
      <c r="AB290" s="99">
        <v>24</v>
      </c>
      <c r="AC290" s="99">
        <v>259</v>
      </c>
      <c r="AD290" s="99">
        <v>0</v>
      </c>
    </row>
    <row r="291" spans="1:30" ht="15" x14ac:dyDescent="0.25">
      <c r="A291">
        <v>922</v>
      </c>
      <c r="B291" s="100" t="s">
        <v>414</v>
      </c>
      <c r="C291" s="99">
        <v>6078</v>
      </c>
      <c r="D291" s="99">
        <v>0</v>
      </c>
      <c r="E291" s="99">
        <v>0</v>
      </c>
      <c r="F291" s="99">
        <v>421</v>
      </c>
      <c r="G291" s="99">
        <v>47</v>
      </c>
      <c r="H291" s="99">
        <v>175</v>
      </c>
      <c r="I291" s="99">
        <v>0</v>
      </c>
      <c r="J291">
        <v>0</v>
      </c>
      <c r="K291">
        <v>0</v>
      </c>
      <c r="L291">
        <v>0</v>
      </c>
      <c r="M291" s="99">
        <v>0</v>
      </c>
      <c r="N291" s="99">
        <v>0</v>
      </c>
      <c r="O291" s="99">
        <v>0</v>
      </c>
      <c r="P291" s="99">
        <v>0</v>
      </c>
      <c r="Q291" s="99">
        <v>0</v>
      </c>
      <c r="R291" s="99">
        <v>0</v>
      </c>
      <c r="S291">
        <v>29585</v>
      </c>
      <c r="T291">
        <v>1823</v>
      </c>
      <c r="U291">
        <v>418</v>
      </c>
      <c r="V291" s="99">
        <v>204</v>
      </c>
      <c r="W291" s="99">
        <v>13829</v>
      </c>
      <c r="X291" s="99">
        <v>307</v>
      </c>
      <c r="Y291" s="99">
        <v>0</v>
      </c>
      <c r="Z291" s="99">
        <v>12</v>
      </c>
      <c r="AA291" s="99">
        <v>0</v>
      </c>
      <c r="AB291" s="99">
        <v>3</v>
      </c>
      <c r="AC291" s="99">
        <v>150</v>
      </c>
      <c r="AD291" s="99">
        <v>3</v>
      </c>
    </row>
    <row r="292" spans="1:30" ht="15" x14ac:dyDescent="0.25">
      <c r="A292">
        <v>924</v>
      </c>
      <c r="B292" s="100" t="s">
        <v>415</v>
      </c>
      <c r="C292" s="99">
        <v>8226</v>
      </c>
      <c r="D292" s="99">
        <v>0</v>
      </c>
      <c r="E292" s="99">
        <v>0</v>
      </c>
      <c r="F292" s="99">
        <v>457</v>
      </c>
      <c r="G292" s="99">
        <v>0</v>
      </c>
      <c r="H292" s="99">
        <v>0</v>
      </c>
      <c r="I292" s="99">
        <v>0</v>
      </c>
      <c r="J292">
        <v>0</v>
      </c>
      <c r="K292">
        <v>0</v>
      </c>
      <c r="L292">
        <v>0</v>
      </c>
      <c r="M292" s="99">
        <v>0</v>
      </c>
      <c r="N292" s="99">
        <v>0</v>
      </c>
      <c r="O292" s="99">
        <v>0</v>
      </c>
      <c r="P292" s="99">
        <v>0</v>
      </c>
      <c r="Q292" s="99">
        <v>0</v>
      </c>
      <c r="R292" s="99">
        <v>0</v>
      </c>
      <c r="S292">
        <v>24358</v>
      </c>
      <c r="T292">
        <v>1621</v>
      </c>
      <c r="U292">
        <v>461</v>
      </c>
      <c r="V292" s="99">
        <v>101</v>
      </c>
      <c r="W292" s="99">
        <v>12557</v>
      </c>
      <c r="X292" s="99">
        <v>274</v>
      </c>
      <c r="Y292" s="99">
        <v>0</v>
      </c>
      <c r="Z292" s="99">
        <v>0</v>
      </c>
      <c r="AA292" s="99">
        <v>8</v>
      </c>
      <c r="AB292" s="99">
        <v>0</v>
      </c>
      <c r="AC292" s="99">
        <v>0</v>
      </c>
      <c r="AD292" s="99">
        <v>13</v>
      </c>
    </row>
    <row r="293" spans="1:30" ht="15" x14ac:dyDescent="0.25">
      <c r="A293">
        <v>925</v>
      </c>
      <c r="B293" s="100" t="s">
        <v>416</v>
      </c>
      <c r="C293" s="99">
        <v>3667</v>
      </c>
      <c r="D293" s="99">
        <v>0</v>
      </c>
      <c r="E293" s="99">
        <v>0</v>
      </c>
      <c r="F293" s="99">
        <v>383</v>
      </c>
      <c r="G293" s="99">
        <v>23</v>
      </c>
      <c r="H293" s="99">
        <v>73</v>
      </c>
      <c r="I293" s="99">
        <v>0</v>
      </c>
      <c r="J293">
        <v>0</v>
      </c>
      <c r="K293">
        <v>0</v>
      </c>
      <c r="L293">
        <v>0</v>
      </c>
      <c r="M293" s="99">
        <v>0</v>
      </c>
      <c r="N293" s="99">
        <v>0</v>
      </c>
      <c r="O293" s="99">
        <v>0</v>
      </c>
      <c r="P293" s="99">
        <v>0</v>
      </c>
      <c r="Q293" s="99">
        <v>0</v>
      </c>
      <c r="R293" s="99">
        <v>0</v>
      </c>
      <c r="S293">
        <v>25833</v>
      </c>
      <c r="T293">
        <v>704</v>
      </c>
      <c r="U293">
        <v>383</v>
      </c>
      <c r="V293" s="99">
        <v>108</v>
      </c>
      <c r="W293" s="99">
        <v>14239</v>
      </c>
      <c r="X293" s="99">
        <v>353</v>
      </c>
      <c r="Y293" s="99">
        <v>0</v>
      </c>
      <c r="Z293" s="99">
        <v>0</v>
      </c>
      <c r="AA293" s="99">
        <v>0</v>
      </c>
      <c r="AB293" s="99">
        <v>2</v>
      </c>
      <c r="AC293" s="99">
        <v>3</v>
      </c>
      <c r="AD293" s="99">
        <v>0</v>
      </c>
    </row>
    <row r="294" spans="1:30" ht="15" x14ac:dyDescent="0.25">
      <c r="A294">
        <v>927</v>
      </c>
      <c r="B294" s="100" t="s">
        <v>417</v>
      </c>
      <c r="C294" s="99">
        <v>43593</v>
      </c>
      <c r="D294" s="99">
        <v>0</v>
      </c>
      <c r="E294" s="99">
        <v>205</v>
      </c>
      <c r="F294" s="99">
        <v>3048</v>
      </c>
      <c r="G294" s="99">
        <v>59</v>
      </c>
      <c r="H294" s="99">
        <v>1870</v>
      </c>
      <c r="I294" s="99">
        <v>0</v>
      </c>
      <c r="J294">
        <v>0</v>
      </c>
      <c r="K294">
        <v>0</v>
      </c>
      <c r="L294">
        <v>0</v>
      </c>
      <c r="M294" s="99">
        <v>0</v>
      </c>
      <c r="N294" s="99">
        <v>0</v>
      </c>
      <c r="O294" s="99">
        <v>0</v>
      </c>
      <c r="P294" s="99">
        <v>0</v>
      </c>
      <c r="Q294" s="99">
        <v>0</v>
      </c>
      <c r="R294" s="99">
        <v>0</v>
      </c>
      <c r="S294">
        <v>178135</v>
      </c>
      <c r="T294">
        <v>9348</v>
      </c>
      <c r="U294">
        <v>3046</v>
      </c>
      <c r="V294" s="99">
        <v>2340</v>
      </c>
      <c r="W294" s="99">
        <v>84008</v>
      </c>
      <c r="X294" s="99">
        <v>1865</v>
      </c>
      <c r="Y294" s="99">
        <v>0</v>
      </c>
      <c r="Z294" s="99">
        <v>0</v>
      </c>
      <c r="AA294" s="99">
        <v>0</v>
      </c>
      <c r="AB294" s="99">
        <v>6</v>
      </c>
      <c r="AC294" s="99">
        <v>6</v>
      </c>
      <c r="AD294" s="99">
        <v>0</v>
      </c>
    </row>
    <row r="295" spans="1:30" ht="15" x14ac:dyDescent="0.25">
      <c r="A295">
        <v>931</v>
      </c>
      <c r="B295" s="100" t="s">
        <v>418</v>
      </c>
      <c r="C295" s="99">
        <v>33784</v>
      </c>
      <c r="D295" s="99">
        <v>0</v>
      </c>
      <c r="E295" s="99">
        <v>0</v>
      </c>
      <c r="F295" s="99">
        <v>0</v>
      </c>
      <c r="G295" s="99">
        <v>21</v>
      </c>
      <c r="H295" s="99">
        <v>24946</v>
      </c>
      <c r="I295" s="99">
        <v>0</v>
      </c>
      <c r="J295">
        <v>0</v>
      </c>
      <c r="K295">
        <v>0</v>
      </c>
      <c r="L295">
        <v>0</v>
      </c>
      <c r="M295" s="99">
        <v>0</v>
      </c>
      <c r="N295" s="99">
        <v>0</v>
      </c>
      <c r="O295" s="99">
        <v>0</v>
      </c>
      <c r="P295" s="99">
        <v>0</v>
      </c>
      <c r="Q295" s="99">
        <v>0</v>
      </c>
      <c r="R295" s="99">
        <v>0</v>
      </c>
      <c r="S295">
        <v>74303</v>
      </c>
      <c r="T295">
        <v>2555</v>
      </c>
      <c r="U295">
        <v>0</v>
      </c>
      <c r="V295" s="99">
        <v>11</v>
      </c>
      <c r="W295" s="99">
        <v>53427</v>
      </c>
      <c r="X295" s="99">
        <v>548</v>
      </c>
      <c r="Y295" s="99">
        <v>0</v>
      </c>
      <c r="Z295" s="99">
        <v>92</v>
      </c>
      <c r="AA295" s="99">
        <v>0</v>
      </c>
      <c r="AB295" s="99">
        <v>0</v>
      </c>
      <c r="AC295" s="99">
        <v>0</v>
      </c>
      <c r="AD295" s="99">
        <v>0</v>
      </c>
    </row>
    <row r="296" spans="1:30" ht="15" x14ac:dyDescent="0.25">
      <c r="A296">
        <v>934</v>
      </c>
      <c r="B296" s="100" t="s">
        <v>419</v>
      </c>
      <c r="C296" s="99">
        <v>2376</v>
      </c>
      <c r="D296" s="99">
        <v>0</v>
      </c>
      <c r="E296" s="99">
        <v>0</v>
      </c>
      <c r="F296" s="99">
        <v>0</v>
      </c>
      <c r="G296" s="99">
        <v>0</v>
      </c>
      <c r="H296" s="99">
        <v>0</v>
      </c>
      <c r="I296" s="99">
        <v>0</v>
      </c>
      <c r="J296">
        <v>0</v>
      </c>
      <c r="K296">
        <v>0</v>
      </c>
      <c r="L296">
        <v>0</v>
      </c>
      <c r="M296" s="99">
        <v>0</v>
      </c>
      <c r="N296" s="99">
        <v>0</v>
      </c>
      <c r="O296" s="99">
        <v>0</v>
      </c>
      <c r="P296" s="99">
        <v>0</v>
      </c>
      <c r="Q296" s="99">
        <v>0</v>
      </c>
      <c r="R296" s="99">
        <v>0</v>
      </c>
      <c r="S296">
        <v>18677</v>
      </c>
      <c r="T296">
        <v>818</v>
      </c>
      <c r="U296">
        <v>0</v>
      </c>
      <c r="V296" s="99">
        <v>127</v>
      </c>
      <c r="W296" s="99">
        <v>10999</v>
      </c>
      <c r="X296" s="99">
        <v>263</v>
      </c>
      <c r="Y296" s="99">
        <v>0</v>
      </c>
      <c r="Z296" s="99">
        <v>0</v>
      </c>
      <c r="AA296" s="99">
        <v>0</v>
      </c>
      <c r="AB296" s="99">
        <v>0</v>
      </c>
      <c r="AC296" s="99">
        <v>0</v>
      </c>
      <c r="AD296" s="99">
        <v>0</v>
      </c>
    </row>
    <row r="297" spans="1:30" ht="15" x14ac:dyDescent="0.25">
      <c r="A297">
        <v>935</v>
      </c>
      <c r="B297" s="100" t="s">
        <v>420</v>
      </c>
      <c r="C297" s="99">
        <v>10188</v>
      </c>
      <c r="D297" s="99">
        <v>0</v>
      </c>
      <c r="E297" s="99">
        <v>0</v>
      </c>
      <c r="F297" s="99">
        <v>0</v>
      </c>
      <c r="G297" s="99">
        <v>0</v>
      </c>
      <c r="H297" s="99">
        <v>3</v>
      </c>
      <c r="I297" s="99">
        <v>0</v>
      </c>
      <c r="J297">
        <v>0</v>
      </c>
      <c r="K297">
        <v>0</v>
      </c>
      <c r="L297">
        <v>0</v>
      </c>
      <c r="M297" s="99">
        <v>0</v>
      </c>
      <c r="N297" s="99">
        <v>0</v>
      </c>
      <c r="O297" s="99">
        <v>0</v>
      </c>
      <c r="P297" s="99">
        <v>0</v>
      </c>
      <c r="Q297" s="99">
        <v>0</v>
      </c>
      <c r="R297" s="99">
        <v>0</v>
      </c>
      <c r="S297">
        <v>28583</v>
      </c>
      <c r="T297">
        <v>1098</v>
      </c>
      <c r="U297">
        <v>0</v>
      </c>
      <c r="V297" s="99">
        <v>199</v>
      </c>
      <c r="W297" s="99">
        <v>10729</v>
      </c>
      <c r="X297" s="99">
        <v>358</v>
      </c>
      <c r="Y297" s="99">
        <v>0</v>
      </c>
      <c r="Z297" s="99">
        <v>45</v>
      </c>
      <c r="AA297" s="99">
        <v>0</v>
      </c>
      <c r="AB297" s="99">
        <v>0</v>
      </c>
      <c r="AC297" s="99">
        <v>0</v>
      </c>
      <c r="AD297" s="99">
        <v>0</v>
      </c>
    </row>
    <row r="298" spans="1:30" ht="15" x14ac:dyDescent="0.25">
      <c r="A298">
        <v>936</v>
      </c>
      <c r="B298" s="100" t="s">
        <v>421</v>
      </c>
      <c r="C298" s="99">
        <v>40747</v>
      </c>
      <c r="D298" s="99">
        <v>86</v>
      </c>
      <c r="E298" s="99">
        <v>0</v>
      </c>
      <c r="F298" s="99">
        <v>1806</v>
      </c>
      <c r="G298" s="99">
        <v>118</v>
      </c>
      <c r="H298" s="99">
        <v>27034</v>
      </c>
      <c r="I298" s="99">
        <v>0</v>
      </c>
      <c r="J298">
        <v>0</v>
      </c>
      <c r="K298">
        <v>0</v>
      </c>
      <c r="L298">
        <v>0</v>
      </c>
      <c r="M298" s="99">
        <v>0</v>
      </c>
      <c r="N298" s="99">
        <v>0</v>
      </c>
      <c r="O298" s="99">
        <v>0</v>
      </c>
      <c r="P298" s="99">
        <v>0</v>
      </c>
      <c r="Q298" s="99">
        <v>8</v>
      </c>
      <c r="R298" s="99">
        <v>0</v>
      </c>
      <c r="S298">
        <v>79428</v>
      </c>
      <c r="T298">
        <v>3154</v>
      </c>
      <c r="U298">
        <v>1806</v>
      </c>
      <c r="V298" s="99">
        <v>75</v>
      </c>
      <c r="W298" s="99">
        <v>50969</v>
      </c>
      <c r="X298" s="99">
        <v>526</v>
      </c>
      <c r="Y298" s="99">
        <v>0</v>
      </c>
      <c r="Z298" s="99">
        <v>38</v>
      </c>
      <c r="AA298" s="99">
        <v>9</v>
      </c>
      <c r="AB298" s="99">
        <v>4</v>
      </c>
      <c r="AC298" s="99">
        <v>1435</v>
      </c>
      <c r="AD298" s="99">
        <v>11</v>
      </c>
    </row>
    <row r="299" spans="1:30" ht="15" x14ac:dyDescent="0.25">
      <c r="A299">
        <v>946</v>
      </c>
      <c r="B299" s="100" t="s">
        <v>135</v>
      </c>
      <c r="C299" s="99">
        <v>21371</v>
      </c>
      <c r="D299" s="99">
        <v>0</v>
      </c>
      <c r="E299" s="99">
        <v>0</v>
      </c>
      <c r="F299" s="99">
        <v>0</v>
      </c>
      <c r="G299" s="99">
        <v>4</v>
      </c>
      <c r="H299" s="99">
        <v>11210</v>
      </c>
      <c r="I299" s="99">
        <v>27</v>
      </c>
      <c r="J299">
        <v>0</v>
      </c>
      <c r="K299">
        <v>0</v>
      </c>
      <c r="L299">
        <v>0</v>
      </c>
      <c r="M299" s="99">
        <v>0</v>
      </c>
      <c r="N299" s="99">
        <v>0</v>
      </c>
      <c r="O299" s="99">
        <v>0</v>
      </c>
      <c r="P299" s="99">
        <v>0</v>
      </c>
      <c r="Q299" s="99">
        <v>0</v>
      </c>
      <c r="R299" s="99">
        <v>0</v>
      </c>
      <c r="S299">
        <v>60610</v>
      </c>
      <c r="T299">
        <v>1485</v>
      </c>
      <c r="U299">
        <v>0</v>
      </c>
      <c r="V299" s="99">
        <v>534</v>
      </c>
      <c r="W299" s="99">
        <v>34698</v>
      </c>
      <c r="X299" s="99">
        <v>470</v>
      </c>
      <c r="Y299" s="99">
        <v>0</v>
      </c>
      <c r="Z299" s="99">
        <v>181</v>
      </c>
      <c r="AA299" s="99">
        <v>0</v>
      </c>
      <c r="AB299" s="99">
        <v>0</v>
      </c>
      <c r="AC299" s="99">
        <v>0</v>
      </c>
      <c r="AD299" s="99">
        <v>0</v>
      </c>
    </row>
    <row r="300" spans="1:30" ht="15" x14ac:dyDescent="0.25">
      <c r="A300">
        <v>976</v>
      </c>
      <c r="B300" s="100" t="s">
        <v>422</v>
      </c>
      <c r="C300" s="99">
        <v>12981</v>
      </c>
      <c r="D300" s="99">
        <v>0</v>
      </c>
      <c r="E300" s="99">
        <v>0</v>
      </c>
      <c r="F300" s="99">
        <v>0</v>
      </c>
      <c r="G300" s="99">
        <v>2</v>
      </c>
      <c r="H300" s="99">
        <v>2552</v>
      </c>
      <c r="I300" s="99">
        <v>77</v>
      </c>
      <c r="J300">
        <v>0</v>
      </c>
      <c r="K300">
        <v>0</v>
      </c>
      <c r="L300">
        <v>0</v>
      </c>
      <c r="M300" s="99">
        <v>0</v>
      </c>
      <c r="N300" s="99">
        <v>0</v>
      </c>
      <c r="O300" s="99">
        <v>0</v>
      </c>
      <c r="P300" s="99">
        <v>0</v>
      </c>
      <c r="Q300" s="99">
        <v>0</v>
      </c>
      <c r="R300" s="99">
        <v>0</v>
      </c>
      <c r="S300">
        <v>42837</v>
      </c>
      <c r="T300">
        <v>1564</v>
      </c>
      <c r="U300">
        <v>0</v>
      </c>
      <c r="V300" s="99">
        <v>65</v>
      </c>
      <c r="W300" s="99">
        <v>23464</v>
      </c>
      <c r="X300" s="99">
        <v>489</v>
      </c>
      <c r="Y300" s="99">
        <v>0</v>
      </c>
      <c r="Z300" s="99">
        <v>116</v>
      </c>
      <c r="AA300" s="99">
        <v>0</v>
      </c>
      <c r="AB300" s="99">
        <v>0</v>
      </c>
      <c r="AC300" s="99">
        <v>0</v>
      </c>
      <c r="AD300" s="99">
        <v>0</v>
      </c>
    </row>
    <row r="301" spans="1:30" ht="15" x14ac:dyDescent="0.25">
      <c r="A301">
        <v>977</v>
      </c>
      <c r="B301" s="100" t="s">
        <v>423</v>
      </c>
      <c r="C301" s="99">
        <v>38804</v>
      </c>
      <c r="D301" s="99">
        <v>0</v>
      </c>
      <c r="E301" s="99">
        <v>0</v>
      </c>
      <c r="F301" s="99">
        <v>0</v>
      </c>
      <c r="G301" s="99">
        <v>20</v>
      </c>
      <c r="H301" s="99">
        <v>20</v>
      </c>
      <c r="I301" s="99">
        <v>22410</v>
      </c>
      <c r="J301">
        <v>0</v>
      </c>
      <c r="K301">
        <v>0</v>
      </c>
      <c r="L301">
        <v>0</v>
      </c>
      <c r="M301" s="99">
        <v>0</v>
      </c>
      <c r="N301" s="99">
        <v>0</v>
      </c>
      <c r="O301" s="99">
        <v>0</v>
      </c>
      <c r="P301" s="99">
        <v>0</v>
      </c>
      <c r="Q301" s="99">
        <v>0</v>
      </c>
      <c r="R301" s="99">
        <v>0</v>
      </c>
      <c r="S301">
        <v>119952</v>
      </c>
      <c r="T301">
        <v>4064</v>
      </c>
      <c r="U301">
        <v>0</v>
      </c>
      <c r="V301" s="99">
        <v>1504</v>
      </c>
      <c r="W301" s="99">
        <v>47851</v>
      </c>
      <c r="X301" s="99">
        <v>23210</v>
      </c>
      <c r="Y301" s="99">
        <v>0</v>
      </c>
      <c r="Z301" s="99">
        <v>0</v>
      </c>
      <c r="AA301" s="99">
        <v>553</v>
      </c>
      <c r="AB301" s="99">
        <v>0</v>
      </c>
      <c r="AC301" s="99">
        <v>0</v>
      </c>
      <c r="AD301" s="99">
        <v>0</v>
      </c>
    </row>
    <row r="302" spans="1:30" ht="15" x14ac:dyDescent="0.25">
      <c r="A302">
        <v>980</v>
      </c>
      <c r="B302" s="100" t="s">
        <v>424</v>
      </c>
      <c r="C302" s="99">
        <v>64426</v>
      </c>
      <c r="D302" s="99">
        <v>0</v>
      </c>
      <c r="E302" s="99">
        <v>3497</v>
      </c>
      <c r="F302" s="99">
        <v>3089</v>
      </c>
      <c r="G302" s="99">
        <v>970</v>
      </c>
      <c r="H302" s="99">
        <v>16074</v>
      </c>
      <c r="I302" s="99">
        <v>0</v>
      </c>
      <c r="J302">
        <v>0</v>
      </c>
      <c r="K302">
        <v>0</v>
      </c>
      <c r="L302">
        <v>0</v>
      </c>
      <c r="M302" s="99">
        <v>0</v>
      </c>
      <c r="N302" s="99">
        <v>0</v>
      </c>
      <c r="O302" s="99">
        <v>0</v>
      </c>
      <c r="P302" s="99">
        <v>0</v>
      </c>
      <c r="Q302" s="99">
        <v>0</v>
      </c>
      <c r="R302" s="99">
        <v>0</v>
      </c>
      <c r="S302">
        <v>214192</v>
      </c>
      <c r="T302">
        <v>12388</v>
      </c>
      <c r="U302">
        <v>3077</v>
      </c>
      <c r="V302" s="99">
        <v>3818</v>
      </c>
      <c r="W302" s="99">
        <v>100840</v>
      </c>
      <c r="X302" s="99">
        <v>2199</v>
      </c>
      <c r="Y302" s="99">
        <v>0</v>
      </c>
      <c r="Z302" s="99">
        <v>389</v>
      </c>
      <c r="AA302" s="99">
        <v>0</v>
      </c>
      <c r="AB302" s="99">
        <v>27</v>
      </c>
      <c r="AC302" s="99">
        <v>928</v>
      </c>
      <c r="AD302" s="99">
        <v>0</v>
      </c>
    </row>
    <row r="303" spans="1:30" ht="15" x14ac:dyDescent="0.25">
      <c r="A303">
        <v>981</v>
      </c>
      <c r="B303" s="100" t="s">
        <v>425</v>
      </c>
      <c r="C303" s="99">
        <v>7066</v>
      </c>
      <c r="D303" s="99">
        <v>0</v>
      </c>
      <c r="E303" s="99">
        <v>0</v>
      </c>
      <c r="F303" s="99">
        <v>0</v>
      </c>
      <c r="G303" s="99">
        <v>0</v>
      </c>
      <c r="H303" s="99">
        <v>0</v>
      </c>
      <c r="I303" s="99">
        <v>0</v>
      </c>
      <c r="J303">
        <v>0</v>
      </c>
      <c r="K303">
        <v>0</v>
      </c>
      <c r="L303">
        <v>0</v>
      </c>
      <c r="M303" s="99">
        <v>0</v>
      </c>
      <c r="N303" s="99">
        <v>0</v>
      </c>
      <c r="O303" s="99">
        <v>0</v>
      </c>
      <c r="P303" s="99">
        <v>0</v>
      </c>
      <c r="Q303" s="99">
        <v>0</v>
      </c>
      <c r="R303" s="99">
        <v>0</v>
      </c>
      <c r="S303">
        <v>19114</v>
      </c>
      <c r="T303">
        <v>633</v>
      </c>
      <c r="U303">
        <v>0</v>
      </c>
      <c r="V303" s="99">
        <v>2</v>
      </c>
      <c r="W303" s="99">
        <v>7280</v>
      </c>
      <c r="X303" s="99">
        <v>130</v>
      </c>
      <c r="Y303" s="99">
        <v>0</v>
      </c>
      <c r="Z303" s="99">
        <v>0</v>
      </c>
      <c r="AA303" s="99">
        <v>4</v>
      </c>
      <c r="AB303" s="99">
        <v>0</v>
      </c>
      <c r="AC303" s="99">
        <v>0</v>
      </c>
      <c r="AD303" s="99">
        <v>0</v>
      </c>
    </row>
    <row r="304" spans="1:30" ht="15" x14ac:dyDescent="0.25">
      <c r="A304">
        <v>989</v>
      </c>
      <c r="B304" s="100" t="s">
        <v>426</v>
      </c>
      <c r="C304" s="99">
        <v>7250</v>
      </c>
      <c r="D304" s="99">
        <v>0</v>
      </c>
      <c r="E304" s="99">
        <v>0</v>
      </c>
      <c r="F304" s="99">
        <v>0</v>
      </c>
      <c r="G304" s="99">
        <v>79</v>
      </c>
      <c r="H304" s="99">
        <v>2893</v>
      </c>
      <c r="I304" s="99">
        <v>0</v>
      </c>
      <c r="J304">
        <v>0</v>
      </c>
      <c r="K304">
        <v>0</v>
      </c>
      <c r="L304">
        <v>0</v>
      </c>
      <c r="M304" s="99">
        <v>0</v>
      </c>
      <c r="N304" s="99">
        <v>0</v>
      </c>
      <c r="O304" s="99">
        <v>0</v>
      </c>
      <c r="P304" s="99">
        <v>0</v>
      </c>
      <c r="Q304" s="99">
        <v>0</v>
      </c>
      <c r="R304" s="99">
        <v>0</v>
      </c>
      <c r="S304">
        <v>44883</v>
      </c>
      <c r="T304">
        <v>973</v>
      </c>
      <c r="U304">
        <v>0</v>
      </c>
      <c r="V304" s="99">
        <v>499</v>
      </c>
      <c r="W304" s="99">
        <v>28162</v>
      </c>
      <c r="X304" s="99">
        <v>524</v>
      </c>
      <c r="Y304" s="99">
        <v>0</v>
      </c>
      <c r="Z304" s="99">
        <v>30</v>
      </c>
      <c r="AA304" s="99">
        <v>0</v>
      </c>
      <c r="AB304" s="99">
        <v>0</v>
      </c>
      <c r="AC304" s="99">
        <v>0</v>
      </c>
      <c r="AD304" s="99">
        <v>0</v>
      </c>
    </row>
    <row r="305" spans="1:30" ht="15" x14ac:dyDescent="0.25">
      <c r="A305">
        <v>992</v>
      </c>
      <c r="B305" s="100" t="s">
        <v>427</v>
      </c>
      <c r="C305" s="99">
        <v>25552</v>
      </c>
      <c r="D305" s="99">
        <v>0</v>
      </c>
      <c r="E305" s="99">
        <v>35</v>
      </c>
      <c r="F305" s="99">
        <v>17676</v>
      </c>
      <c r="G305" s="99">
        <v>0</v>
      </c>
      <c r="H305" s="99">
        <v>10609</v>
      </c>
      <c r="I305" s="99">
        <v>0</v>
      </c>
      <c r="J305">
        <v>0</v>
      </c>
      <c r="K305">
        <v>0</v>
      </c>
      <c r="L305">
        <v>0</v>
      </c>
      <c r="M305" s="99">
        <v>0</v>
      </c>
      <c r="N305" s="99">
        <v>0</v>
      </c>
      <c r="O305" s="99">
        <v>0</v>
      </c>
      <c r="P305" s="99">
        <v>0</v>
      </c>
      <c r="Q305" s="99">
        <v>2590</v>
      </c>
      <c r="R305" s="99">
        <v>0</v>
      </c>
      <c r="S305">
        <v>133291</v>
      </c>
      <c r="T305">
        <v>6765</v>
      </c>
      <c r="U305">
        <v>17676</v>
      </c>
      <c r="V305" s="99">
        <v>0</v>
      </c>
      <c r="W305" s="99">
        <v>75154</v>
      </c>
      <c r="X305" s="99">
        <v>2297</v>
      </c>
      <c r="Y305" s="99">
        <v>0</v>
      </c>
      <c r="Z305" s="99">
        <v>182</v>
      </c>
      <c r="AA305" s="99">
        <v>0</v>
      </c>
      <c r="AB305" s="99">
        <v>0</v>
      </c>
      <c r="AC305" s="99">
        <v>7245</v>
      </c>
      <c r="AD305" s="99">
        <v>260</v>
      </c>
    </row>
    <row r="307" spans="1:30" ht="15" x14ac:dyDescent="0.25">
      <c r="B307" s="99"/>
      <c r="C307" s="99"/>
      <c r="D307" s="99"/>
      <c r="E307" s="99"/>
      <c r="F307" s="99"/>
      <c r="G307" s="99"/>
      <c r="H307" s="99"/>
      <c r="I307" s="99"/>
      <c r="M307" s="99"/>
      <c r="N307" s="99"/>
      <c r="O307" s="99"/>
      <c r="P307" s="99"/>
      <c r="Q307" s="99"/>
      <c r="R307" s="99"/>
      <c r="V307" s="99"/>
      <c r="W307" s="99"/>
      <c r="X307" s="99"/>
      <c r="Y307" s="99"/>
      <c r="Z307" s="99"/>
      <c r="AA307" s="99"/>
      <c r="AB307" s="99"/>
      <c r="AC307" s="99"/>
      <c r="AD307" s="99"/>
    </row>
    <row r="309" spans="1:30" ht="15" x14ac:dyDescent="0.25">
      <c r="B309" s="99" t="s">
        <v>508</v>
      </c>
      <c r="C309" s="99"/>
      <c r="D309" s="99"/>
      <c r="E309" s="99"/>
      <c r="F309" s="99"/>
      <c r="G309" s="99"/>
      <c r="H309" s="99"/>
      <c r="I309" s="99"/>
      <c r="M309" s="99"/>
      <c r="N309" s="99"/>
      <c r="O309" s="99"/>
      <c r="P309" s="99"/>
      <c r="Q309" s="99"/>
      <c r="R309" s="99"/>
      <c r="V309" s="99"/>
      <c r="W309" s="99"/>
      <c r="X309" s="99"/>
      <c r="Y309" s="99"/>
      <c r="Z309" s="99"/>
      <c r="AA309" s="99"/>
      <c r="AB309" s="99"/>
      <c r="AC309" s="99"/>
      <c r="AD309" s="99"/>
    </row>
    <row r="311" spans="1:30" ht="15" x14ac:dyDescent="0.25">
      <c r="B311" s="99" t="s">
        <v>509</v>
      </c>
      <c r="C311" s="99"/>
      <c r="D311" s="99"/>
      <c r="E311" s="99"/>
      <c r="F311" s="99"/>
      <c r="G311" s="99"/>
      <c r="H311" s="99"/>
      <c r="I311" s="99"/>
      <c r="M311" s="99"/>
      <c r="N311" s="99"/>
      <c r="O311" s="99"/>
      <c r="P311" s="99"/>
      <c r="Q311" s="99"/>
      <c r="R311" s="99"/>
      <c r="V311" s="99"/>
      <c r="W311" s="99"/>
      <c r="X311" s="99"/>
      <c r="Y311" s="99"/>
      <c r="Z311" s="99"/>
      <c r="AA311" s="99"/>
      <c r="AB311" s="99"/>
      <c r="AC311" s="99"/>
      <c r="AD311" s="99"/>
    </row>
    <row r="313" spans="1:30" ht="15" x14ac:dyDescent="0.25">
      <c r="B313" s="99" t="s">
        <v>509</v>
      </c>
      <c r="C313" s="99"/>
      <c r="D313" s="99"/>
      <c r="E313" s="99"/>
      <c r="F313" s="99"/>
      <c r="G313" s="99"/>
      <c r="H313" s="99"/>
      <c r="I313" s="99"/>
      <c r="M313" s="99"/>
      <c r="N313" s="99"/>
      <c r="O313" s="99"/>
      <c r="P313" s="99"/>
      <c r="Q313" s="99"/>
      <c r="R313" s="99"/>
      <c r="V313" s="99"/>
      <c r="W313" s="99"/>
      <c r="X313" s="99"/>
      <c r="Y313" s="99"/>
      <c r="Z313" s="99"/>
      <c r="AA313" s="99"/>
      <c r="AB313" s="99"/>
      <c r="AC313" s="99"/>
      <c r="AD313" s="99"/>
    </row>
    <row r="314" spans="1:30" ht="15" x14ac:dyDescent="0.25">
      <c r="B314" s="99" t="s">
        <v>510</v>
      </c>
      <c r="C314" s="99"/>
      <c r="D314" s="99"/>
      <c r="E314" s="99"/>
      <c r="F314" s="99"/>
      <c r="G314" s="99"/>
      <c r="H314" s="99"/>
      <c r="I314" s="99"/>
      <c r="M314" s="99"/>
      <c r="N314" s="99"/>
      <c r="O314" s="99"/>
      <c r="P314" s="99"/>
      <c r="Q314" s="99"/>
      <c r="R314" s="99"/>
      <c r="V314" s="99"/>
      <c r="W314" s="99"/>
      <c r="X314" s="99"/>
      <c r="Y314" s="99"/>
      <c r="Z314" s="99"/>
      <c r="AA314" s="99"/>
      <c r="AB314" s="99"/>
      <c r="AC314" s="99"/>
      <c r="AD314" s="99"/>
    </row>
    <row r="315" spans="1:30" ht="15" x14ac:dyDescent="0.25">
      <c r="B315" s="99" t="s">
        <v>511</v>
      </c>
      <c r="C315" s="99"/>
      <c r="D315" s="99"/>
      <c r="E315" s="99"/>
      <c r="F315" s="99"/>
      <c r="G315" s="99"/>
      <c r="H315" s="99"/>
      <c r="I315" s="99"/>
      <c r="M315" s="99"/>
      <c r="N315" s="99"/>
      <c r="O315" s="99"/>
      <c r="P315" s="99"/>
      <c r="Q315" s="99"/>
      <c r="R315" s="99"/>
      <c r="V315" s="99"/>
      <c r="W315" s="99"/>
      <c r="X315" s="99"/>
      <c r="Y315" s="99"/>
      <c r="Z315" s="99"/>
      <c r="AA315" s="99"/>
      <c r="AB315" s="99"/>
      <c r="AC315" s="99"/>
      <c r="AD315" s="99"/>
    </row>
    <row r="317" spans="1:30" ht="15" x14ac:dyDescent="0.25">
      <c r="B317" s="99"/>
      <c r="C317" s="99"/>
      <c r="D317" s="99"/>
      <c r="E317" s="99"/>
      <c r="F317" s="99"/>
      <c r="G317" s="99"/>
      <c r="H317" s="99"/>
      <c r="I317" s="99"/>
      <c r="M317" s="99"/>
      <c r="N317" s="99"/>
      <c r="O317" s="99"/>
      <c r="P317" s="99"/>
      <c r="Q317" s="99"/>
      <c r="R317" s="99"/>
      <c r="V317" s="99"/>
      <c r="W317" s="99"/>
      <c r="X317" s="99"/>
      <c r="Y317" s="99"/>
      <c r="Z317" s="99"/>
      <c r="AA317" s="99"/>
      <c r="AB317" s="99"/>
      <c r="AC317" s="99"/>
      <c r="AD317" s="99"/>
    </row>
    <row r="319" spans="1:30" ht="15" x14ac:dyDescent="0.25">
      <c r="B319" s="99" t="s">
        <v>512</v>
      </c>
      <c r="C319" s="99"/>
      <c r="D319" s="99"/>
      <c r="E319" s="99"/>
      <c r="F319" s="99"/>
      <c r="G319" s="99"/>
      <c r="H319" s="99"/>
      <c r="I319" s="99"/>
      <c r="M319" s="99"/>
      <c r="N319" s="99"/>
      <c r="O319" s="99"/>
      <c r="P319" s="99"/>
      <c r="Q319" s="99"/>
      <c r="R319" s="99"/>
      <c r="V319" s="99"/>
      <c r="W319" s="99"/>
      <c r="X319" s="99"/>
      <c r="Y319" s="99"/>
      <c r="Z319" s="99"/>
      <c r="AA319" s="99"/>
      <c r="AB319" s="99"/>
      <c r="AC319" s="99"/>
      <c r="AD319" s="99"/>
    </row>
    <row r="328" spans="2:2" ht="15" x14ac:dyDescent="0.25">
      <c r="B328" s="99" t="s">
        <v>513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4"/>
  <dimension ref="B1:BI29"/>
  <sheetViews>
    <sheetView zoomScale="90" zoomScaleNormal="90" workbookViewId="0">
      <selection activeCell="S31" sqref="S31"/>
    </sheetView>
  </sheetViews>
  <sheetFormatPr defaultRowHeight="12.75" x14ac:dyDescent="0.2"/>
  <cols>
    <col min="2" max="2" width="10.85546875" customWidth="1"/>
    <col min="3" max="3" width="8.28515625" customWidth="1"/>
    <col min="4" max="4" width="12.28515625" customWidth="1"/>
    <col min="5" max="5" width="11.7109375" customWidth="1"/>
    <col min="6" max="6" width="8.85546875" customWidth="1"/>
    <col min="7" max="7" width="9.5703125" customWidth="1"/>
    <col min="11" max="11" width="12.42578125" customWidth="1"/>
    <col min="19" max="19" width="19" customWidth="1"/>
    <col min="20" max="20" width="12.7109375" customWidth="1"/>
    <col min="21" max="21" width="13.7109375" customWidth="1"/>
    <col min="22" max="22" width="9.7109375" customWidth="1"/>
    <col min="23" max="23" width="9" customWidth="1"/>
    <col min="24" max="24" width="8.85546875" customWidth="1"/>
    <col min="25" max="25" width="10.7109375" customWidth="1"/>
    <col min="33" max="33" width="11.5703125" customWidth="1"/>
    <col min="34" max="34" width="10.28515625" customWidth="1"/>
    <col min="41" max="41" width="16.7109375" customWidth="1"/>
    <col min="42" max="42" width="18.7109375" customWidth="1"/>
    <col min="43" max="43" width="20.140625" customWidth="1"/>
    <col min="44" max="44" width="22.140625" customWidth="1"/>
    <col min="45" max="45" width="27" customWidth="1"/>
    <col min="46" max="46" width="18.42578125" customWidth="1"/>
    <col min="47" max="47" width="16.140625" customWidth="1"/>
    <col min="48" max="48" width="23.28515625" customWidth="1"/>
    <col min="49" max="49" width="16.28515625" customWidth="1"/>
    <col min="50" max="50" width="19.5703125" customWidth="1"/>
    <col min="51" max="51" width="23.7109375" customWidth="1"/>
    <col min="52" max="52" width="18.28515625" customWidth="1"/>
    <col min="53" max="53" width="17.5703125" customWidth="1"/>
    <col min="54" max="54" width="19.85546875" customWidth="1"/>
    <col min="55" max="55" width="18.140625" customWidth="1"/>
    <col min="56" max="56" width="17.140625" customWidth="1"/>
    <col min="57" max="57" width="15.5703125" customWidth="1"/>
    <col min="58" max="58" width="10.28515625" customWidth="1"/>
    <col min="59" max="59" width="17.42578125" customWidth="1"/>
    <col min="60" max="60" width="17.28515625" customWidth="1"/>
    <col min="61" max="61" width="19.7109375" customWidth="1"/>
  </cols>
  <sheetData>
    <row r="1" spans="2:61" x14ac:dyDescent="0.2">
      <c r="B1" s="91" t="s">
        <v>500</v>
      </c>
    </row>
    <row r="2" spans="2:61" x14ac:dyDescent="0.2">
      <c r="B2" s="92" t="s">
        <v>497</v>
      </c>
    </row>
    <row r="3" spans="2:61" x14ac:dyDescent="0.2">
      <c r="B3" s="3" t="str">
        <f>"Vanha " &amp;Tuloslaskelma!A8</f>
        <v>Vanha Akaa</v>
      </c>
      <c r="I3" s="3" t="str">
        <f>"Uusi " &amp;Tuloslaskelma!$A$8&amp;" vuonna 2023"</f>
        <v>Uusi Akaa vuonna 2023</v>
      </c>
      <c r="J3" s="3"/>
      <c r="K3" s="3"/>
      <c r="L3" s="3"/>
      <c r="M3" s="3"/>
      <c r="N3" s="3"/>
      <c r="O3" s="3"/>
      <c r="P3" s="3"/>
      <c r="Q3" s="3" t="str">
        <f>"Uusi " &amp;Tuloslaskelma!$A$8&amp;" vuonna 2024"</f>
        <v>Uusi Akaa vuonna 2024</v>
      </c>
      <c r="R3" s="3"/>
      <c r="S3" s="3"/>
      <c r="T3" s="3"/>
      <c r="U3" s="3"/>
      <c r="V3" s="3"/>
      <c r="W3" s="3" t="str">
        <f>"Uusi " &amp;Tuloslaskelma!$A$8&amp;" vuonna 2025"</f>
        <v>Uusi Akaa vuonna 2025</v>
      </c>
      <c r="X3" s="3"/>
      <c r="Y3" s="3"/>
      <c r="Z3" s="3"/>
      <c r="AA3" s="3"/>
      <c r="AB3" s="3"/>
      <c r="AC3" s="3"/>
      <c r="AD3" s="3"/>
      <c r="AE3" s="3" t="str">
        <f>"Uusi " &amp;Tuloslaskelma!$A$8&amp;" vuonna 2026"</f>
        <v>Uusi Akaa vuonna 2026</v>
      </c>
      <c r="AF3" s="3"/>
      <c r="AG3" s="3"/>
      <c r="AH3" s="3"/>
      <c r="AI3" s="3"/>
      <c r="AJ3" s="3"/>
      <c r="AK3" s="3"/>
      <c r="AL3" s="3"/>
      <c r="AM3" s="3" t="str">
        <f>"Uusi " &amp;Tuloslaskelma!$A$8&amp;" vuonna 2027"</f>
        <v>Uusi Akaa vuonna 2027</v>
      </c>
      <c r="AU3">
        <v>2023</v>
      </c>
      <c r="AX3">
        <v>2024</v>
      </c>
      <c r="BA3">
        <v>2025</v>
      </c>
      <c r="BD3">
        <v>2026</v>
      </c>
      <c r="BG3">
        <v>2027</v>
      </c>
    </row>
    <row r="5" spans="2:61" x14ac:dyDescent="0.2">
      <c r="AR5" s="88"/>
      <c r="AS5" s="88" t="str">
        <f>"Toimintakate+poistot "&amp;IF(AS11="","","+rahoituserät(netto) ")&amp;IF(AS13&gt;1000000,ROUND(AS13/1000000,1)&amp;" mrd.€",ROUND(AS13/1000,0)&amp;" milj. €")</f>
        <v>Toimintakate+poistot +rahoituserät(netto) 107 milj. €</v>
      </c>
      <c r="AT5" s="88" t="str">
        <f>"Rahoitus " &amp;IF(AS13&gt;1000000,ROUND(AT13/1000000,1)&amp;" mrd.€",ROUND(AT13/1000,0)&amp;" milj. €")</f>
        <v>Rahoitus 104 milj. €</v>
      </c>
      <c r="AU5" s="88"/>
      <c r="AV5" s="88" t="str">
        <f>"Toimintakate+poistot"&amp;IF(AV11="","","+rahoituser.(netto) ")&amp;" "&amp;IF(AV10="","","+vos(neg.) ") &amp;IF(AV13&gt;1000000,ROUND(AV13/1000000,1)&amp;" mrd.€",ROUND(AV13/1000,0)&amp;" milj. €")</f>
        <v>Toimintakate+poistot+rahoituser.(netto)  41 milj. €</v>
      </c>
      <c r="AW5" s="88" t="str">
        <f>"Rahoitus " &amp;IF(AV13&gt;1000000,ROUND(AW13/1000000,1)&amp;" mrd.€",ROUND(AW13/1000,0)&amp;" milj. €")</f>
        <v>Rahoitus 41 milj. €</v>
      </c>
      <c r="AX5" s="88"/>
      <c r="AY5" s="88" t="str">
        <f>"Toimintakate+poistot"&amp;IF(AY11="","","+rahoituser.(netto) ")&amp;" "&amp;IF(AY10="","","+vos(neg.) ") &amp;IF(AY13&gt;1000000,ROUND(AY13/1000000,1)&amp;" mrd.€",ROUND(AY13/1000,0)&amp;" milj. €")</f>
        <v>Toimintakate+poistot+rahoituser.(netto)  42 milj. €</v>
      </c>
      <c r="AZ5" s="88" t="str">
        <f>"Rahoitus " &amp;IF(AY13&gt;1000000,ROUND(AZ13/1000000,1)&amp;" mrd.€",ROUND(AZ13/1000,0)&amp;" milj. €")</f>
        <v>Rahoitus 39 milj. €</v>
      </c>
      <c r="BA5" s="88"/>
      <c r="BB5" s="88" t="str">
        <f>"Toimintakate+poistot"&amp;IF(BB11="","","+rahoituser.(netto) ")&amp;" "&amp;IF(BB10="","","+vos(neg.) ") &amp;IF(BB13&gt;1000000,ROUND(BB13/1000000,1)&amp;" mrd.€",ROUND(BB13/1000,0)&amp;" milj. €")</f>
        <v>Toimintakate+poistot+rahoituser.(netto)  42 milj. €</v>
      </c>
      <c r="BC5" s="88" t="str">
        <f>"Rahoitus " &amp;IF(BB13&gt;1000000,ROUND(BC13/1000000,1)&amp;" mrd.€",ROUND(BC13/1000,0)&amp;" milj. €")</f>
        <v>Rahoitus 39 milj. €</v>
      </c>
      <c r="BD5" s="88"/>
      <c r="BE5" s="88" t="str">
        <f>"Toimintakate+poistot"&amp;IF(BE11="","","+rahoituser.(netto) ")&amp;" "&amp;IF(BE10="","","+vos(neg.) ") &amp;IF(BE13&gt;1000000,ROUND(BE13/1000000,1)&amp;" mrd.€",ROUND(BE13/1000,0)&amp;" milj. €")</f>
        <v>Toimintakate+poistot+rahoituser.(netto)  42 milj. €</v>
      </c>
      <c r="BF5" s="88" t="str">
        <f>"Rahoitus " &amp;IF(BE13&gt;1000000,ROUND(BF13/1000000,1)&amp;" mrd.€",ROUND(BF13/1000,0)&amp;" milj. €")</f>
        <v>Rahoitus 39 milj. €</v>
      </c>
      <c r="BG5" s="88"/>
      <c r="BH5" s="88" t="str">
        <f>"Toimintakate+poistot"&amp;IF(BH11="","","+rahoituser.(netto) ")&amp;" "&amp;IF(BH10="","","+vos(neg.) ") &amp;IF(BH13&gt;1000000,ROUND(BH13/1000000,1)&amp;" mrd.€",ROUND(BH13/1000,0)&amp;" milj. €")</f>
        <v>Toimintakate+poistot+rahoituser.(netto)  42 milj. €</v>
      </c>
      <c r="BI5" s="88" t="str">
        <f>"Rahoitus " &amp;IF(BH13&gt;1000000,ROUND(BI13/1000000,1)&amp;" mrd.€",ROUND(BI13/1000,0)&amp;" milj. €")</f>
        <v>Rahoitus 40 milj. €</v>
      </c>
    </row>
    <row r="6" spans="2:61" x14ac:dyDescent="0.2">
      <c r="AR6" s="88" t="s">
        <v>496</v>
      </c>
      <c r="AS6" s="89">
        <f>Tuloslaskelma!B21*(-1)</f>
        <v>106887.16091000002</v>
      </c>
      <c r="AU6" s="88" t="s">
        <v>496</v>
      </c>
      <c r="AV6" s="89">
        <f>Tuloslaskelma!D21*(-1)</f>
        <v>41137.019981694328</v>
      </c>
      <c r="AX6" s="88" t="s">
        <v>496</v>
      </c>
      <c r="AY6" s="89">
        <f>Tuloslaskelma!E21*(-1)</f>
        <v>41608.758283193791</v>
      </c>
      <c r="BA6" s="88" t="s">
        <v>496</v>
      </c>
      <c r="BB6" s="89">
        <f>Tuloslaskelma!F21*(-1)</f>
        <v>41608.758283193791</v>
      </c>
      <c r="BD6" s="88" t="s">
        <v>496</v>
      </c>
      <c r="BE6" s="89">
        <f>Tuloslaskelma!G21*(-1)</f>
        <v>41608.758283193791</v>
      </c>
      <c r="BG6" s="88" t="s">
        <v>496</v>
      </c>
      <c r="BH6" s="89">
        <f>Tuloslaskelma!H21*(-1)</f>
        <v>41608.758283193791</v>
      </c>
    </row>
    <row r="7" spans="2:61" x14ac:dyDescent="0.2">
      <c r="AR7" s="88" t="str">
        <f>IF(Tuloslaskelma!B25=0,"verot yhteensä ","kunnallisvero ")&amp;ROUND(AT7/AT13*100,0)&amp;"%"</f>
        <v>kunnallisvero 60%</v>
      </c>
      <c r="AT7" s="89">
        <f>IF(Tuloslaskelma!B25=0,Tuloslaskelma!B24,Tuloslaskelma!B25)</f>
        <v>61979.103958365878</v>
      </c>
      <c r="AU7" s="88" t="str">
        <f>IF(Tuloslaskelma!D25=0,"verot yhteensä ","kunnallisvero ")&amp;ROUND(AW7/AW13*100,0)&amp;"%"</f>
        <v>kunnallisvero 67%</v>
      </c>
      <c r="AW7" s="89">
        <f>IF(Tuloslaskelma!D25=0,Tuloslaskelma!D24,Tuloslaskelma!D25)</f>
        <v>27363.452160325167</v>
      </c>
      <c r="AX7" s="88" t="str">
        <f>IF(Tuloslaskelma!E25=0,"verot yhteensä ","kunnallisvero ")&amp;ROUND(AZ7/AZ13*100,0)&amp;"%"</f>
        <v>kunnallisvero 70%</v>
      </c>
      <c r="AZ7" s="89">
        <f>IF(Tuloslaskelma!E25=0,Tuloslaskelma!E24,Tuloslaskelma!E25)</f>
        <v>27173.140102300327</v>
      </c>
      <c r="BA7" s="88" t="str">
        <f>IF(Tuloslaskelma!F25=0,"verot yhteensä ","kunnallisvero ")&amp;ROUND(BC7/BC13*100,0)&amp;"%"</f>
        <v>kunnallisvero 70%</v>
      </c>
      <c r="BC7" s="89">
        <f>IF(Tuloslaskelma!F25=0,Tuloslaskelma!F24,Tuloslaskelma!F25)</f>
        <v>27173.140102300327</v>
      </c>
      <c r="BD7" s="88" t="str">
        <f>IF(Tuloslaskelma!G25=0,"verot yhteensä ","kunnallisvero ")&amp;ROUND(BF7/BF13*100,0)&amp;"%"</f>
        <v>kunnallisvero 69%</v>
      </c>
      <c r="BF7" s="89">
        <f>IF(Tuloslaskelma!G25=0,Tuloslaskelma!G24,Tuloslaskelma!G25)</f>
        <v>27173.140102300327</v>
      </c>
      <c r="BG7" s="88" t="str">
        <f>IF(Tuloslaskelma!H25=0,"verot yhteensä ","kunnallisvero ")&amp;ROUND(BI7/BI13*100,0)&amp;"%"</f>
        <v>kunnallisvero 68%</v>
      </c>
      <c r="BI7" s="89">
        <f>IF(Tuloslaskelma!H25=0,Tuloslaskelma!H24,Tuloslaskelma!H25)</f>
        <v>27173.140102300327</v>
      </c>
    </row>
    <row r="8" spans="2:61" x14ac:dyDescent="0.2">
      <c r="AR8" s="88" t="str">
        <f>"yhteisövero " &amp; ROUND(AT8/AT13*100,0) &amp; "%"</f>
        <v>yhteisövero 2%</v>
      </c>
      <c r="AT8" s="89">
        <f>Tuloslaskelma!B26</f>
        <v>2425.6802721357762</v>
      </c>
      <c r="AU8" s="88" t="str">
        <f>"yhteisövero " &amp; ROUND(AW8/AW13*100,0) &amp; "%"</f>
        <v>yhteisövero 4%</v>
      </c>
      <c r="AW8" s="89">
        <f>Tuloslaskelma!D26</f>
        <v>1452.074525</v>
      </c>
      <c r="AX8" s="88" t="str">
        <f>"yhteisövero " &amp; ROUND(AZ8/AZ13*100,0) &amp; "%"</f>
        <v>yhteisövero 4%</v>
      </c>
      <c r="AZ8" s="89">
        <f>Tuloslaskelma!E26</f>
        <v>1613.9436470858764</v>
      </c>
      <c r="BA8" s="88" t="str">
        <f>"yhteisövero " &amp; ROUND(BC8/BC13*100,0) &amp; "%"</f>
        <v>yhteisövero 4%</v>
      </c>
      <c r="BC8" s="89">
        <f>Tuloslaskelma!F26</f>
        <v>1613.9436470858764</v>
      </c>
      <c r="BD8" s="88" t="str">
        <f>"yhteisövero " &amp; ROUND(BF8/BF13*100,0) &amp; "%"</f>
        <v>yhteisövero 4%</v>
      </c>
      <c r="BF8" s="89">
        <f>Tuloslaskelma!G26</f>
        <v>1613.9436470858764</v>
      </c>
      <c r="BG8" s="88" t="str">
        <f>"yhteisövero " &amp; ROUND(BI8/BI13*100,0) &amp; "%"</f>
        <v>yhteisövero 4%</v>
      </c>
      <c r="BI8" s="89">
        <f>Tuloslaskelma!H26</f>
        <v>1613.9436470858764</v>
      </c>
    </row>
    <row r="9" spans="2:61" x14ac:dyDescent="0.2">
      <c r="AR9" s="88" t="str">
        <f>"kiinteistövero " &amp; ROUND(AT9/AT13*100,0) &amp; "%"</f>
        <v>kiinteistövero 4%</v>
      </c>
      <c r="AT9" s="89">
        <f>Tuloslaskelma!B27</f>
        <v>3736.6210000000001</v>
      </c>
      <c r="AU9" s="88" t="str">
        <f>"kiinteistövero " &amp; ROUND(AW9/AW13*100,0) &amp; "%"</f>
        <v>kiinteistövero 9%</v>
      </c>
      <c r="AW9" s="89">
        <f>Tuloslaskelma!D27</f>
        <v>3745.6365665000003</v>
      </c>
      <c r="AX9" s="88" t="str">
        <f>"kiinteistövero " &amp; ROUND(AZ9/AZ13*100,0) &amp; "%"</f>
        <v>kiinteistövero 10%</v>
      </c>
      <c r="AZ9" s="89">
        <f>Tuloslaskelma!E27</f>
        <v>3736.6210000000001</v>
      </c>
      <c r="BA9" s="88" t="str">
        <f>"kiinteistövero " &amp; ROUND(BC9/BC13*100,0) &amp; "%"</f>
        <v>kiinteistövero 10%</v>
      </c>
      <c r="BC9" s="89">
        <f>Tuloslaskelma!F27</f>
        <v>3736.6210000000001</v>
      </c>
      <c r="BD9" s="88" t="str">
        <f>"kiinteistövero " &amp; ROUND(BF9/BF13*100,0) &amp; "%"</f>
        <v>kiinteistövero 9%</v>
      </c>
      <c r="BF9" s="89">
        <f>Tuloslaskelma!G27</f>
        <v>3736.6210000000001</v>
      </c>
      <c r="BG9" s="88" t="str">
        <f>"kiinteistövero " &amp; ROUND(BI9/BI13*100,0) &amp; "%"</f>
        <v>kiinteistövero 9%</v>
      </c>
      <c r="BI9" s="89">
        <f>Tuloslaskelma!H27</f>
        <v>3736.6210000000001</v>
      </c>
    </row>
    <row r="10" spans="2:61" x14ac:dyDescent="0.2">
      <c r="AR10" s="88" t="str">
        <f>"vos " &amp; ROUND(AT10/AT13*100,0) &amp; "%"</f>
        <v>vos 35%</v>
      </c>
      <c r="AS10" t="str">
        <f>IF(Tuloslaskelma!B29&lt;0,Tuloslaskelma!B29,"")</f>
        <v/>
      </c>
      <c r="AT10" s="89">
        <f>IF(Tuloslaskelma!B29&gt;0,Tuloslaskelma!B29,"")</f>
        <v>36008.345774788213</v>
      </c>
      <c r="AU10" s="88" t="str">
        <f>IF(AW10="","","vos " &amp; ROUND(AW10/AW13*100,0) &amp; "%")</f>
        <v>vos 20%</v>
      </c>
      <c r="AV10" s="94" t="str">
        <f>IF(Tuloslaskelma!D29&lt;0,Tuloslaskelma!D29*(-1),"")</f>
        <v/>
      </c>
      <c r="AW10" s="89">
        <f>IF(Tuloslaskelma!D29&gt;0,Tuloslaskelma!D29,"")</f>
        <v>8195.9821428385658</v>
      </c>
      <c r="AX10" s="88" t="str">
        <f>IF(AZ10="","","vos " &amp; ROUND(AZ10/AZ13*100,0) &amp; "%")</f>
        <v>vos 16%</v>
      </c>
      <c r="AY10" s="94" t="str">
        <f>IF(Tuloslaskelma!E29&lt;0,Tuloslaskelma!E29*(-1),"")</f>
        <v/>
      </c>
      <c r="AZ10" s="89">
        <f>IF(Tuloslaskelma!E29&gt;0,Tuloslaskelma!E29,"")</f>
        <v>6196.7097367902024</v>
      </c>
      <c r="BA10" s="88" t="str">
        <f>IF(BC10="","","vos " &amp; ROUND(BC10/BC13*100,0) &amp; "%")</f>
        <v>vos 17%</v>
      </c>
      <c r="BB10" s="94" t="str">
        <f>IF(Tuloslaskelma!F29&lt;0,Tuloslaskelma!F29*(-1),"")</f>
        <v/>
      </c>
      <c r="BC10" s="89">
        <f>IF(Tuloslaskelma!F29&gt;0,Tuloslaskelma!F29,"")</f>
        <v>6443.8047367902027</v>
      </c>
      <c r="BD10" s="88" t="str">
        <f>IF(BF10="","","vos " &amp; ROUND(BF10/BF13*100,0) &amp; "%")</f>
        <v>vos 18%</v>
      </c>
      <c r="BE10" s="94" t="str">
        <f>IF(Tuloslaskelma!G29&lt;0,Tuloslaskelma!G29*(-1),"")</f>
        <v/>
      </c>
      <c r="BF10" s="89">
        <f>IF(Tuloslaskelma!G29&gt;0,Tuloslaskelma!G29,"")</f>
        <v>6930.6096142657489</v>
      </c>
      <c r="BG10" s="88" t="str">
        <f>IF(BI10="","","vos " &amp; ROUND(BI10/BI13*100,0) &amp; "%")</f>
        <v>vos 18%</v>
      </c>
      <c r="BH10" s="94" t="str">
        <f>IF(Tuloslaskelma!H29&lt;0,Tuloslaskelma!H29*(-1),"")</f>
        <v/>
      </c>
      <c r="BI10" s="89">
        <f>IF(Tuloslaskelma!H29&gt;0,Tuloslaskelma!H29,"")</f>
        <v>7177.7046142657491</v>
      </c>
    </row>
    <row r="11" spans="2:61" x14ac:dyDescent="0.2">
      <c r="AR11" s="88" t="str">
        <f>IF(AT11="","","rahoituserät (netto) " &amp; ROUND(AT11/AT13*100,0) &amp; "%")</f>
        <v/>
      </c>
      <c r="AS11" s="89">
        <f>IF(Tuloslaskelma!B38&lt;0,Tuloslaskelma!B38*(-1),"")</f>
        <v>68.978320000000011</v>
      </c>
      <c r="AT11" s="89" t="str">
        <f>IF(Tuloslaskelma!B38&gt;0,Tuloslaskelma!B38,"")</f>
        <v/>
      </c>
      <c r="AU11" s="88" t="str">
        <f>IF(AW11="","","rahoituserät (netto) " &amp; ROUND(AW11/AW13*100,0) &amp; "%")</f>
        <v/>
      </c>
      <c r="AV11" s="89">
        <f>IF(Tuloslaskelma!D38&lt;0,Tuloslaskelma!D38*(-1),"")</f>
        <v>1.87</v>
      </c>
      <c r="AW11" s="89" t="str">
        <f>IF(Tuloslaskelma!D38&gt;0,Tuloslaskelma!D38,"")</f>
        <v/>
      </c>
      <c r="AX11" s="88" t="str">
        <f>IF(AZ11="","","rahoituserät (netto) " &amp; ROUND(AZ11/AZ13*100,0) &amp; "%")</f>
        <v/>
      </c>
      <c r="AY11" s="89">
        <f>IF(Tuloslaskelma!E38&lt;0,Tuloslaskelma!E38*(-1),"")</f>
        <v>68.978320000000011</v>
      </c>
      <c r="AZ11" s="89" t="str">
        <f>IF(Tuloslaskelma!E38&gt;0,Tuloslaskelma!E38,"")</f>
        <v/>
      </c>
      <c r="BA11" s="88" t="str">
        <f>IF(BC11="","","rahoituserät (netto) " &amp; ROUND(BC11/BC13*100,0) &amp; "%")</f>
        <v/>
      </c>
      <c r="BB11" s="89">
        <f>IF(Tuloslaskelma!F38&lt;0,Tuloslaskelma!F38*(-1),"")</f>
        <v>68.978320000000011</v>
      </c>
      <c r="BC11" s="89" t="str">
        <f>IF(Tuloslaskelma!F38&gt;0,Tuloslaskelma!F38,"")</f>
        <v/>
      </c>
      <c r="BD11" s="88" t="str">
        <f>IF(BF11="","","rahoituserät (netto) " &amp; ROUND(BF11/BF13*100,0) &amp; "%")</f>
        <v/>
      </c>
      <c r="BE11" s="89">
        <f>IF(Tuloslaskelma!G38&lt;0,Tuloslaskelma!G38*(-1),"")</f>
        <v>68.978320000000011</v>
      </c>
      <c r="BF11" s="89" t="str">
        <f>IF(Tuloslaskelma!G38&gt;0,Tuloslaskelma!G38,"")</f>
        <v/>
      </c>
      <c r="BG11" s="88" t="str">
        <f>IF(BI11="","","rahoituserät (netto) " &amp; ROUND(BI11/BI13*100,0) &amp; "%")</f>
        <v/>
      </c>
      <c r="BH11" s="89">
        <f>IF(Tuloslaskelma!H38&lt;0,Tuloslaskelma!H38*(-1),"")</f>
        <v>68.978320000000011</v>
      </c>
      <c r="BI11" s="89" t="str">
        <f>IF(Tuloslaskelma!H38&gt;0,Tuloslaskelma!H38,"")</f>
        <v/>
      </c>
    </row>
    <row r="12" spans="2:61" x14ac:dyDescent="0.2">
      <c r="AR12" s="96" t="s">
        <v>499</v>
      </c>
      <c r="AS12" s="89" t="str">
        <f>IF(Tuloslaskelma!B47&lt;0,Tuloslaskelma!B47*(-1),"")</f>
        <v/>
      </c>
      <c r="AU12" s="96" t="s">
        <v>499</v>
      </c>
      <c r="AV12" s="89" t="str">
        <f>IF(Tuloslaskelma!D47&lt;0,Tuloslaskelma!D47*(-1),"")</f>
        <v/>
      </c>
      <c r="AX12" s="96" t="s">
        <v>499</v>
      </c>
      <c r="AY12" s="89" t="str">
        <f>IF(Tuloslaskelma!E47&lt;0,Tuloslaskelma!E47*(-1),"")</f>
        <v/>
      </c>
      <c r="BA12" s="96" t="s">
        <v>499</v>
      </c>
      <c r="BB12" s="89" t="str">
        <f>IF(Tuloslaskelma!F47&lt;0,Tuloslaskelma!F47*(-1),"")</f>
        <v/>
      </c>
      <c r="BD12" s="96" t="s">
        <v>499</v>
      </c>
      <c r="BE12" s="89" t="str">
        <f>IF(Tuloslaskelma!G47&lt;0,Tuloslaskelma!G47*(-1),"")</f>
        <v/>
      </c>
      <c r="BG12" s="96" t="s">
        <v>499</v>
      </c>
      <c r="BH12" s="89" t="str">
        <f>IF(Tuloslaskelma!H47&lt;0,Tuloslaskelma!H47*(-1),"")</f>
        <v/>
      </c>
    </row>
    <row r="13" spans="2:61" x14ac:dyDescent="0.2">
      <c r="AR13" s="88" t="s">
        <v>22</v>
      </c>
      <c r="AS13" s="90">
        <f>SUM(AS6:AS12)</f>
        <v>106956.13923000002</v>
      </c>
      <c r="AT13" s="90">
        <f>SUM(AT7:AT11)</f>
        <v>104149.75100528987</v>
      </c>
      <c r="AU13" s="88" t="s">
        <v>22</v>
      </c>
      <c r="AV13" s="90">
        <f>SUM(AV6:AV12)</f>
        <v>41138.88998169433</v>
      </c>
      <c r="AW13" s="90">
        <f>SUM(AW7:AW11)</f>
        <v>40757.145394663734</v>
      </c>
      <c r="AX13" s="88" t="s">
        <v>22</v>
      </c>
      <c r="AY13" s="90">
        <f>SUM(AY6:AY12)</f>
        <v>41677.736603193793</v>
      </c>
      <c r="AZ13" s="90">
        <f>SUM(AZ7:AZ11)</f>
        <v>38720.414486176407</v>
      </c>
      <c r="BA13" s="88" t="s">
        <v>22</v>
      </c>
      <c r="BB13" s="90">
        <f>SUM(BB6:BB12)</f>
        <v>41677.736603193793</v>
      </c>
      <c r="BC13" s="90">
        <f>SUM(BC7:BC11)</f>
        <v>38967.509486176408</v>
      </c>
      <c r="BD13" s="88" t="s">
        <v>22</v>
      </c>
      <c r="BE13" s="90">
        <f>SUM(BE6:BE12)</f>
        <v>41677.736603193793</v>
      </c>
      <c r="BF13" s="90">
        <f>SUM(BF7:BF11)</f>
        <v>39454.314363651953</v>
      </c>
      <c r="BG13" s="88" t="s">
        <v>22</v>
      </c>
      <c r="BH13" s="90">
        <f>SUM(BH6:BH12)</f>
        <v>41677.736603193793</v>
      </c>
      <c r="BI13" s="90">
        <f>SUM(BI7:BI11)</f>
        <v>39701.409363651954</v>
      </c>
    </row>
    <row r="14" spans="2:61" x14ac:dyDescent="0.2">
      <c r="AT14" s="3"/>
      <c r="AU14" s="93" t="s">
        <v>498</v>
      </c>
      <c r="AV14" s="89">
        <f>AS13-AV13</f>
        <v>65817.249248305685</v>
      </c>
      <c r="AW14" s="89">
        <f>AT13-AW13</f>
        <v>63392.605610626139</v>
      </c>
      <c r="AX14" s="93" t="s">
        <v>498</v>
      </c>
      <c r="AY14" s="89">
        <f>$AS$13-AY13</f>
        <v>65278.402626806223</v>
      </c>
      <c r="AZ14" s="89">
        <f>$AT$13-AZ13</f>
        <v>65429.336519113465</v>
      </c>
      <c r="BA14" s="93" t="s">
        <v>498</v>
      </c>
      <c r="BB14" s="89">
        <f>$AS$13-BB13</f>
        <v>65278.402626806223</v>
      </c>
      <c r="BC14" s="89">
        <f>$AT$13-BC13</f>
        <v>65182.241519113464</v>
      </c>
      <c r="BD14" s="93" t="s">
        <v>498</v>
      </c>
      <c r="BE14" s="89">
        <f>$AS$13-BE13</f>
        <v>65278.402626806223</v>
      </c>
      <c r="BF14" s="89">
        <f>$AT$13-BF13</f>
        <v>64695.43664163792</v>
      </c>
      <c r="BG14" s="93" t="s">
        <v>498</v>
      </c>
      <c r="BH14" s="89">
        <f>$AS$13-BH13</f>
        <v>65278.402626806223</v>
      </c>
      <c r="BI14" s="89">
        <f>$AT$13-BI13</f>
        <v>64448.341641637919</v>
      </c>
    </row>
    <row r="23" spans="2:52" ht="18" x14ac:dyDescent="0.25">
      <c r="AV23" s="182"/>
      <c r="AW23" s="182"/>
      <c r="AX23" s="182"/>
      <c r="AY23" s="182"/>
      <c r="AZ23" s="182"/>
    </row>
    <row r="24" spans="2:52" x14ac:dyDescent="0.2">
      <c r="J24" s="95"/>
      <c r="K24" s="95"/>
      <c r="L24" s="95"/>
      <c r="M24" s="95"/>
      <c r="N24" s="95"/>
      <c r="O24" s="95"/>
    </row>
    <row r="25" spans="2:52" x14ac:dyDescent="0.2">
      <c r="B25" s="1" t="s">
        <v>501</v>
      </c>
      <c r="D25" s="97">
        <f>Tuloslaskelma!B51*1000</f>
        <v>-2806388.2247101557</v>
      </c>
      <c r="E25" s="1" t="s">
        <v>465</v>
      </c>
      <c r="I25" s="1" t="s">
        <v>502</v>
      </c>
      <c r="K25" s="97">
        <f>Tuloslaskelma!D51*1000</f>
        <v>-381744.58703059383</v>
      </c>
      <c r="L25" s="1" t="s">
        <v>465</v>
      </c>
      <c r="Q25" s="1" t="s">
        <v>502</v>
      </c>
      <c r="S25" s="97">
        <f>Tuloslaskelma!$E$51*1000</f>
        <v>-2799003.102185701</v>
      </c>
      <c r="T25" s="1" t="s">
        <v>465</v>
      </c>
      <c r="W25" s="1" t="s">
        <v>502</v>
      </c>
      <c r="Y25" s="97">
        <f>Tuloslaskelma!$F$51*1000</f>
        <v>-2551908.102185701</v>
      </c>
      <c r="Z25" s="1" t="s">
        <v>465</v>
      </c>
      <c r="AE25" s="1" t="s">
        <v>502</v>
      </c>
      <c r="AG25" s="97">
        <f>Tuloslaskelma!$G$51*1000</f>
        <v>-2065103.2247101548</v>
      </c>
      <c r="AH25" s="1" t="s">
        <v>465</v>
      </c>
      <c r="AM25" s="1" t="s">
        <v>502</v>
      </c>
      <c r="AO25" s="97">
        <f>Tuloslaskelma!$H$51*1000</f>
        <v>-1818008.2247101543</v>
      </c>
      <c r="AP25" s="1" t="s">
        <v>465</v>
      </c>
    </row>
    <row r="26" spans="2:52" x14ac:dyDescent="0.2">
      <c r="D26" s="97">
        <f>D25/Tuloslaskelma!A76</f>
        <v>-170.36291050265015</v>
      </c>
      <c r="E26" s="1" t="s">
        <v>491</v>
      </c>
      <c r="K26" s="97">
        <f>Tuloslaskelma!D59</f>
        <v>-23.173956597498563</v>
      </c>
      <c r="L26" s="1" t="s">
        <v>491</v>
      </c>
      <c r="S26" s="97">
        <f>Tuloslaskelma!$E$59</f>
        <v>-169.91459371005288</v>
      </c>
      <c r="T26" s="1" t="s">
        <v>491</v>
      </c>
      <c r="Y26" s="97">
        <f>Tuloslaskelma!$F$59</f>
        <v>-154.91459371005286</v>
      </c>
      <c r="Z26" s="1" t="s">
        <v>491</v>
      </c>
      <c r="AG26" s="97">
        <f>Tuloslaskelma!$G$59</f>
        <v>-125.36291050265008</v>
      </c>
      <c r="AH26" s="1" t="s">
        <v>491</v>
      </c>
      <c r="AO26" s="97">
        <f>Tuloslaskelma!$H$59</f>
        <v>-110.36291050265005</v>
      </c>
      <c r="AP26" s="1" t="s">
        <v>491</v>
      </c>
    </row>
    <row r="28" spans="2:52" x14ac:dyDescent="0.2">
      <c r="B28" s="136" t="str">
        <f>"&gt; "&amp;Tuloslaskelma!A23</f>
        <v xml:space="preserve">&gt; </v>
      </c>
      <c r="I28" s="136" t="s">
        <v>633</v>
      </c>
    </row>
    <row r="29" spans="2:52" x14ac:dyDescent="0.2">
      <c r="I29" s="136"/>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1"/>
  <dimension ref="A1:K95"/>
  <sheetViews>
    <sheetView tabSelected="1" topLeftCell="A2" zoomScale="120" zoomScaleNormal="120" workbookViewId="0">
      <selection activeCell="A8" sqref="A8"/>
    </sheetView>
  </sheetViews>
  <sheetFormatPr defaultColWidth="9.140625" defaultRowHeight="12.75" x14ac:dyDescent="0.2"/>
  <cols>
    <col min="1" max="1" width="50" style="5" customWidth="1"/>
    <col min="2" max="2" width="25.7109375" style="5" customWidth="1"/>
    <col min="3" max="3" width="19.28515625" style="5" customWidth="1"/>
    <col min="4" max="4" width="18" style="337" customWidth="1"/>
    <col min="5" max="5" width="18.5703125" style="5" customWidth="1"/>
    <col min="6" max="8" width="18.140625" style="5" customWidth="1"/>
    <col min="9" max="9" width="0.7109375" style="5" customWidth="1"/>
    <col min="10" max="10" width="72.7109375" style="5" customWidth="1"/>
    <col min="11" max="11" width="39" style="5" customWidth="1"/>
    <col min="12" max="12" width="44.7109375" style="5" customWidth="1"/>
    <col min="13" max="13" width="14.28515625" style="5" bestFit="1" customWidth="1"/>
    <col min="14" max="16384" width="9.140625" style="5"/>
  </cols>
  <sheetData>
    <row r="1" spans="1:11" hidden="1" x14ac:dyDescent="0.2">
      <c r="A1" s="38"/>
      <c r="B1" s="39"/>
      <c r="C1" s="41"/>
      <c r="D1" s="336"/>
      <c r="E1" s="39"/>
      <c r="F1" s="39"/>
      <c r="G1" s="39"/>
      <c r="H1" s="39"/>
      <c r="I1" s="39"/>
      <c r="J1" s="39"/>
      <c r="K1" s="39"/>
    </row>
    <row r="2" spans="1:11" ht="20.25" customHeight="1" x14ac:dyDescent="0.25">
      <c r="A2" s="186" t="s">
        <v>627</v>
      </c>
      <c r="B2" s="39"/>
      <c r="C2" s="40"/>
      <c r="D2" s="366"/>
      <c r="E2" s="39"/>
      <c r="F2" s="39"/>
      <c r="G2" s="39"/>
      <c r="H2" s="39"/>
      <c r="I2" s="39"/>
      <c r="J2" s="307"/>
      <c r="K2" s="39"/>
    </row>
    <row r="3" spans="1:11" ht="12" customHeight="1" x14ac:dyDescent="0.2">
      <c r="A3" s="86" t="s">
        <v>699</v>
      </c>
      <c r="C3" s="39"/>
      <c r="D3" s="41"/>
      <c r="E3" s="41"/>
      <c r="F3" s="41"/>
      <c r="G3" s="41"/>
      <c r="H3" s="41"/>
      <c r="I3" s="39"/>
      <c r="J3" s="187"/>
      <c r="K3" s="39"/>
    </row>
    <row r="4" spans="1:11" x14ac:dyDescent="0.2">
      <c r="A4" s="389" t="s">
        <v>773</v>
      </c>
      <c r="B4" s="187" t="s">
        <v>712</v>
      </c>
      <c r="C4" s="42"/>
      <c r="D4" s="42"/>
      <c r="E4" s="42"/>
      <c r="F4" s="42"/>
      <c r="G4" s="42"/>
      <c r="H4" s="42"/>
      <c r="I4" s="39"/>
      <c r="J4" s="308"/>
    </row>
    <row r="5" spans="1:11" ht="14.1" customHeight="1" x14ac:dyDescent="0.2">
      <c r="A5" s="390" t="s">
        <v>428</v>
      </c>
      <c r="B5" s="32"/>
      <c r="C5" s="32"/>
      <c r="D5" s="34"/>
      <c r="E5" s="34"/>
      <c r="F5" s="32"/>
      <c r="G5" s="32"/>
      <c r="H5" s="32"/>
      <c r="I5" s="32"/>
      <c r="J5" s="309"/>
      <c r="K5" s="310"/>
    </row>
    <row r="6" spans="1:11" ht="14.1" customHeight="1" x14ac:dyDescent="0.2">
      <c r="A6" s="35"/>
      <c r="B6" s="32"/>
      <c r="C6" s="32"/>
      <c r="D6" s="189"/>
      <c r="E6" s="189"/>
      <c r="F6" s="32"/>
      <c r="G6" s="32"/>
      <c r="H6" s="32"/>
      <c r="I6" s="32"/>
      <c r="J6" s="191"/>
      <c r="K6" s="310"/>
    </row>
    <row r="7" spans="1:11" ht="14.1" customHeight="1" x14ac:dyDescent="0.2">
      <c r="A7" s="135" t="s">
        <v>433</v>
      </c>
      <c r="B7" s="189"/>
      <c r="C7" s="189"/>
      <c r="D7" s="365"/>
      <c r="E7" s="365"/>
      <c r="F7" s="189"/>
      <c r="G7" s="189"/>
      <c r="H7" s="189"/>
      <c r="I7" s="126"/>
      <c r="J7" s="191"/>
      <c r="K7" s="137"/>
    </row>
    <row r="8" spans="1:11" ht="14.1" customHeight="1" x14ac:dyDescent="0.2">
      <c r="A8" s="63" t="s">
        <v>125</v>
      </c>
      <c r="B8" s="7"/>
      <c r="D8" s="304"/>
      <c r="E8" s="366"/>
      <c r="F8" s="330"/>
      <c r="I8" s="126"/>
      <c r="J8" s="191" t="s">
        <v>711</v>
      </c>
      <c r="K8" s="310"/>
    </row>
    <row r="9" spans="1:11" s="7" customFormat="1" x14ac:dyDescent="0.2">
      <c r="B9" s="409" t="s">
        <v>726</v>
      </c>
      <c r="C9" s="410" t="s">
        <v>727</v>
      </c>
      <c r="F9" s="330"/>
      <c r="I9" s="329"/>
      <c r="J9" s="191"/>
      <c r="K9" s="191"/>
    </row>
    <row r="10" spans="1:11" s="7" customFormat="1" x14ac:dyDescent="0.2">
      <c r="A10" s="355" t="s">
        <v>713</v>
      </c>
      <c r="B10" s="353">
        <f>VLOOKUP(linkki,alue5,67,FALSE)*-0.001</f>
        <v>-59090.545219999993</v>
      </c>
      <c r="C10" s="354">
        <f>VLOOKUP(linkki,alue5,68,FALSE)*-0.001</f>
        <v>-64565</v>
      </c>
      <c r="D10" s="405" t="s">
        <v>755</v>
      </c>
      <c r="G10" s="184"/>
      <c r="H10" s="184"/>
      <c r="I10" s="329"/>
      <c r="J10" s="191"/>
      <c r="K10" s="191"/>
    </row>
    <row r="11" spans="1:11" s="7" customFormat="1" x14ac:dyDescent="0.2">
      <c r="A11" s="355" t="s">
        <v>714</v>
      </c>
      <c r="B11" s="353">
        <f>VLOOKUP(linkki,alue5,69,FALSE)*-0.001</f>
        <v>-1305.2985800000001</v>
      </c>
      <c r="C11" s="354">
        <f>VLOOKUP(linkki,alue5,70,FALSE)*-0.001</f>
        <v>-1308</v>
      </c>
      <c r="D11" s="70"/>
      <c r="G11" s="330"/>
      <c r="H11" s="227"/>
      <c r="I11" s="329"/>
      <c r="J11" s="191"/>
      <c r="K11" s="191"/>
    </row>
    <row r="12" spans="1:11" s="7" customFormat="1" x14ac:dyDescent="0.2">
      <c r="A12" s="355"/>
      <c r="B12" s="359"/>
      <c r="C12" s="352"/>
      <c r="D12" s="366"/>
      <c r="G12" s="330"/>
      <c r="H12" s="227"/>
      <c r="I12" s="329"/>
      <c r="J12" s="328"/>
      <c r="K12" s="191"/>
    </row>
    <row r="13" spans="1:11" s="7" customFormat="1" ht="13.35" customHeight="1" x14ac:dyDescent="0.2">
      <c r="A13" s="495" t="s">
        <v>679</v>
      </c>
      <c r="B13" s="356"/>
      <c r="C13" s="352"/>
      <c r="D13" s="366"/>
      <c r="F13" s="148"/>
      <c r="G13" s="330"/>
      <c r="H13" s="227"/>
      <c r="I13" s="329"/>
      <c r="J13" s="191"/>
      <c r="K13" s="191"/>
    </row>
    <row r="14" spans="1:11" s="7" customFormat="1" ht="13.35" customHeight="1" x14ac:dyDescent="0.2">
      <c r="A14" s="2"/>
      <c r="B14" s="398" t="s">
        <v>691</v>
      </c>
      <c r="D14" s="366"/>
      <c r="F14" s="525" t="s">
        <v>770</v>
      </c>
      <c r="H14" s="227"/>
      <c r="I14" s="329"/>
      <c r="J14" s="191"/>
      <c r="K14" s="191"/>
    </row>
    <row r="15" spans="1:11" s="7" customFormat="1" ht="13.35" customHeight="1" x14ac:dyDescent="0.2">
      <c r="A15" s="355" t="s">
        <v>688</v>
      </c>
      <c r="B15" s="354">
        <f>VLOOKUP(linkki,alue5,92,FALSE)</f>
        <v>61979.103958365878</v>
      </c>
      <c r="C15" s="405" t="s">
        <v>752</v>
      </c>
      <c r="D15" s="366"/>
      <c r="E15" s="405"/>
      <c r="F15" s="353">
        <f>VLOOKUP(linkki,alue5,104,FALSE)</f>
        <v>63091.815600000002</v>
      </c>
      <c r="H15" s="227"/>
      <c r="I15" s="329"/>
      <c r="J15" s="191"/>
      <c r="K15" s="191"/>
    </row>
    <row r="16" spans="1:11" s="7" customFormat="1" ht="13.35" customHeight="1" x14ac:dyDescent="0.2">
      <c r="A16" s="355" t="s">
        <v>689</v>
      </c>
      <c r="B16" s="354">
        <f>VLOOKUP(linkki,alue5,93,FALSE)</f>
        <v>2425.6802721357762</v>
      </c>
      <c r="C16" s="405" t="s">
        <v>771</v>
      </c>
      <c r="D16" s="512"/>
      <c r="E16" s="405"/>
      <c r="F16" s="353">
        <f>VLOOKUP(linkki,alue5,105,FALSE)</f>
        <v>2406.7134205821394</v>
      </c>
      <c r="G16" s="514"/>
      <c r="H16" s="514"/>
      <c r="I16" s="329"/>
      <c r="J16" s="191"/>
      <c r="K16" s="191"/>
    </row>
    <row r="17" spans="1:11" s="7" customFormat="1" ht="13.35" customHeight="1" x14ac:dyDescent="0.2">
      <c r="A17" s="355"/>
      <c r="B17" s="511"/>
      <c r="C17" s="405" t="s">
        <v>757</v>
      </c>
      <c r="D17" s="512"/>
      <c r="E17" s="513"/>
      <c r="F17" s="514"/>
      <c r="G17" s="514"/>
      <c r="H17" s="514"/>
      <c r="I17" s="329"/>
      <c r="J17" s="191"/>
      <c r="K17" s="191"/>
    </row>
    <row r="18" spans="1:11" s="7" customFormat="1" ht="13.35" customHeight="1" x14ac:dyDescent="0.2">
      <c r="A18" s="355"/>
      <c r="B18" s="424"/>
      <c r="C18" s="515"/>
      <c r="D18" s="340" t="s">
        <v>695</v>
      </c>
      <c r="E18" s="34" t="s">
        <v>745</v>
      </c>
      <c r="F18" s="365"/>
      <c r="G18" s="365"/>
      <c r="H18" s="365"/>
      <c r="I18" s="329"/>
      <c r="J18" s="191"/>
      <c r="K18" s="191"/>
    </row>
    <row r="19" spans="1:11" s="7" customFormat="1" ht="13.35" customHeight="1" x14ac:dyDescent="0.2">
      <c r="B19" s="328"/>
      <c r="C19" s="328"/>
      <c r="D19" s="340" t="s">
        <v>733</v>
      </c>
      <c r="E19" s="189" t="s">
        <v>750</v>
      </c>
      <c r="F19" s="365"/>
      <c r="G19" s="365"/>
      <c r="H19" s="365"/>
      <c r="I19" s="329"/>
      <c r="J19" s="191"/>
      <c r="K19" s="191"/>
    </row>
    <row r="20" spans="1:11" s="7" customFormat="1" ht="13.35" customHeight="1" x14ac:dyDescent="0.2">
      <c r="B20" s="367">
        <v>2022</v>
      </c>
      <c r="C20" s="367" t="s">
        <v>690</v>
      </c>
      <c r="D20" s="368">
        <v>2023</v>
      </c>
      <c r="E20" s="367">
        <v>2024</v>
      </c>
      <c r="F20" s="367">
        <v>2025</v>
      </c>
      <c r="G20" s="367">
        <v>2026</v>
      </c>
      <c r="H20" s="367">
        <v>2027</v>
      </c>
      <c r="I20" s="329"/>
      <c r="J20" s="191"/>
      <c r="K20" s="191"/>
    </row>
    <row r="21" spans="1:11" s="7" customFormat="1" ht="16.350000000000001" customHeight="1" x14ac:dyDescent="0.2">
      <c r="A21" s="85" t="s">
        <v>721</v>
      </c>
      <c r="B21" s="292">
        <f>C21+E21</f>
        <v>-106887.16091000002</v>
      </c>
      <c r="C21" s="292">
        <f>($B$10+$C$10)/2*sote_kerroin+($B$11+$C$11)/2*pela_kerroin</f>
        <v>-65278.40262680623</v>
      </c>
      <c r="D21" s="341">
        <f>VLOOKUP(linkki,alue5,108,FALSE)*-0.001</f>
        <v>-41137.019981694328</v>
      </c>
      <c r="E21" s="292">
        <f>VLOOKUP(linkki,alue5,4,FALSE)*-0.001</f>
        <v>-41608.758283193791</v>
      </c>
      <c r="F21" s="292">
        <f>VLOOKUP(linkki,alue5,4,FALSE)*-0.001</f>
        <v>-41608.758283193791</v>
      </c>
      <c r="G21" s="292">
        <f>VLOOKUP(linkki,alue5,4,FALSE)*-0.001</f>
        <v>-41608.758283193791</v>
      </c>
      <c r="H21" s="292">
        <f>VLOOKUP(linkki,alue5,4,FALSE)*-0.001</f>
        <v>-41608.758283193791</v>
      </c>
      <c r="I21" s="329"/>
      <c r="J21" s="191"/>
      <c r="K21" s="191"/>
    </row>
    <row r="22" spans="1:11" s="7" customFormat="1" ht="16.350000000000001" customHeight="1" x14ac:dyDescent="0.2">
      <c r="A22" s="434" t="s">
        <v>740</v>
      </c>
      <c r="B22" s="508"/>
      <c r="C22" s="509">
        <f>VLOOKUP(linkki,alue5,13,FALSE)*-0.001</f>
        <v>-158.31901483168252</v>
      </c>
      <c r="D22" s="341"/>
      <c r="E22" s="510"/>
      <c r="F22" s="510"/>
      <c r="G22" s="510"/>
      <c r="H22" s="510"/>
      <c r="I22" s="329"/>
      <c r="J22" s="191"/>
      <c r="K22" s="191"/>
    </row>
    <row r="23" spans="1:11" hidden="1" x14ac:dyDescent="0.2">
      <c r="A23" s="7"/>
      <c r="B23" s="362"/>
      <c r="C23" s="52"/>
      <c r="D23" s="347" t="s">
        <v>533</v>
      </c>
      <c r="E23" s="362"/>
      <c r="F23" s="132"/>
      <c r="G23" s="132"/>
      <c r="H23" s="132"/>
      <c r="I23" s="32"/>
      <c r="J23" s="191"/>
      <c r="K23" s="191"/>
    </row>
    <row r="24" spans="1:11" ht="18.75" customHeight="1" x14ac:dyDescent="0.2">
      <c r="A24" s="7" t="s">
        <v>0</v>
      </c>
      <c r="B24" s="301">
        <f t="shared" ref="B24:H24" si="0">SUM(B25:B27)</f>
        <v>68141.405230501652</v>
      </c>
      <c r="C24" s="301">
        <f t="shared" si="0"/>
        <v>35617.700481115455</v>
      </c>
      <c r="D24" s="342">
        <f>SUM(D25:D27)</f>
        <v>32561.163251825168</v>
      </c>
      <c r="E24" s="301">
        <f>SUM(E25:E27)</f>
        <v>32523.704749386205</v>
      </c>
      <c r="F24" s="301">
        <f t="shared" si="0"/>
        <v>32523.704749386205</v>
      </c>
      <c r="G24" s="301">
        <f t="shared" si="0"/>
        <v>32523.704749386205</v>
      </c>
      <c r="H24" s="301">
        <f t="shared" si="0"/>
        <v>32523.704749386205</v>
      </c>
      <c r="I24" s="32"/>
      <c r="J24" s="369"/>
      <c r="K24" s="191"/>
    </row>
    <row r="25" spans="1:11" ht="15" customHeight="1" x14ac:dyDescent="0.2">
      <c r="A25" s="5" t="s">
        <v>431</v>
      </c>
      <c r="B25" s="127">
        <f>B15</f>
        <v>61979.103958365878</v>
      </c>
      <c r="C25" s="127">
        <f>B25*VLOOKUP(linkki,alue5,71,FALSE)</f>
        <v>34805.963856065551</v>
      </c>
      <c r="D25" s="343">
        <f>VLOOKUP(linkki,alue5,109,FALSE)*0.001</f>
        <v>27363.452160325167</v>
      </c>
      <c r="E25" s="127">
        <f>B25-C25</f>
        <v>27173.140102300327</v>
      </c>
      <c r="F25" s="127">
        <f t="shared" ref="F25:H27" si="1">E25</f>
        <v>27173.140102300327</v>
      </c>
      <c r="G25" s="127">
        <f t="shared" si="1"/>
        <v>27173.140102300327</v>
      </c>
      <c r="H25" s="127">
        <f t="shared" si="1"/>
        <v>27173.140102300327</v>
      </c>
      <c r="I25" s="133"/>
      <c r="J25" s="370"/>
      <c r="K25" s="191"/>
    </row>
    <row r="26" spans="1:11" x14ac:dyDescent="0.2">
      <c r="A26" s="5" t="s">
        <v>432</v>
      </c>
      <c r="B26" s="127">
        <f>B16</f>
        <v>2425.6802721357762</v>
      </c>
      <c r="C26" s="127">
        <f>B26*VLOOKUP(linkki,alue5,72,FALSE)</f>
        <v>811.7366250499</v>
      </c>
      <c r="D26" s="343">
        <f>VLOOKUP(linkki,alue5,111,FALSE)*0.001</f>
        <v>1452.074525</v>
      </c>
      <c r="E26" s="127">
        <f>B26-C26</f>
        <v>1613.9436470858764</v>
      </c>
      <c r="F26" s="127">
        <f t="shared" si="1"/>
        <v>1613.9436470858764</v>
      </c>
      <c r="G26" s="127">
        <f t="shared" si="1"/>
        <v>1613.9436470858764</v>
      </c>
      <c r="H26" s="127">
        <f t="shared" si="1"/>
        <v>1613.9436470858764</v>
      </c>
      <c r="I26" s="32"/>
      <c r="J26" s="191"/>
      <c r="K26" s="191"/>
    </row>
    <row r="27" spans="1:11" x14ac:dyDescent="0.2">
      <c r="A27" s="5" t="s">
        <v>542</v>
      </c>
      <c r="B27" s="127">
        <f>VLOOKUP(linkki,alue5,6,FALSE)*0.001</f>
        <v>3736.6210000000001</v>
      </c>
      <c r="C27" s="127"/>
      <c r="D27" s="343">
        <f>VLOOKUP(linkki,alue5,110,FALSE)*0.001</f>
        <v>3745.6365665000003</v>
      </c>
      <c r="E27" s="127">
        <f>B27</f>
        <v>3736.6210000000001</v>
      </c>
      <c r="F27" s="127">
        <f t="shared" si="1"/>
        <v>3736.6210000000001</v>
      </c>
      <c r="G27" s="127">
        <f t="shared" si="1"/>
        <v>3736.6210000000001</v>
      </c>
      <c r="H27" s="127">
        <f t="shared" si="1"/>
        <v>3736.6210000000001</v>
      </c>
      <c r="I27" s="32"/>
      <c r="J27" s="526"/>
      <c r="K27" s="527"/>
    </row>
    <row r="28" spans="1:11" ht="15" hidden="1" customHeight="1" x14ac:dyDescent="0.2">
      <c r="B28" s="400"/>
      <c r="C28" s="52"/>
      <c r="D28" s="345"/>
      <c r="E28" s="3"/>
      <c r="F28" s="3"/>
      <c r="G28" s="3"/>
      <c r="H28" s="3"/>
      <c r="I28" s="32"/>
      <c r="J28" s="527"/>
      <c r="K28" s="527"/>
    </row>
    <row r="29" spans="1:11" ht="14.25" customHeight="1" x14ac:dyDescent="0.2">
      <c r="A29" s="7" t="s">
        <v>1</v>
      </c>
      <c r="B29" s="301">
        <f>SUM(B30:B36)</f>
        <v>36008.345774788213</v>
      </c>
      <c r="C29" s="301">
        <f>SUM(C30:C34)</f>
        <v>24512.822770199018</v>
      </c>
      <c r="D29" s="342">
        <f>SUM(D30:D35)</f>
        <v>8195.9821428385658</v>
      </c>
      <c r="E29" s="301">
        <f>SUM(E30:E36)</f>
        <v>6196.7097367902024</v>
      </c>
      <c r="F29" s="301">
        <f t="shared" ref="F29:H29" si="2">SUM(F30:F36)</f>
        <v>6443.8047367902027</v>
      </c>
      <c r="G29" s="301">
        <f t="shared" si="2"/>
        <v>6930.6096142657489</v>
      </c>
      <c r="H29" s="301">
        <f t="shared" si="2"/>
        <v>7177.7046142657491</v>
      </c>
      <c r="I29" s="32"/>
      <c r="J29" s="527"/>
      <c r="K29" s="527"/>
    </row>
    <row r="30" spans="1:11" x14ac:dyDescent="0.2">
      <c r="A30" s="496" t="s">
        <v>625</v>
      </c>
      <c r="B30" s="127">
        <f>VLOOKUP(linkki,alue5,21,FALSE)*0.001</f>
        <v>29430.194091806799</v>
      </c>
      <c r="C30" s="127">
        <f>B30-E30</f>
        <v>18050.8101558587</v>
      </c>
      <c r="D30" s="343">
        <f>VLOOKUP(linkki,alue5,112,FALSE)*0.001</f>
        <v>11353.560760628026</v>
      </c>
      <c r="E30" s="127">
        <f>VLOOKUP(linkki,alue5,8,FALSE)*0.001</f>
        <v>11379.383935948097</v>
      </c>
      <c r="F30" s="127">
        <f t="shared" ref="F30:H32" si="3">E30</f>
        <v>11379.383935948097</v>
      </c>
      <c r="G30" s="127">
        <f t="shared" si="3"/>
        <v>11379.383935948097</v>
      </c>
      <c r="H30" s="127">
        <f t="shared" si="3"/>
        <v>11379.383935948097</v>
      </c>
      <c r="I30" s="32"/>
      <c r="J30" s="527"/>
      <c r="K30" s="527"/>
    </row>
    <row r="31" spans="1:11" x14ac:dyDescent="0.2">
      <c r="A31" s="496" t="s">
        <v>626</v>
      </c>
      <c r="B31" s="127">
        <f>VLOOKUP(linkki,alue5,22,FALSE)*0.001</f>
        <v>9229.3096829814203</v>
      </c>
      <c r="C31" s="127">
        <f>B31-E31</f>
        <v>6462.0126143403158</v>
      </c>
      <c r="D31" s="343">
        <f>VLOOKUP(linkki,alue5,113,FALSE)*0.001</f>
        <v>2769.2961857285686</v>
      </c>
      <c r="E31" s="127">
        <f>VLOOKUP(linkki,alue5,9,FALSE)*0.001</f>
        <v>2767.2970686411049</v>
      </c>
      <c r="F31" s="127">
        <f>E31</f>
        <v>2767.2970686411049</v>
      </c>
      <c r="G31" s="127">
        <f>F31</f>
        <v>2767.2970686411049</v>
      </c>
      <c r="H31" s="127">
        <f>G31</f>
        <v>2767.2970686411049</v>
      </c>
      <c r="I31" s="32"/>
      <c r="J31" s="527"/>
      <c r="K31" s="527"/>
    </row>
    <row r="32" spans="1:11" x14ac:dyDescent="0.2">
      <c r="A32" s="497" t="s">
        <v>624</v>
      </c>
      <c r="B32" s="127">
        <f>VLOOKUP(linkki,alue5,11,FALSE)*0.001</f>
        <v>-2651.1579999999999</v>
      </c>
      <c r="C32" s="127"/>
      <c r="D32" s="343">
        <f>VLOOKUP(linkki,alue5,115,FALSE)*0.001</f>
        <v>-2659.9760000000001</v>
      </c>
      <c r="E32" s="127">
        <f>B32</f>
        <v>-2651.1579999999999</v>
      </c>
      <c r="F32" s="127">
        <f t="shared" si="3"/>
        <v>-2651.1579999999999</v>
      </c>
      <c r="G32" s="127">
        <f t="shared" si="3"/>
        <v>-2651.1579999999999</v>
      </c>
      <c r="H32" s="127">
        <f t="shared" si="3"/>
        <v>-2651.1579999999999</v>
      </c>
      <c r="I32" s="32"/>
      <c r="J32" s="312"/>
      <c r="K32" s="191"/>
    </row>
    <row r="33" spans="1:11" ht="13.9" customHeight="1" x14ac:dyDescent="0.2">
      <c r="A33" s="497" t="s">
        <v>586</v>
      </c>
      <c r="B33" s="138"/>
      <c r="C33" s="127"/>
      <c r="D33" s="343">
        <f>VLOOKUP(linkki,alue5,114,FALSE)*0.001</f>
        <v>-1559.6342949535965</v>
      </c>
      <c r="E33" s="413">
        <f>'Muutosrajoitin (lopullinen)'!$I$26</f>
        <v>-2450.1191668151719</v>
      </c>
      <c r="F33" s="414">
        <f>'Muutosrajoitin (lopullinen)'!$I$26</f>
        <v>-2450.1191668151719</v>
      </c>
      <c r="G33" s="414">
        <f>'Muutosrajoitin (lopullinen)'!$I$26</f>
        <v>-2450.1191668151719</v>
      </c>
      <c r="H33" s="415">
        <f>'Muutosrajoitin (lopullinen)'!$I$26</f>
        <v>-2450.1191668151719</v>
      </c>
      <c r="I33" s="32"/>
      <c r="J33" s="411" t="s">
        <v>753</v>
      </c>
      <c r="K33" s="191"/>
    </row>
    <row r="34" spans="1:11" x14ac:dyDescent="0.2">
      <c r="A34" s="505" t="s">
        <v>587</v>
      </c>
      <c r="B34" s="138"/>
      <c r="C34" s="349"/>
      <c r="D34" s="343">
        <f>VLOOKUP(linkki,alue5,133,FALSE)*0.001</f>
        <v>-1707.2645085644319</v>
      </c>
      <c r="E34" s="416">
        <f>Taustatiedot!BJ18*Tuloslaskelma!$A$76*0.001</f>
        <v>-2129.5644685571892</v>
      </c>
      <c r="F34" s="301">
        <f>Taustatiedot!BK18*Tuloslaskelma!$A$76*0.001</f>
        <v>-1882.4694685571892</v>
      </c>
      <c r="G34" s="301">
        <f>Taustatiedot!BL18*Tuloslaskelma!$A$76*0.001</f>
        <v>-1635.3744685571892</v>
      </c>
      <c r="H34" s="417">
        <f>Taustatiedot!BM18*Tuloslaskelma!$A$76*0.001</f>
        <v>-1388.2794685571891</v>
      </c>
      <c r="I34" s="32"/>
      <c r="J34" s="412" t="s">
        <v>729</v>
      </c>
      <c r="K34" s="191"/>
    </row>
    <row r="35" spans="1:11" x14ac:dyDescent="0.2">
      <c r="A35" s="498" t="s">
        <v>651</v>
      </c>
      <c r="B35" s="138"/>
      <c r="C35" s="127"/>
      <c r="D35" s="343"/>
      <c r="E35" s="416">
        <f>B73*$A$76*0.001</f>
        <v>-479.41975495109267</v>
      </c>
      <c r="F35" s="301">
        <f>B73*$A$76*0.001</f>
        <v>-479.41975495109267</v>
      </c>
      <c r="G35" s="301">
        <f>B73*$A$76*0.001</f>
        <v>-479.41975495109267</v>
      </c>
      <c r="H35" s="417">
        <f>B73*$A$76*0.001</f>
        <v>-479.41975495109267</v>
      </c>
      <c r="I35" s="32"/>
      <c r="J35" s="412" t="s">
        <v>754</v>
      </c>
      <c r="K35" s="191"/>
    </row>
    <row r="36" spans="1:11" x14ac:dyDescent="0.2">
      <c r="A36" s="498" t="s">
        <v>659</v>
      </c>
      <c r="B36" s="138"/>
      <c r="C36" s="127"/>
      <c r="D36" s="343"/>
      <c r="E36" s="421">
        <f>E35*0.5</f>
        <v>-239.70987747554634</v>
      </c>
      <c r="F36" s="422">
        <f>F35*0.5</f>
        <v>-239.70987747554634</v>
      </c>
      <c r="G36" s="422"/>
      <c r="H36" s="423"/>
      <c r="I36" s="32"/>
      <c r="J36" s="412" t="s">
        <v>730</v>
      </c>
      <c r="K36" s="191"/>
    </row>
    <row r="37" spans="1:11" ht="19.350000000000001" hidden="1" customHeight="1" x14ac:dyDescent="0.2">
      <c r="A37" s="61"/>
      <c r="B37" s="401"/>
      <c r="C37" s="49"/>
      <c r="D37" s="346"/>
      <c r="E37" s="418"/>
      <c r="F37" s="419"/>
      <c r="G37" s="419"/>
      <c r="H37" s="420"/>
      <c r="I37" s="32"/>
      <c r="J37" s="311"/>
      <c r="K37" s="191"/>
    </row>
    <row r="38" spans="1:11" ht="15" customHeight="1" x14ac:dyDescent="0.2">
      <c r="A38" s="5" t="s">
        <v>543</v>
      </c>
      <c r="B38" s="127">
        <f>VLOOKUP(linkki,alue5,12,FALSE)*0.001</f>
        <v>-68.978320000000011</v>
      </c>
      <c r="C38" s="48"/>
      <c r="D38" s="343">
        <f>VLOOKUP(linkki,alue5,116,FALSE)*0.001</f>
        <v>-1.87</v>
      </c>
      <c r="E38" s="127">
        <f>B38-C38</f>
        <v>-68.978320000000011</v>
      </c>
      <c r="F38" s="127">
        <f>E38</f>
        <v>-68.978320000000011</v>
      </c>
      <c r="G38" s="127">
        <f>VLOOKUP(linkki,alue5,12,FALSE)*0.001</f>
        <v>-68.978320000000011</v>
      </c>
      <c r="H38" s="127">
        <f>VLOOKUP(linkki,alue5,12,FALSE)*0.001</f>
        <v>-68.978320000000011</v>
      </c>
      <c r="I38" s="32"/>
      <c r="J38" s="191"/>
      <c r="K38" s="191"/>
    </row>
    <row r="39" spans="1:11" ht="15" hidden="1" customHeight="1" x14ac:dyDescent="0.2">
      <c r="A39" s="131" t="s">
        <v>538</v>
      </c>
      <c r="B39" s="138"/>
      <c r="C39" s="302"/>
      <c r="D39" s="343"/>
      <c r="E39" s="138"/>
      <c r="F39" s="138"/>
      <c r="G39" s="138"/>
      <c r="H39" s="138"/>
      <c r="I39" s="32"/>
      <c r="J39" s="191"/>
      <c r="K39" s="191"/>
    </row>
    <row r="40" spans="1:11" hidden="1" x14ac:dyDescent="0.2">
      <c r="A40" s="131" t="s">
        <v>537</v>
      </c>
      <c r="B40" s="138"/>
      <c r="C40" s="302"/>
      <c r="D40" s="343"/>
      <c r="E40" s="138"/>
      <c r="F40" s="138"/>
      <c r="G40" s="138"/>
      <c r="H40" s="138"/>
      <c r="I40" s="32"/>
      <c r="J40" s="191"/>
      <c r="K40" s="191"/>
    </row>
    <row r="41" spans="1:11" hidden="1" x14ac:dyDescent="0.2">
      <c r="A41" s="131" t="s">
        <v>539</v>
      </c>
      <c r="B41" s="138"/>
      <c r="C41" s="302"/>
      <c r="D41" s="343"/>
      <c r="E41" s="138"/>
      <c r="F41" s="138"/>
      <c r="G41" s="138"/>
      <c r="H41" s="138"/>
      <c r="I41" s="32"/>
      <c r="J41" s="311"/>
      <c r="K41" s="191"/>
    </row>
    <row r="42" spans="1:11" ht="15" hidden="1" customHeight="1" x14ac:dyDescent="0.2">
      <c r="A42" s="131" t="s">
        <v>540</v>
      </c>
      <c r="B42" s="138"/>
      <c r="C42" s="302"/>
      <c r="D42" s="343"/>
      <c r="E42" s="138"/>
      <c r="F42" s="138"/>
      <c r="G42" s="138"/>
      <c r="H42" s="138"/>
      <c r="I42" s="32"/>
      <c r="J42" s="311"/>
      <c r="K42" s="191"/>
    </row>
    <row r="43" spans="1:11" ht="15" hidden="1" customHeight="1" x14ac:dyDescent="0.2">
      <c r="A43" s="131" t="s">
        <v>541</v>
      </c>
      <c r="B43" s="138"/>
      <c r="C43" s="303"/>
      <c r="D43" s="343"/>
      <c r="E43" s="138"/>
      <c r="F43" s="138"/>
      <c r="G43" s="138"/>
      <c r="H43" s="138"/>
      <c r="I43" s="32"/>
      <c r="J43" s="311"/>
      <c r="K43" s="191"/>
    </row>
    <row r="44" spans="1:11" hidden="1" x14ac:dyDescent="0.2">
      <c r="B44" s="302"/>
      <c r="C44" s="8"/>
      <c r="D44" s="340"/>
      <c r="E44" s="402"/>
      <c r="F44" s="8"/>
      <c r="G44" s="8"/>
      <c r="H44" s="8"/>
      <c r="I44" s="32"/>
      <c r="J44" s="311"/>
      <c r="K44" s="191"/>
    </row>
    <row r="45" spans="1:11" s="7" customFormat="1" ht="15" hidden="1" customHeight="1" x14ac:dyDescent="0.2">
      <c r="A45" s="7" t="s">
        <v>2</v>
      </c>
      <c r="B45" s="51">
        <f>B21+B24+B29+B38</f>
        <v>-2806.3882247101556</v>
      </c>
      <c r="C45" s="51"/>
      <c r="D45" s="339">
        <f>D21+D24+D29+D38</f>
        <v>-381.74458703059383</v>
      </c>
      <c r="E45" s="51">
        <f>E21+E24+E29+E38</f>
        <v>-2957.3221170173838</v>
      </c>
      <c r="F45" s="51">
        <f>F21+F24+F29+F38</f>
        <v>-2710.2271170173835</v>
      </c>
      <c r="G45" s="51">
        <f>G21+G24+G29+G38</f>
        <v>-2223.4222395418374</v>
      </c>
      <c r="H45" s="51">
        <f>H21+H24+H29+H38</f>
        <v>-1976.3272395418369</v>
      </c>
      <c r="I45" s="328"/>
      <c r="J45" s="311"/>
      <c r="K45" s="191"/>
    </row>
    <row r="46" spans="1:11" ht="27.6" hidden="1" customHeight="1" x14ac:dyDescent="0.2">
      <c r="B46" s="400"/>
      <c r="C46" s="52"/>
      <c r="D46" s="338"/>
      <c r="E46" s="32"/>
      <c r="I46" s="32"/>
      <c r="J46" s="311"/>
      <c r="K46" s="191"/>
    </row>
    <row r="47" spans="1:11" hidden="1" x14ac:dyDescent="0.2">
      <c r="A47" s="5" t="s">
        <v>722</v>
      </c>
      <c r="B47" s="406" t="s">
        <v>723</v>
      </c>
      <c r="C47" s="407" t="s">
        <v>723</v>
      </c>
      <c r="D47" s="408" t="s">
        <v>723</v>
      </c>
      <c r="E47" s="406" t="s">
        <v>723</v>
      </c>
      <c r="F47" s="406" t="s">
        <v>723</v>
      </c>
      <c r="G47" s="406" t="s">
        <v>723</v>
      </c>
      <c r="H47" s="406" t="s">
        <v>723</v>
      </c>
      <c r="I47" s="32"/>
      <c r="J47" s="191"/>
      <c r="K47" s="191"/>
    </row>
    <row r="48" spans="1:11" ht="15" hidden="1" customHeight="1" x14ac:dyDescent="0.2">
      <c r="A48" s="5" t="s">
        <v>3</v>
      </c>
      <c r="B48" s="127"/>
      <c r="C48" s="117"/>
      <c r="D48" s="344"/>
      <c r="E48" s="48"/>
      <c r="F48" s="48"/>
      <c r="G48" s="48"/>
      <c r="H48" s="48"/>
      <c r="I48" s="32"/>
      <c r="J48" s="311"/>
      <c r="K48" s="191"/>
    </row>
    <row r="49" spans="1:11" ht="15" hidden="1" customHeight="1" x14ac:dyDescent="0.2">
      <c r="A49" s="5" t="s">
        <v>4</v>
      </c>
      <c r="B49" s="127"/>
      <c r="C49" s="48"/>
      <c r="D49" s="344"/>
      <c r="E49" s="48"/>
      <c r="F49" s="48"/>
      <c r="G49" s="48"/>
      <c r="H49" s="48"/>
      <c r="I49" s="32"/>
      <c r="J49" s="311"/>
      <c r="K49" s="191"/>
    </row>
    <row r="50" spans="1:11" ht="9" hidden="1" customHeight="1" x14ac:dyDescent="0.2">
      <c r="B50" s="53"/>
      <c r="C50" s="8"/>
      <c r="D50" s="340"/>
      <c r="E50" s="3"/>
      <c r="F50" s="3"/>
      <c r="G50" s="3"/>
      <c r="H50" s="3"/>
      <c r="I50" s="32"/>
      <c r="J50" s="311"/>
      <c r="K50" s="191"/>
    </row>
    <row r="51" spans="1:11" s="7" customFormat="1" ht="14.25" customHeight="1" x14ac:dyDescent="0.2">
      <c r="A51" s="7" t="s">
        <v>5</v>
      </c>
      <c r="B51" s="51">
        <f>B45</f>
        <v>-2806.3882247101556</v>
      </c>
      <c r="C51" s="51"/>
      <c r="D51" s="339">
        <f>D45</f>
        <v>-381.74458703059383</v>
      </c>
      <c r="E51" s="51">
        <f>E21+E24+E29+E38-$C$22</f>
        <v>-2799.0031021857012</v>
      </c>
      <c r="F51" s="51">
        <f>F21+F24+F29+F38-$C$22</f>
        <v>-2551.908102185701</v>
      </c>
      <c r="G51" s="51">
        <f>G21+G24+G29+G38-$C$22</f>
        <v>-2065.1032247101548</v>
      </c>
      <c r="H51" s="51">
        <f>H21+H24+H29+H38-$C$22</f>
        <v>-1818.0082247101543</v>
      </c>
      <c r="I51" s="328"/>
      <c r="J51" s="311"/>
      <c r="K51" s="191"/>
    </row>
    <row r="52" spans="1:11" hidden="1" x14ac:dyDescent="0.2">
      <c r="B52" s="300"/>
      <c r="C52" s="54"/>
      <c r="D52" s="340"/>
      <c r="E52" s="54"/>
      <c r="F52" s="54"/>
      <c r="G52" s="54"/>
      <c r="H52" s="54"/>
      <c r="I52" s="32"/>
      <c r="J52" s="311"/>
      <c r="K52" s="191"/>
    </row>
    <row r="53" spans="1:11" hidden="1" x14ac:dyDescent="0.2">
      <c r="A53" s="5" t="s">
        <v>23</v>
      </c>
      <c r="B53" s="54"/>
      <c r="C53" s="54"/>
      <c r="D53" s="340"/>
      <c r="E53" s="54"/>
      <c r="F53" s="54"/>
      <c r="G53" s="54"/>
      <c r="H53" s="54"/>
      <c r="I53" s="32"/>
      <c r="J53" s="311"/>
      <c r="K53" s="191"/>
    </row>
    <row r="54" spans="1:11" ht="15" hidden="1" customHeight="1" x14ac:dyDescent="0.2">
      <c r="A54" s="5" t="s">
        <v>24</v>
      </c>
      <c r="B54" s="54"/>
      <c r="C54" s="54"/>
      <c r="D54" s="340"/>
      <c r="E54" s="54"/>
      <c r="F54" s="54"/>
      <c r="G54" s="54"/>
      <c r="H54" s="54"/>
      <c r="I54" s="32"/>
      <c r="J54" s="311"/>
      <c r="K54" s="191"/>
    </row>
    <row r="55" spans="1:11" ht="15" hidden="1" customHeight="1" x14ac:dyDescent="0.2">
      <c r="A55" s="5" t="s">
        <v>107</v>
      </c>
      <c r="B55" s="54"/>
      <c r="C55" s="54"/>
      <c r="D55" s="340"/>
      <c r="E55" s="54"/>
      <c r="F55" s="54"/>
      <c r="G55" s="54"/>
      <c r="H55" s="54"/>
      <c r="I55" s="32"/>
      <c r="J55" s="311"/>
      <c r="K55" s="191"/>
    </row>
    <row r="56" spans="1:11" ht="15" hidden="1" customHeight="1" x14ac:dyDescent="0.2">
      <c r="B56" s="53"/>
      <c r="C56" s="54"/>
      <c r="D56" s="340"/>
      <c r="E56" s="54"/>
      <c r="F56" s="54"/>
      <c r="G56" s="54"/>
      <c r="H56" s="54"/>
      <c r="I56" s="32"/>
      <c r="J56" s="311"/>
      <c r="K56" s="191"/>
    </row>
    <row r="57" spans="1:11" s="7" customFormat="1" hidden="1" x14ac:dyDescent="0.2">
      <c r="A57" s="7" t="s">
        <v>589</v>
      </c>
      <c r="B57" s="51">
        <f>B51+B53+B54+B55</f>
        <v>-2806.3882247101556</v>
      </c>
      <c r="C57" s="51"/>
      <c r="D57" s="339">
        <f>D51+D53+D54+D55</f>
        <v>-381.74458703059383</v>
      </c>
      <c r="E57" s="51">
        <f>E51+E53+E54+E55</f>
        <v>-2799.0031021857012</v>
      </c>
      <c r="F57" s="51">
        <f>F51+F53+F54+F55</f>
        <v>-2551.908102185701</v>
      </c>
      <c r="G57" s="51">
        <f>G51+G53+G54+G55</f>
        <v>-2065.1032247101548</v>
      </c>
      <c r="H57" s="51">
        <f>H51+H53+H54+H55</f>
        <v>-1818.0082247101543</v>
      </c>
      <c r="I57" s="328"/>
      <c r="J57" s="311"/>
      <c r="K57" s="191"/>
    </row>
    <row r="58" spans="1:11" hidden="1" x14ac:dyDescent="0.2">
      <c r="A58" s="304"/>
      <c r="B58" s="305"/>
      <c r="C58" s="305"/>
      <c r="D58" s="344"/>
      <c r="E58" s="53"/>
      <c r="F58" s="53"/>
      <c r="G58" s="53"/>
      <c r="H58" s="53"/>
    </row>
    <row r="59" spans="1:11" ht="14.25" customHeight="1" x14ac:dyDescent="0.2">
      <c r="A59" s="436" t="s">
        <v>692</v>
      </c>
      <c r="B59" s="424">
        <f>B57/$A$76*1000</f>
        <v>-170.36291050265012</v>
      </c>
      <c r="C59" s="391"/>
      <c r="D59" s="392">
        <f>D57/$A$76*1000</f>
        <v>-23.173956597498563</v>
      </c>
      <c r="E59" s="424">
        <f>E57/$A$76*1000</f>
        <v>-169.91459371005288</v>
      </c>
      <c r="F59" s="424">
        <f>F57/$A$76*1000</f>
        <v>-154.91459371005286</v>
      </c>
      <c r="G59" s="424">
        <f>G57/$A$76*1000</f>
        <v>-125.36291050265008</v>
      </c>
      <c r="H59" s="424">
        <f>H57/$A$76*1000</f>
        <v>-110.36291050265005</v>
      </c>
      <c r="I59" s="32"/>
      <c r="J59" s="32"/>
      <c r="K59" s="32"/>
    </row>
    <row r="60" spans="1:11" ht="12.75" customHeight="1" x14ac:dyDescent="0.2">
      <c r="D60" s="343"/>
      <c r="E60" s="49"/>
      <c r="H60" s="6"/>
    </row>
    <row r="61" spans="1:11" x14ac:dyDescent="0.2">
      <c r="A61" s="371" t="s">
        <v>698</v>
      </c>
      <c r="J61" s="128"/>
    </row>
    <row r="62" spans="1:11" x14ac:dyDescent="0.2">
      <c r="A62" s="372" t="s">
        <v>747</v>
      </c>
      <c r="B62" s="378">
        <f>VLOOKUP(linkki,alue5,11,FALSE)*0.001+VLOOKUP(linkki,alue5,21,FALSE)*0.001+VLOOKUP(linkki,alue5,22,FALSE)*0.001</f>
        <v>36008.34577478822</v>
      </c>
      <c r="C62" s="379"/>
      <c r="D62" s="394"/>
      <c r="E62" s="378">
        <f>VLOOKUP(linkki,alue5,8,FALSE)*0.001+VLOOKUP(linkki,alue5,9,FALSE)*0.001+VLOOKUP(linkki,alue5,10,FALSE)*0.001+VLOOKUP(linkki,alue5,11,FALSE)*0.001+VLOOKUP(linkki,alue5,14,FALSE)*0.001+VLOOKUP(linkki,alue5,14,FALSE)*0.001*0.5+VLOOKUP(linkki,alue5,31,FALSE)*0.001</f>
        <v>6215.6228329221713</v>
      </c>
      <c r="F62" s="378">
        <f>VLOOKUP(linkki,alue5,8,FALSE)*0.001+VLOOKUP(linkki,alue5,9,FALSE)*0.001+VLOOKUP(linkki,alue5,10,FALSE)*0.001+VLOOKUP(linkki,alue5,11,FALSE)*0.001+VLOOKUP(linkki,alue5,14,FALSE)*0.001+VLOOKUP(linkki,alue5,14,FALSE)*0.001*0.5+VLOOKUP(linkki,alue5,32,FALSE)*0.001</f>
        <v>6419.7936987813819</v>
      </c>
      <c r="G62" s="378">
        <f>VLOOKUP(linkki,alue5,8,FALSE)*0.001+VLOOKUP(linkki,alue5,9,FALSE)*0.001+VLOOKUP(linkki,alue5,10,FALSE)*0.001+VLOOKUP(linkki,alue5,11,FALSE)*0.001+VLOOKUP(linkki,alue5,14,FALSE)*0.001+VLOOKUP(linkki,alue5,33,FALSE)*0.001</f>
        <v>6881.5102283724882</v>
      </c>
      <c r="H62" s="380">
        <f>VLOOKUP(linkki,alue5,8,FALSE)*0.001+VLOOKUP(linkki,alue5,9,FALSE)*0.001+VLOOKUP(linkki,alue5,10,FALSE)*0.001+VLOOKUP(linkki,alue5,11,FALSE)*0.001+VLOOKUP(linkki,alue5,14,FALSE)*0.001+VLOOKUP(linkki,alue5,34,FALSE)*0.001</f>
        <v>7100.1486780435625</v>
      </c>
    </row>
    <row r="63" spans="1:11" x14ac:dyDescent="0.2">
      <c r="A63" s="373" t="s">
        <v>693</v>
      </c>
      <c r="B63" s="381">
        <f>B29</f>
        <v>36008.345774788213</v>
      </c>
      <c r="C63" s="382"/>
      <c r="D63" s="395"/>
      <c r="E63" s="381">
        <f>E29</f>
        <v>6196.7097367902024</v>
      </c>
      <c r="F63" s="381">
        <f>F29</f>
        <v>6443.8047367902027</v>
      </c>
      <c r="G63" s="381">
        <f>G29</f>
        <v>6930.6096142657489</v>
      </c>
      <c r="H63" s="384">
        <f>H29</f>
        <v>7177.7046142657491</v>
      </c>
    </row>
    <row r="64" spans="1:11" ht="14.25" x14ac:dyDescent="0.3">
      <c r="A64" s="374" t="s">
        <v>694</v>
      </c>
      <c r="B64" s="385">
        <f>B63-B62</f>
        <v>0</v>
      </c>
      <c r="C64" s="382"/>
      <c r="D64" s="383"/>
      <c r="E64" s="385">
        <f t="shared" ref="E64:H64" si="4">E63-E62</f>
        <v>-18.913096131968814</v>
      </c>
      <c r="F64" s="385">
        <f t="shared" si="4"/>
        <v>24.011038008820833</v>
      </c>
      <c r="G64" s="385">
        <f t="shared" si="4"/>
        <v>49.09938589326066</v>
      </c>
      <c r="H64" s="386">
        <f t="shared" si="4"/>
        <v>77.555936222186574</v>
      </c>
      <c r="J64" s="507" t="s">
        <v>751</v>
      </c>
    </row>
    <row r="65" spans="1:8" ht="14.25" x14ac:dyDescent="0.3">
      <c r="A65" s="375" t="s">
        <v>696</v>
      </c>
      <c r="B65" s="376">
        <f>B64/$A$76*1000</f>
        <v>0</v>
      </c>
      <c r="C65" s="387"/>
      <c r="D65" s="388"/>
      <c r="E65" s="376">
        <f>E64/$A$76*1000</f>
        <v>-1.148127003701136</v>
      </c>
      <c r="F65" s="376">
        <f>F64/$A$76*1000</f>
        <v>1.4575995877387744</v>
      </c>
      <c r="G65" s="376">
        <f>G64/$A$76*1000</f>
        <v>2.9805976988563505</v>
      </c>
      <c r="H65" s="377">
        <f>H64/$A$76*1000</f>
        <v>4.7080638755652631</v>
      </c>
    </row>
    <row r="66" spans="1:8" ht="11.45" customHeight="1" x14ac:dyDescent="0.2"/>
    <row r="67" spans="1:8" x14ac:dyDescent="0.2">
      <c r="A67" s="371" t="s">
        <v>697</v>
      </c>
      <c r="D67" s="343"/>
      <c r="E67" s="6"/>
      <c r="F67" s="6"/>
      <c r="G67" s="6"/>
      <c r="H67" s="6"/>
    </row>
    <row r="68" spans="1:8" x14ac:dyDescent="0.2">
      <c r="A68" s="372" t="s">
        <v>747</v>
      </c>
      <c r="B68" s="378">
        <f>VLOOKUP(linkki,alue5,24,FALSE)*0.001</f>
        <v>-2806.3882247101219</v>
      </c>
      <c r="C68" s="379"/>
      <c r="D68" s="394"/>
      <c r="E68" s="378">
        <f>VLOOKUP(linkki,alue5,15,FALSE)*0.001+VLOOKUP(linkki,alue5,14,FALSE)*0.001*0.5+VLOOKUP(linkki,alue5,31,FALSE)*0.001</f>
        <v>-2780.0900060537374</v>
      </c>
      <c r="F68" s="378">
        <f>VLOOKUP(linkki,alue5,15,FALSE)*0.001+VLOOKUP(linkki,alue5,14,FALSE)*0.001*0.5+VLOOKUP(linkki,alue5,32,FALSE)*0.001</f>
        <v>-2575.9191401945272</v>
      </c>
      <c r="G68" s="378">
        <f>VLOOKUP(linkki,alue5,15,FALSE)*0.001+VLOOKUP(linkki,alue5,33,FALSE)*0.001</f>
        <v>-2114.2026106034205</v>
      </c>
      <c r="H68" s="380">
        <f>VLOOKUP(linkki,alue5,15,FALSE)*0.001+VLOOKUP(linkki,alue5,34,FALSE)*0.001</f>
        <v>-1895.5641609323461</v>
      </c>
    </row>
    <row r="69" spans="1:8" x14ac:dyDescent="0.2">
      <c r="A69" s="373" t="s">
        <v>693</v>
      </c>
      <c r="B69" s="381">
        <f>B51</f>
        <v>-2806.3882247101556</v>
      </c>
      <c r="C69" s="382"/>
      <c r="D69" s="395"/>
      <c r="E69" s="381">
        <f>E51</f>
        <v>-2799.0031021857012</v>
      </c>
      <c r="F69" s="381">
        <f>F51</f>
        <v>-2551.908102185701</v>
      </c>
      <c r="G69" s="381">
        <f>G51</f>
        <v>-2065.1032247101548</v>
      </c>
      <c r="H69" s="384">
        <f>H51</f>
        <v>-1818.0082247101543</v>
      </c>
    </row>
    <row r="70" spans="1:8" ht="14.25" x14ac:dyDescent="0.3">
      <c r="A70" s="374" t="s">
        <v>694</v>
      </c>
      <c r="B70" s="385">
        <f>B69-B68</f>
        <v>-3.3651303965598345E-11</v>
      </c>
      <c r="C70" s="382"/>
      <c r="D70" s="383"/>
      <c r="E70" s="385">
        <f t="shared" ref="E70:H70" si="5">E69-E68</f>
        <v>-18.913096131963812</v>
      </c>
      <c r="F70" s="385">
        <f t="shared" si="5"/>
        <v>24.01103800882629</v>
      </c>
      <c r="G70" s="385">
        <f t="shared" si="5"/>
        <v>49.099385893265662</v>
      </c>
      <c r="H70" s="386">
        <f t="shared" si="5"/>
        <v>77.555936222191804</v>
      </c>
    </row>
    <row r="71" spans="1:8" ht="14.25" x14ac:dyDescent="0.3">
      <c r="A71" s="375" t="s">
        <v>696</v>
      </c>
      <c r="B71" s="376">
        <f>B70/$A$76*1000</f>
        <v>-2.0428157570326196E-12</v>
      </c>
      <c r="C71" s="387"/>
      <c r="D71" s="388"/>
      <c r="E71" s="376">
        <f>E70/$A$76*1000</f>
        <v>-1.1481270037008324</v>
      </c>
      <c r="F71" s="376">
        <f>F70/$A$76*1000</f>
        <v>1.4575995877391059</v>
      </c>
      <c r="G71" s="376">
        <f>G70/$A$76*1000</f>
        <v>2.9805976988566543</v>
      </c>
      <c r="H71" s="377">
        <f>H70/$A$76*1000</f>
        <v>4.7080638755655801</v>
      </c>
    </row>
    <row r="73" spans="1:8" x14ac:dyDescent="0.2">
      <c r="A73" s="499" t="s">
        <v>710</v>
      </c>
      <c r="B73" s="364">
        <v>-29.103366414805599</v>
      </c>
    </row>
    <row r="74" spans="1:8" x14ac:dyDescent="0.2">
      <c r="B74" s="30"/>
    </row>
    <row r="75" spans="1:8" x14ac:dyDescent="0.2">
      <c r="A75" s="1" t="s">
        <v>756</v>
      </c>
      <c r="B75" s="30"/>
    </row>
    <row r="76" spans="1:8" x14ac:dyDescent="0.2">
      <c r="A76" s="393">
        <f>VLOOKUP(linkki,väestö2,3,FALSE)</f>
        <v>16473</v>
      </c>
    </row>
    <row r="91" spans="1:1" x14ac:dyDescent="0.2">
      <c r="A91" s="5" t="s">
        <v>577</v>
      </c>
    </row>
    <row r="92" spans="1:1" x14ac:dyDescent="0.2">
      <c r="A92" s="5" t="s">
        <v>577</v>
      </c>
    </row>
    <row r="94" spans="1:1" x14ac:dyDescent="0.2">
      <c r="A94" s="5" t="s">
        <v>623</v>
      </c>
    </row>
    <row r="95" spans="1:1" x14ac:dyDescent="0.2">
      <c r="A95" s="5" t="s">
        <v>623</v>
      </c>
    </row>
  </sheetData>
  <mergeCells count="1">
    <mergeCell ref="J27:K31"/>
  </mergeCells>
  <phoneticPr fontId="3" type="noConversion"/>
  <dataValidations count="4">
    <dataValidation type="list" allowBlank="1" showInputMessage="1" showErrorMessage="1" prompt="Valitse kunta" sqref="A8" xr:uid="{00000000-0002-0000-0200-000000000000}">
      <formula1>kunnat</formula1>
    </dataValidation>
    <dataValidation type="list" allowBlank="1" showInputMessage="1" showErrorMessage="1" sqref="C5" xr:uid="{00000000-0002-0000-0200-000001000000}">
      <formula1>Lähtötaso</formula1>
    </dataValidation>
    <dataValidation type="list" showDropDown="1" showInputMessage="1" showErrorMessage="1" sqref="C6" xr:uid="{00000000-0002-0000-0200-000002000000}">
      <formula1>Lähtötaso</formula1>
    </dataValidation>
    <dataValidation allowBlank="1" sqref="A5:A6" xr:uid="{00000000-0002-0000-0200-000003000000}"/>
  </dataValidations>
  <pageMargins left="0.27559055118110237" right="0.19685039370078741" top="0.47244094488188981" bottom="0.39370078740157483" header="0.39370078740157483" footer="0.23622047244094491"/>
  <pageSetup paperSize="9" orientation="landscape" verticalDpi="4294967293" r:id="rId1"/>
  <headerFooter alignWithMargins="0"/>
  <ignoredErrors>
    <ignoredError sqref="E38"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6"/>
  <dimension ref="B1:T37"/>
  <sheetViews>
    <sheetView topLeftCell="A3" zoomScale="110" zoomScaleNormal="110" workbookViewId="0">
      <selection activeCell="N26" sqref="N26"/>
    </sheetView>
  </sheetViews>
  <sheetFormatPr defaultRowHeight="12.75" x14ac:dyDescent="0.2"/>
  <cols>
    <col min="3" max="3" width="10.5703125" customWidth="1"/>
    <col min="4" max="4" width="18.140625" customWidth="1"/>
    <col min="5" max="5" width="15.7109375" customWidth="1"/>
    <col min="7" max="7" width="8.42578125" customWidth="1"/>
    <col min="9" max="9" width="13.42578125" customWidth="1"/>
    <col min="15" max="15" width="11.28515625" customWidth="1"/>
    <col min="16" max="16" width="16.28515625" customWidth="1"/>
    <col min="17" max="17" width="3.140625" customWidth="1"/>
    <col min="18" max="18" width="8.85546875" customWidth="1"/>
  </cols>
  <sheetData>
    <row r="1" spans="2:18" ht="15" x14ac:dyDescent="0.2">
      <c r="B1" s="238" t="s">
        <v>599</v>
      </c>
      <c r="F1" s="241"/>
    </row>
    <row r="2" spans="2:18" x14ac:dyDescent="0.2">
      <c r="B2" s="2" t="str">
        <f>linkki</f>
        <v>Akaa</v>
      </c>
    </row>
    <row r="7" spans="2:18" ht="15.75" x14ac:dyDescent="0.25">
      <c r="B7" s="239" t="s">
        <v>603</v>
      </c>
      <c r="E7" s="89"/>
      <c r="L7" s="239" t="s">
        <v>604</v>
      </c>
    </row>
    <row r="9" spans="2:18" x14ac:dyDescent="0.2">
      <c r="B9" s="3" t="s">
        <v>720</v>
      </c>
      <c r="C9" s="3"/>
      <c r="D9" s="3"/>
      <c r="E9" s="502">
        <f>Tuloslaskelma!C21</f>
        <v>-65278.40262680623</v>
      </c>
      <c r="L9" s="3" t="s">
        <v>471</v>
      </c>
      <c r="M9" s="3"/>
      <c r="N9" s="3"/>
      <c r="O9" s="3"/>
      <c r="P9" s="43">
        <f>Tuloslaskelma!C25</f>
        <v>34805.963856065551</v>
      </c>
      <c r="Q9" s="43"/>
    </row>
    <row r="10" spans="2:18" x14ac:dyDescent="0.2">
      <c r="B10" s="3"/>
      <c r="C10" s="3"/>
      <c r="D10" s="3"/>
      <c r="E10" s="503"/>
      <c r="L10" s="3" t="s">
        <v>430</v>
      </c>
      <c r="M10" s="3"/>
      <c r="N10" s="3"/>
      <c r="O10" s="3"/>
      <c r="P10" s="43">
        <f>Tuloslaskelma!C26</f>
        <v>811.7366250499</v>
      </c>
      <c r="Q10" s="43"/>
    </row>
    <row r="11" spans="2:18" x14ac:dyDescent="0.2">
      <c r="B11" s="3"/>
      <c r="C11" s="3"/>
      <c r="D11" s="3"/>
      <c r="E11" s="503"/>
      <c r="L11" s="3" t="s">
        <v>740</v>
      </c>
      <c r="M11" s="3"/>
      <c r="N11" s="3"/>
      <c r="O11" s="3"/>
      <c r="P11" s="43">
        <f>Tuloslaskelma!C22</f>
        <v>-158.31901483168252</v>
      </c>
      <c r="Q11" s="43"/>
    </row>
    <row r="12" spans="2:18" x14ac:dyDescent="0.2">
      <c r="B12" s="3"/>
      <c r="C12" s="3"/>
      <c r="D12" s="3"/>
      <c r="E12" s="503"/>
      <c r="L12" s="3" t="s">
        <v>595</v>
      </c>
      <c r="M12" s="3"/>
      <c r="N12" s="3"/>
      <c r="O12" s="3"/>
      <c r="P12" s="43">
        <f>VLOOKUP(B2,alue5,49,FALSE)</f>
        <v>15352.955380463967</v>
      </c>
      <c r="Q12" s="43"/>
    </row>
    <row r="13" spans="2:18" x14ac:dyDescent="0.2">
      <c r="B13" s="3"/>
      <c r="C13" s="3"/>
      <c r="D13" s="3"/>
      <c r="E13" s="30"/>
      <c r="L13" s="3" t="s">
        <v>620</v>
      </c>
      <c r="M13" s="3"/>
      <c r="N13" s="3"/>
      <c r="O13" s="3"/>
      <c r="P13" s="43">
        <f>Tuloslaskelma!C31</f>
        <v>6462.0126143403158</v>
      </c>
      <c r="Q13" s="43"/>
    </row>
    <row r="14" spans="2:18" x14ac:dyDescent="0.2">
      <c r="B14" s="3"/>
      <c r="C14" s="3"/>
      <c r="D14" s="3"/>
      <c r="E14" s="30"/>
      <c r="L14" s="3" t="s">
        <v>602</v>
      </c>
      <c r="M14" s="3"/>
      <c r="N14" s="3"/>
      <c r="O14" s="3"/>
      <c r="P14" s="43">
        <f>VLOOKUP(B2,alue5,50,FALSE)*-1</f>
        <v>3441.101466075128</v>
      </c>
      <c r="Q14" s="315" t="s">
        <v>647</v>
      </c>
      <c r="R14" s="313" t="s">
        <v>646</v>
      </c>
    </row>
    <row r="15" spans="2:18" x14ac:dyDescent="0.2">
      <c r="B15" s="3"/>
      <c r="C15" s="3"/>
      <c r="D15" s="3"/>
      <c r="E15" s="30"/>
      <c r="L15" s="1" t="s">
        <v>660</v>
      </c>
      <c r="M15" s="238"/>
      <c r="N15" s="238"/>
      <c r="O15" s="238"/>
      <c r="P15" s="504">
        <f>Tuloslaskelma!E35*-1</f>
        <v>479.41975495109267</v>
      </c>
      <c r="Q15" s="315" t="s">
        <v>647</v>
      </c>
      <c r="R15" s="313" t="s">
        <v>670</v>
      </c>
    </row>
    <row r="16" spans="2:18" x14ac:dyDescent="0.2">
      <c r="E16" s="30"/>
      <c r="M16" s="358"/>
      <c r="P16" s="30"/>
    </row>
    <row r="17" spans="2:20" ht="15.75" x14ac:dyDescent="0.25">
      <c r="B17" s="239" t="s">
        <v>592</v>
      </c>
      <c r="C17" s="239"/>
      <c r="D17" s="239"/>
      <c r="E17" s="294">
        <f>SUM(E9:E15)</f>
        <v>-65278.40262680623</v>
      </c>
      <c r="L17" s="239" t="s">
        <v>593</v>
      </c>
      <c r="M17" s="239"/>
      <c r="N17" s="239"/>
      <c r="O17" s="239"/>
      <c r="P17" s="294">
        <f>SUM(P9:P15)</f>
        <v>61194.870682114277</v>
      </c>
      <c r="Q17" s="315" t="s">
        <v>647</v>
      </c>
      <c r="R17" s="313" t="s">
        <v>641</v>
      </c>
    </row>
    <row r="18" spans="2:20" x14ac:dyDescent="0.2">
      <c r="P18" s="30"/>
      <c r="Q18" s="316"/>
    </row>
    <row r="19" spans="2:20" x14ac:dyDescent="0.2">
      <c r="D19" s="3"/>
      <c r="E19" s="89"/>
      <c r="L19" s="3"/>
      <c r="M19" s="30"/>
      <c r="N19" s="30"/>
      <c r="O19" s="30"/>
      <c r="P19" s="226"/>
      <c r="Q19" s="435"/>
      <c r="R19" s="405"/>
      <c r="S19" s="30"/>
      <c r="T19" s="30"/>
    </row>
    <row r="20" spans="2:20" x14ac:dyDescent="0.2">
      <c r="L20" s="3"/>
      <c r="M20" s="30"/>
      <c r="N20" s="30"/>
      <c r="O20" s="30"/>
      <c r="P20" s="226"/>
      <c r="Q20" s="435"/>
      <c r="R20" s="405"/>
      <c r="S20" s="30"/>
      <c r="T20" s="30"/>
    </row>
    <row r="24" spans="2:20" ht="18.75" x14ac:dyDescent="0.25">
      <c r="G24" s="239" t="s">
        <v>594</v>
      </c>
      <c r="H24" s="314" t="s">
        <v>643</v>
      </c>
      <c r="I24" s="294">
        <f>E17+P17</f>
        <v>-4083.531944691953</v>
      </c>
      <c r="O24" s="94"/>
    </row>
    <row r="25" spans="2:20" ht="15.75" x14ac:dyDescent="0.25">
      <c r="G25" s="239"/>
      <c r="H25" s="239"/>
      <c r="I25" s="294"/>
      <c r="O25" s="94"/>
    </row>
    <row r="26" spans="2:20" ht="15.75" x14ac:dyDescent="0.25">
      <c r="G26" s="239" t="s">
        <v>596</v>
      </c>
      <c r="H26" s="239"/>
      <c r="I26" s="294">
        <f>I24*0.6</f>
        <v>-2450.1191668151719</v>
      </c>
      <c r="O26" s="94"/>
    </row>
    <row r="28" spans="2:20" ht="14.25" x14ac:dyDescent="0.2">
      <c r="B28" s="242" t="s">
        <v>605</v>
      </c>
    </row>
    <row r="29" spans="2:20" ht="14.25" x14ac:dyDescent="0.2">
      <c r="B29" s="240" t="s">
        <v>644</v>
      </c>
    </row>
    <row r="30" spans="2:20" ht="14.25" x14ac:dyDescent="0.2">
      <c r="B30" s="240" t="s">
        <v>642</v>
      </c>
    </row>
    <row r="31" spans="2:20" ht="14.25" x14ac:dyDescent="0.2">
      <c r="B31" s="240" t="s">
        <v>645</v>
      </c>
    </row>
    <row r="32" spans="2:20" ht="14.25" x14ac:dyDescent="0.2">
      <c r="B32" s="240" t="s">
        <v>606</v>
      </c>
    </row>
    <row r="33" spans="2:2" ht="14.25" x14ac:dyDescent="0.2">
      <c r="B33" s="240" t="s">
        <v>607</v>
      </c>
    </row>
    <row r="34" spans="2:2" ht="14.25" x14ac:dyDescent="0.2">
      <c r="B34" s="240" t="s">
        <v>680</v>
      </c>
    </row>
    <row r="35" spans="2:2" ht="14.25" x14ac:dyDescent="0.2">
      <c r="B35" s="240" t="s">
        <v>681</v>
      </c>
    </row>
    <row r="36" spans="2:2" ht="14.25" x14ac:dyDescent="0.2">
      <c r="B36" s="240" t="s">
        <v>609</v>
      </c>
    </row>
    <row r="37" spans="2:2" ht="14.25" x14ac:dyDescent="0.2">
      <c r="B37" s="240" t="s">
        <v>608</v>
      </c>
    </row>
  </sheetData>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7"/>
  <dimension ref="A1:E53"/>
  <sheetViews>
    <sheetView zoomScale="90" zoomScaleNormal="90" workbookViewId="0">
      <selection activeCell="C4" sqref="C4"/>
    </sheetView>
  </sheetViews>
  <sheetFormatPr defaultRowHeight="12.75" x14ac:dyDescent="0.2"/>
  <cols>
    <col min="1" max="1" width="34.28515625" bestFit="1" customWidth="1"/>
    <col min="2" max="2" width="38.5703125" customWidth="1"/>
    <col min="3" max="3" width="36.85546875" bestFit="1" customWidth="1"/>
  </cols>
  <sheetData>
    <row r="1" spans="1:5" x14ac:dyDescent="0.2">
      <c r="A1" s="238" t="s">
        <v>599</v>
      </c>
    </row>
    <row r="2" spans="1:5" ht="15" x14ac:dyDescent="0.2">
      <c r="A2" s="241"/>
      <c r="B2" s="241" t="s">
        <v>678</v>
      </c>
      <c r="C2" s="241" t="str">
        <f>IF(Taustatiedot!$BI$18&gt;0,"Siirtymätasaus parantaa tasapainoa näin paljon","")</f>
        <v/>
      </c>
      <c r="D2" s="241" t="str">
        <f>IF(Taustatiedot!$BI$18&lt;0,"Siirtymätasaus heikentää tasapainoa näin paljon","")</f>
        <v/>
      </c>
      <c r="E2" s="241" t="s">
        <v>558</v>
      </c>
    </row>
    <row r="3" spans="1:5" ht="15" x14ac:dyDescent="0.2">
      <c r="A3" s="241" t="s">
        <v>673</v>
      </c>
      <c r="B3" s="350">
        <f>Tuloslaskelma!B59</f>
        <v>-170.36291050265012</v>
      </c>
      <c r="C3" s="241"/>
      <c r="E3" s="94">
        <f>Tuloslaskelma!B59</f>
        <v>-170.36291050265012</v>
      </c>
    </row>
    <row r="4" spans="1:5" ht="15" x14ac:dyDescent="0.2">
      <c r="A4" s="241" t="s">
        <v>682</v>
      </c>
      <c r="B4" s="350">
        <f>Tuloslaskelma!D59-Taustatiedot!BI18</f>
        <v>-23.173956597498563</v>
      </c>
      <c r="C4" s="350" t="str">
        <f>IF(Taustatiedot!$BI$18&gt;0,Taustatiedot!$BI$18,"")</f>
        <v/>
      </c>
      <c r="D4" s="94" t="str">
        <f>IF(Taustatiedot!$BI$18&lt;0,Taustatiedot!$BI$18,"")</f>
        <v/>
      </c>
      <c r="E4" s="94">
        <f>Tuloslaskelma!D59</f>
        <v>-23.173956597498563</v>
      </c>
    </row>
    <row r="5" spans="1:5" ht="15" x14ac:dyDescent="0.2">
      <c r="A5" s="241" t="s">
        <v>674</v>
      </c>
      <c r="B5" s="350">
        <f>Tuloslaskelma!E59-Taustatiedot!BJ18</f>
        <v>-40.638537827263519</v>
      </c>
      <c r="C5" s="350" t="str">
        <f>IF(Taustatiedot!$BJ$18&gt;0,Taustatiedot!$BJ$18,"")</f>
        <v/>
      </c>
      <c r="D5" s="94">
        <f>IF(Taustatiedot!$BJ$18&lt;0,Taustatiedot!$BJ$18,"")</f>
        <v>-129.27605588278936</v>
      </c>
      <c r="E5" s="94">
        <f>Tuloslaskelma!E59</f>
        <v>-169.91459371005288</v>
      </c>
    </row>
    <row r="6" spans="1:5" ht="15" x14ac:dyDescent="0.2">
      <c r="A6" s="241" t="s">
        <v>675</v>
      </c>
      <c r="B6" s="350">
        <f>Tuloslaskelma!F59-Taustatiedot!BK18</f>
        <v>-40.638537827263491</v>
      </c>
      <c r="C6" s="350" t="str">
        <f>IF(Taustatiedot!$BK$18&gt;0,Taustatiedot!$BK$18,"")</f>
        <v/>
      </c>
      <c r="D6" s="94">
        <f>IF(Taustatiedot!$BK$18&lt;0,Taustatiedot!$BK$18,"")</f>
        <v>-114.27605588278936</v>
      </c>
      <c r="E6" s="94">
        <f>Tuloslaskelma!F59</f>
        <v>-154.91459371005286</v>
      </c>
    </row>
    <row r="7" spans="1:5" ht="15" x14ac:dyDescent="0.2">
      <c r="A7" s="241" t="s">
        <v>676</v>
      </c>
      <c r="B7" s="350">
        <f>Tuloslaskelma!G59-Taustatiedot!BL18</f>
        <v>-26.086854619860716</v>
      </c>
      <c r="C7" s="350" t="str">
        <f>IF(Taustatiedot!$BL$18&gt;0,Taustatiedot!$BL$18,"")</f>
        <v/>
      </c>
      <c r="D7" s="94">
        <f>IF(Taustatiedot!$BL$18&lt;0,Taustatiedot!$BL$18,"")</f>
        <v>-99.276055882789365</v>
      </c>
      <c r="E7" s="94">
        <f>Tuloslaskelma!G59</f>
        <v>-125.36291050265008</v>
      </c>
    </row>
    <row r="8" spans="1:5" ht="15" x14ac:dyDescent="0.2">
      <c r="A8" s="241" t="s">
        <v>677</v>
      </c>
      <c r="B8" s="350">
        <f>Tuloslaskelma!H59-Taustatiedot!BM18</f>
        <v>-26.086854619860688</v>
      </c>
      <c r="C8" s="350" t="str">
        <f>IF(Taustatiedot!$BM$18&gt;0,Taustatiedot!$BM$18,"")</f>
        <v/>
      </c>
      <c r="D8" s="94">
        <f>IF(Taustatiedot!$BM$18&lt;0,Taustatiedot!$BM$18,"")</f>
        <v>-84.276055882789365</v>
      </c>
      <c r="E8" s="94">
        <f>Tuloslaskelma!H59</f>
        <v>-110.36291050265005</v>
      </c>
    </row>
    <row r="9" spans="1:5" ht="15" x14ac:dyDescent="0.2">
      <c r="A9" s="241"/>
      <c r="B9" s="360" t="s">
        <v>672</v>
      </c>
      <c r="C9" s="360" t="s">
        <v>671</v>
      </c>
    </row>
    <row r="26" spans="1:1" ht="18" x14ac:dyDescent="0.25">
      <c r="A26" s="357"/>
    </row>
    <row r="27" spans="1:1" ht="18" x14ac:dyDescent="0.25">
      <c r="A27" s="361"/>
    </row>
    <row r="28" spans="1:1" ht="18" x14ac:dyDescent="0.25">
      <c r="A28" s="357"/>
    </row>
    <row r="29" spans="1:1" ht="15" x14ac:dyDescent="0.25">
      <c r="A29" s="348"/>
    </row>
    <row r="30" spans="1:1" ht="15" x14ac:dyDescent="0.25">
      <c r="A30" s="348"/>
    </row>
    <row r="31" spans="1:1" ht="15" x14ac:dyDescent="0.25">
      <c r="A31" s="348"/>
    </row>
    <row r="32" spans="1:1" ht="15" x14ac:dyDescent="0.25">
      <c r="A32" s="348"/>
    </row>
    <row r="45" spans="1:3" ht="15" x14ac:dyDescent="0.2">
      <c r="A45" s="241"/>
      <c r="B45" s="241"/>
      <c r="C45" s="241"/>
    </row>
    <row r="47" spans="1:3" ht="15" x14ac:dyDescent="0.2">
      <c r="A47" s="241"/>
      <c r="B47" s="241"/>
      <c r="C47" s="241"/>
    </row>
    <row r="49" spans="1:3" ht="15" x14ac:dyDescent="0.2">
      <c r="A49" s="241"/>
      <c r="B49" s="241"/>
      <c r="C49" s="241"/>
    </row>
    <row r="50" spans="1:3" ht="15" x14ac:dyDescent="0.2">
      <c r="A50" s="241"/>
      <c r="B50" s="350"/>
      <c r="C50" s="350"/>
    </row>
    <row r="51" spans="1:3" ht="15" x14ac:dyDescent="0.2">
      <c r="A51" s="241"/>
      <c r="B51" s="350"/>
      <c r="C51" s="350"/>
    </row>
    <row r="52" spans="1:3" ht="15" x14ac:dyDescent="0.2">
      <c r="A52" s="241"/>
      <c r="B52" s="350"/>
      <c r="C52" s="350"/>
    </row>
    <row r="53" spans="1:3" x14ac:dyDescent="0.2">
      <c r="B53" s="360"/>
      <c r="C53" s="360"/>
    </row>
  </sheetData>
  <phoneticPr fontId="27"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2"/>
  <dimension ref="A1:F39"/>
  <sheetViews>
    <sheetView workbookViewId="0">
      <pane xSplit="1" ySplit="7" topLeftCell="B8" activePane="bottomRight" state="frozen"/>
      <selection activeCell="C16" sqref="C16"/>
      <selection pane="topRight" activeCell="C16" sqref="C16"/>
      <selection pane="bottomLeft" activeCell="C16" sqref="C16"/>
      <selection pane="bottomRight" activeCell="C16" sqref="C16"/>
    </sheetView>
  </sheetViews>
  <sheetFormatPr defaultColWidth="9.140625" defaultRowHeight="12.75" x14ac:dyDescent="0.2"/>
  <cols>
    <col min="1" max="1" width="47.28515625" style="5" customWidth="1"/>
    <col min="2" max="2" width="13" style="5" customWidth="1"/>
    <col min="3" max="3" width="11.7109375" style="5" customWidth="1"/>
    <col min="4" max="4" width="20.140625" style="5" bestFit="1" customWidth="1"/>
    <col min="5" max="5" width="4.7109375" style="5" customWidth="1"/>
    <col min="6" max="6" width="98.85546875" style="27" customWidth="1"/>
    <col min="7" max="16384" width="9.140625" style="5"/>
  </cols>
  <sheetData>
    <row r="1" spans="1:6" x14ac:dyDescent="0.2">
      <c r="A1" s="4"/>
      <c r="B1" s="6"/>
    </row>
    <row r="2" spans="1:6" ht="18" x14ac:dyDescent="0.25">
      <c r="A2" s="192" t="s">
        <v>569</v>
      </c>
      <c r="B2" s="193"/>
      <c r="C2" s="190"/>
      <c r="D2" s="36" t="s">
        <v>571</v>
      </c>
      <c r="E2" s="32"/>
      <c r="F2" s="44"/>
    </row>
    <row r="3" spans="1:6" ht="17.25" customHeight="1" x14ac:dyDescent="0.2">
      <c r="A3" s="188" t="s">
        <v>570</v>
      </c>
      <c r="B3" s="193"/>
      <c r="C3" s="190"/>
      <c r="D3" s="190"/>
      <c r="E3" s="32"/>
      <c r="F3" s="44"/>
    </row>
    <row r="4" spans="1:6" ht="11.85" customHeight="1" x14ac:dyDescent="0.2">
      <c r="A4" s="190" t="s">
        <v>582</v>
      </c>
      <c r="B4" s="193"/>
      <c r="C4" s="190"/>
      <c r="D4" s="190"/>
      <c r="E4" s="32"/>
      <c r="F4" s="44"/>
    </row>
    <row r="5" spans="1:6" ht="14.85" customHeight="1" x14ac:dyDescent="0.2">
      <c r="A5" s="32"/>
      <c r="B5" s="32"/>
      <c r="C5" s="32"/>
      <c r="D5" s="32"/>
      <c r="E5" s="32"/>
      <c r="F5" s="44"/>
    </row>
    <row r="6" spans="1:6" ht="14.85" customHeight="1" x14ac:dyDescent="0.2">
      <c r="A6" s="32" t="str">
        <f>linkki</f>
        <v>Akaa</v>
      </c>
      <c r="B6" s="34" t="s">
        <v>551</v>
      </c>
      <c r="C6" s="34" t="s">
        <v>434</v>
      </c>
      <c r="D6" s="34" t="s">
        <v>493</v>
      </c>
      <c r="E6" s="32"/>
      <c r="F6" s="44"/>
    </row>
    <row r="7" spans="1:6" ht="14.85" customHeight="1" x14ac:dyDescent="0.2">
      <c r="A7" s="35" t="s">
        <v>454</v>
      </c>
      <c r="B7" s="133"/>
      <c r="C7" s="133"/>
      <c r="D7" s="133"/>
      <c r="E7" s="32"/>
      <c r="F7" s="33" t="s">
        <v>103</v>
      </c>
    </row>
    <row r="8" spans="1:6" ht="15" customHeight="1" x14ac:dyDescent="0.2">
      <c r="A8" s="7" t="s">
        <v>17</v>
      </c>
      <c r="B8" s="6"/>
      <c r="F8" s="44"/>
    </row>
    <row r="9" spans="1:6" ht="15" customHeight="1" x14ac:dyDescent="0.2">
      <c r="A9" s="5" t="s">
        <v>6</v>
      </c>
      <c r="B9" s="243">
        <f>Tuloslaskelma!$B$45</f>
        <v>-2806.3882247101556</v>
      </c>
      <c r="C9" s="30"/>
      <c r="D9" s="243">
        <f>Tuloslaskelma!D45</f>
        <v>-381.74458703059383</v>
      </c>
      <c r="F9" s="44" t="s">
        <v>576</v>
      </c>
    </row>
    <row r="10" spans="1:6" ht="15" customHeight="1" x14ac:dyDescent="0.2">
      <c r="A10" s="5" t="s">
        <v>7</v>
      </c>
      <c r="B10" s="244">
        <f>Tuloslaskelma!$B$48+Tuloslaskelma!$B$49</f>
        <v>0</v>
      </c>
      <c r="C10" s="30"/>
      <c r="D10" s="244">
        <f>Tuloslaskelma!D48+Tuloslaskelma!D49</f>
        <v>0</v>
      </c>
      <c r="F10" s="44" t="s">
        <v>576</v>
      </c>
    </row>
    <row r="11" spans="1:6" ht="15" customHeight="1" x14ac:dyDescent="0.2">
      <c r="A11" s="5" t="s">
        <v>14</v>
      </c>
      <c r="B11" s="244" t="e">
        <f>VLOOKUP(linkki,_tpa17,27,FALSE)</f>
        <v>#NAME?</v>
      </c>
      <c r="C11" s="245"/>
      <c r="D11" s="246" t="e">
        <f>B11-C11</f>
        <v>#NAME?</v>
      </c>
      <c r="F11" s="44"/>
    </row>
    <row r="12" spans="1:6" ht="15" customHeight="1" x14ac:dyDescent="0.2">
      <c r="A12" s="7" t="s">
        <v>18</v>
      </c>
      <c r="B12" s="50"/>
      <c r="C12" s="247"/>
      <c r="D12" s="248"/>
      <c r="F12" s="44"/>
    </row>
    <row r="13" spans="1:6" ht="15" customHeight="1" x14ac:dyDescent="0.2">
      <c r="A13" s="5" t="s">
        <v>15</v>
      </c>
      <c r="B13" s="243" t="e">
        <f>-VLOOKUP(linkki,_tpa17,16,FALSE)</f>
        <v>#NAME?</v>
      </c>
      <c r="C13" s="249"/>
      <c r="D13" s="243" t="e">
        <f>B13-C13</f>
        <v>#NAME?</v>
      </c>
      <c r="F13" s="44" t="s">
        <v>109</v>
      </c>
    </row>
    <row r="14" spans="1:6" ht="15" customHeight="1" x14ac:dyDescent="0.2">
      <c r="A14" s="5" t="s">
        <v>19</v>
      </c>
      <c r="B14" s="244" t="e">
        <f>VLOOKUP(linkki,_tpa17,17,FALSE)</f>
        <v>#NAME?</v>
      </c>
      <c r="C14" s="250"/>
      <c r="D14" s="244" t="e">
        <f>B14-C14</f>
        <v>#NAME?</v>
      </c>
      <c r="F14" s="44" t="s">
        <v>452</v>
      </c>
    </row>
    <row r="15" spans="1:6" ht="15" customHeight="1" x14ac:dyDescent="0.2">
      <c r="A15" s="5" t="s">
        <v>20</v>
      </c>
      <c r="B15" s="244" t="e">
        <f>VLOOKUP(linkki,_tpa17,18,FALSE)</f>
        <v>#NAME?</v>
      </c>
      <c r="C15" s="251"/>
      <c r="D15" s="244" t="e">
        <f>B15-C15</f>
        <v>#NAME?</v>
      </c>
      <c r="F15" s="44" t="s">
        <v>495</v>
      </c>
    </row>
    <row r="16" spans="1:6" s="7" customFormat="1" ht="15" customHeight="1" x14ac:dyDescent="0.2">
      <c r="A16" s="7" t="s">
        <v>25</v>
      </c>
      <c r="B16" s="252" t="e">
        <f>SUM(B9:B15)</f>
        <v>#NAME?</v>
      </c>
      <c r="C16" s="253"/>
      <c r="D16" s="252" t="e">
        <f>SUM(D9:D15)</f>
        <v>#NAME?</v>
      </c>
      <c r="F16" s="33"/>
    </row>
    <row r="17" spans="1:6" ht="15" customHeight="1" x14ac:dyDescent="0.2">
      <c r="B17" s="87"/>
      <c r="C17" s="247"/>
      <c r="D17" s="247"/>
      <c r="F17" s="44"/>
    </row>
    <row r="18" spans="1:6" ht="15" customHeight="1" x14ac:dyDescent="0.2">
      <c r="A18" s="7" t="s">
        <v>21</v>
      </c>
      <c r="B18" s="50"/>
      <c r="C18" s="247"/>
      <c r="D18" s="247"/>
      <c r="F18" s="44"/>
    </row>
    <row r="19" spans="1:6" ht="15" customHeight="1" x14ac:dyDescent="0.2">
      <c r="A19" s="5" t="s">
        <v>10</v>
      </c>
      <c r="B19" s="254" t="e">
        <f>B20+B21</f>
        <v>#NAME?</v>
      </c>
      <c r="C19" s="247"/>
      <c r="D19" s="254" t="e">
        <f>D20+D21</f>
        <v>#NAME?</v>
      </c>
      <c r="F19" s="44"/>
    </row>
    <row r="20" spans="1:6" ht="15" customHeight="1" x14ac:dyDescent="0.2">
      <c r="A20" s="31" t="s">
        <v>444</v>
      </c>
      <c r="B20" s="244" t="e">
        <f>-VLOOKUP(linkki,_tpa17,19,FALSE)</f>
        <v>#NAME?</v>
      </c>
      <c r="C20" s="249"/>
      <c r="D20" s="244" t="e">
        <f>B20-C20</f>
        <v>#NAME?</v>
      </c>
      <c r="F20" s="44"/>
    </row>
    <row r="21" spans="1:6" ht="15" customHeight="1" x14ac:dyDescent="0.2">
      <c r="A21" s="31" t="s">
        <v>445</v>
      </c>
      <c r="B21" s="244" t="e">
        <f>VLOOKUP(linkki,_tpa17,20,FALSE)</f>
        <v>#NAME?</v>
      </c>
      <c r="C21" s="251"/>
      <c r="D21" s="244" t="e">
        <f>B21-C21</f>
        <v>#NAME?</v>
      </c>
      <c r="F21" s="44"/>
    </row>
    <row r="22" spans="1:6" ht="15" customHeight="1" x14ac:dyDescent="0.2">
      <c r="A22" s="5" t="s">
        <v>11</v>
      </c>
      <c r="B22" s="179" t="e">
        <f>B23+B24+B25</f>
        <v>#NAME?</v>
      </c>
      <c r="C22" s="247"/>
      <c r="D22" s="179" t="e">
        <f>D23+D24+D25</f>
        <v>#NAME?</v>
      </c>
      <c r="F22" s="44"/>
    </row>
    <row r="23" spans="1:6" ht="15" customHeight="1" x14ac:dyDescent="0.2">
      <c r="A23" s="31" t="s">
        <v>441</v>
      </c>
      <c r="B23" s="244" t="e">
        <f>VLOOKUP(linkki,_tpa17,21,FALSE)</f>
        <v>#NAME?</v>
      </c>
      <c r="C23" s="249"/>
      <c r="D23" s="244" t="e">
        <f>B23-C23</f>
        <v>#NAME?</v>
      </c>
      <c r="F23" s="44" t="s">
        <v>110</v>
      </c>
    </row>
    <row r="24" spans="1:6" ht="15" customHeight="1" x14ac:dyDescent="0.2">
      <c r="A24" s="31" t="s">
        <v>442</v>
      </c>
      <c r="B24" s="244" t="e">
        <f>-VLOOKUP(linkki,_tpa17,22,FALSE)</f>
        <v>#NAME?</v>
      </c>
      <c r="C24" s="250"/>
      <c r="D24" s="244" t="e">
        <f>B24-C24</f>
        <v>#NAME?</v>
      </c>
      <c r="F24" s="44"/>
    </row>
    <row r="25" spans="1:6" ht="15" customHeight="1" x14ac:dyDescent="0.2">
      <c r="A25" s="31" t="s">
        <v>443</v>
      </c>
      <c r="B25" s="244" t="e">
        <f>VLOOKUP(linkki,_tpa17,23,FALSE)</f>
        <v>#NAME?</v>
      </c>
      <c r="C25" s="250"/>
      <c r="D25" s="244" t="e">
        <f>B25-C25</f>
        <v>#NAME?</v>
      </c>
      <c r="F25" s="44"/>
    </row>
    <row r="26" spans="1:6" ht="15" customHeight="1" x14ac:dyDescent="0.2">
      <c r="A26" s="5" t="s">
        <v>12</v>
      </c>
      <c r="B26" s="179"/>
      <c r="C26" s="255"/>
      <c r="D26" s="179"/>
      <c r="F26" s="44"/>
    </row>
    <row r="27" spans="1:6" ht="15" customHeight="1" x14ac:dyDescent="0.2">
      <c r="A27" s="5" t="s">
        <v>13</v>
      </c>
      <c r="B27" s="179">
        <f>B28+B29+B30+B31</f>
        <v>0</v>
      </c>
      <c r="C27" s="247"/>
      <c r="D27" s="179">
        <f>D28+D29+D30+D31</f>
        <v>0</v>
      </c>
      <c r="F27" s="44"/>
    </row>
    <row r="28" spans="1:6" ht="15" customHeight="1" x14ac:dyDescent="0.2">
      <c r="A28" s="31" t="s">
        <v>437</v>
      </c>
      <c r="B28" s="244"/>
      <c r="C28" s="249"/>
      <c r="D28" s="244">
        <f>B28-C28</f>
        <v>0</v>
      </c>
      <c r="F28" s="44" t="s">
        <v>446</v>
      </c>
    </row>
    <row r="29" spans="1:6" x14ac:dyDescent="0.2">
      <c r="A29" s="31" t="s">
        <v>438</v>
      </c>
      <c r="B29" s="244"/>
      <c r="C29" s="250"/>
      <c r="D29" s="244">
        <f>B29-C29</f>
        <v>0</v>
      </c>
      <c r="F29" s="44" t="s">
        <v>111</v>
      </c>
    </row>
    <row r="30" spans="1:6" ht="15" customHeight="1" x14ac:dyDescent="0.2">
      <c r="A30" s="31" t="s">
        <v>439</v>
      </c>
      <c r="B30" s="244"/>
      <c r="C30" s="250"/>
      <c r="D30" s="244">
        <f>B30-C30</f>
        <v>0</v>
      </c>
      <c r="F30" s="44"/>
    </row>
    <row r="31" spans="1:6" ht="15" customHeight="1" x14ac:dyDescent="0.2">
      <c r="A31" s="31" t="s">
        <v>440</v>
      </c>
      <c r="B31" s="244"/>
      <c r="C31" s="251"/>
      <c r="D31" s="244">
        <f>B31-C31</f>
        <v>0</v>
      </c>
      <c r="F31" s="44" t="s">
        <v>447</v>
      </c>
    </row>
    <row r="32" spans="1:6" ht="15" customHeight="1" x14ac:dyDescent="0.2">
      <c r="A32" s="46" t="s">
        <v>21</v>
      </c>
      <c r="B32" s="252" t="e">
        <f>B19+B22+B26+B27</f>
        <v>#NAME?</v>
      </c>
      <c r="C32" s="247"/>
      <c r="D32" s="252" t="e">
        <f>D19+D22+C26+D27</f>
        <v>#NAME?</v>
      </c>
      <c r="F32" s="47" t="s">
        <v>448</v>
      </c>
    </row>
    <row r="33" spans="1:6" x14ac:dyDescent="0.2">
      <c r="B33" s="50"/>
      <c r="C33" s="30"/>
      <c r="D33" s="30"/>
      <c r="F33" s="47" t="s">
        <v>449</v>
      </c>
    </row>
    <row r="34" spans="1:6" s="7" customFormat="1" ht="15" customHeight="1" x14ac:dyDescent="0.2">
      <c r="A34" s="7" t="s">
        <v>16</v>
      </c>
      <c r="B34" s="225" t="e">
        <f>B16+B32</f>
        <v>#NAME?</v>
      </c>
      <c r="C34" s="253"/>
      <c r="D34" s="225" t="e">
        <f>D32+D16</f>
        <v>#NAME?</v>
      </c>
      <c r="F34" s="47" t="s">
        <v>450</v>
      </c>
    </row>
    <row r="35" spans="1:6" s="7" customFormat="1" ht="25.5" x14ac:dyDescent="0.2">
      <c r="B35" s="128"/>
      <c r="C35" s="128"/>
      <c r="D35" s="128"/>
      <c r="F35" s="47" t="s">
        <v>451</v>
      </c>
    </row>
    <row r="36" spans="1:6" ht="15" customHeight="1" x14ac:dyDescent="0.2">
      <c r="B36" s="50"/>
      <c r="C36" s="30"/>
      <c r="D36" s="50"/>
      <c r="F36" s="44"/>
    </row>
    <row r="37" spans="1:6" s="7" customFormat="1" x14ac:dyDescent="0.2">
      <c r="A37" s="7" t="s">
        <v>100</v>
      </c>
      <c r="B37" s="256" t="e">
        <f>(Tuloslaskelma!B45-Tuloslaskelma!B42)/(-Tuloslaskelma!B42-B24)</f>
        <v>#NAME?</v>
      </c>
      <c r="C37" s="30"/>
      <c r="D37" s="256" t="e">
        <f>(Tuloslaskelma!D45-Tuloslaskelma!D42)/(-Tuloslaskelma!D42-D24)</f>
        <v>#NAME?</v>
      </c>
      <c r="F37" s="45" t="s">
        <v>119</v>
      </c>
    </row>
    <row r="38" spans="1:6" ht="15" customHeight="1" x14ac:dyDescent="0.25">
      <c r="A38" s="9"/>
      <c r="B38" s="257"/>
      <c r="C38" s="257"/>
      <c r="D38" s="258"/>
      <c r="E38" s="10"/>
      <c r="F38" s="28"/>
    </row>
    <row r="39" spans="1:6" x14ac:dyDescent="0.2">
      <c r="A39" s="7" t="s">
        <v>464</v>
      </c>
      <c r="B39" s="256" t="e">
        <f>B9/(-B13-B14)*(100)</f>
        <v>#NAME?</v>
      </c>
      <c r="C39" s="257"/>
      <c r="D39" s="256" t="e">
        <f>D9/(-D13-D14)*(100)</f>
        <v>#NAME?</v>
      </c>
    </row>
  </sheetData>
  <pageMargins left="0.7" right="0.7" top="0.75" bottom="0.75" header="0.3" footer="0.3"/>
  <pageSetup paperSize="9" orientation="portrait" r:id="rId1"/>
  <ignoredErrors>
    <ignoredError sqref="D2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3"/>
  <dimension ref="A1:E123"/>
  <sheetViews>
    <sheetView zoomScaleNormal="100" workbookViewId="0">
      <pane xSplit="1" ySplit="5" topLeftCell="B6" activePane="bottomRight" state="frozen"/>
      <selection activeCell="C16" sqref="C16"/>
      <selection pane="topRight" activeCell="C16" sqref="C16"/>
      <selection pane="bottomLeft" activeCell="C16" sqref="C16"/>
      <selection pane="bottomRight" activeCell="C16" sqref="C16"/>
    </sheetView>
  </sheetViews>
  <sheetFormatPr defaultColWidth="9.140625" defaultRowHeight="12.75" x14ac:dyDescent="0.2"/>
  <cols>
    <col min="1" max="1" width="43.28515625" style="5" customWidth="1"/>
    <col min="2" max="2" width="13.7109375" style="5" customWidth="1"/>
    <col min="3" max="3" width="19.5703125" style="5" customWidth="1"/>
    <col min="4" max="4" width="13.5703125" style="5" customWidth="1"/>
    <col min="5" max="5" width="118.28515625" style="27" customWidth="1"/>
    <col min="6" max="16384" width="9.140625" style="5"/>
  </cols>
  <sheetData>
    <row r="1" spans="1:5" ht="15" customHeight="1" x14ac:dyDescent="0.25">
      <c r="A1" s="9"/>
      <c r="B1" s="10"/>
      <c r="C1" s="10"/>
      <c r="D1" s="10"/>
      <c r="E1" s="28"/>
    </row>
    <row r="2" spans="1:5" ht="15" customHeight="1" x14ac:dyDescent="0.25">
      <c r="A2" s="194" t="s">
        <v>572</v>
      </c>
      <c r="B2" s="195"/>
      <c r="C2" s="10"/>
      <c r="D2" s="10"/>
      <c r="E2" s="28"/>
    </row>
    <row r="3" spans="1:5" ht="15" customHeight="1" x14ac:dyDescent="0.2">
      <c r="A3" s="196" t="s">
        <v>574</v>
      </c>
      <c r="B3" s="59" t="s">
        <v>584</v>
      </c>
      <c r="C3" s="10"/>
      <c r="E3" s="28"/>
    </row>
    <row r="4" spans="1:5" ht="15" customHeight="1" x14ac:dyDescent="0.2">
      <c r="A4" s="59" t="s">
        <v>453</v>
      </c>
      <c r="C4" s="10"/>
      <c r="D4" s="10"/>
      <c r="E4" s="28"/>
    </row>
    <row r="5" spans="1:5" ht="15" customHeight="1" x14ac:dyDescent="0.25">
      <c r="A5" s="11" t="s">
        <v>26</v>
      </c>
      <c r="B5" s="12" t="s">
        <v>552</v>
      </c>
      <c r="C5" s="62" t="s">
        <v>429</v>
      </c>
      <c r="D5" s="60" t="s">
        <v>493</v>
      </c>
    </row>
    <row r="6" spans="1:5" ht="15" customHeight="1" x14ac:dyDescent="0.2">
      <c r="A6" s="22" t="str">
        <f>Tuloslaskelma!A8</f>
        <v>Akaa</v>
      </c>
      <c r="B6" s="180" t="s">
        <v>575</v>
      </c>
      <c r="C6" s="3"/>
      <c r="D6" s="181"/>
    </row>
    <row r="7" spans="1:5" ht="15" customHeight="1" x14ac:dyDescent="0.2">
      <c r="A7" s="23" t="s">
        <v>28</v>
      </c>
      <c r="B7" s="259" t="e">
        <f>B8+B13+B21</f>
        <v>#NAME?</v>
      </c>
      <c r="C7" s="259"/>
      <c r="D7" s="259" t="e">
        <f>D8+D13+D21</f>
        <v>#NAME?</v>
      </c>
      <c r="E7" s="65"/>
    </row>
    <row r="8" spans="1:5" ht="15" customHeight="1" x14ac:dyDescent="0.2">
      <c r="A8" s="14" t="s">
        <v>30</v>
      </c>
      <c r="B8" s="260">
        <f>B9+B10+B11</f>
        <v>0</v>
      </c>
      <c r="C8" s="261"/>
      <c r="D8" s="260">
        <f>D9+D10+D11</f>
        <v>0</v>
      </c>
      <c r="E8" s="65"/>
    </row>
    <row r="9" spans="1:5" ht="12.6" customHeight="1" x14ac:dyDescent="0.2">
      <c r="A9" s="56" t="s">
        <v>32</v>
      </c>
      <c r="B9" s="262"/>
      <c r="C9" s="263"/>
      <c r="D9" s="264">
        <f>B9-C9</f>
        <v>0</v>
      </c>
      <c r="E9" s="64" t="s">
        <v>457</v>
      </c>
    </row>
    <row r="10" spans="1:5" ht="17.45" customHeight="1" x14ac:dyDescent="0.2">
      <c r="A10" s="56" t="s">
        <v>34</v>
      </c>
      <c r="B10" s="262"/>
      <c r="C10" s="265"/>
      <c r="D10" s="264">
        <f>B10-C10</f>
        <v>0</v>
      </c>
      <c r="E10" s="65"/>
    </row>
    <row r="11" spans="1:5" ht="15" customHeight="1" x14ac:dyDescent="0.2">
      <c r="A11" s="56" t="s">
        <v>36</v>
      </c>
      <c r="B11" s="262"/>
      <c r="C11" s="266"/>
      <c r="D11" s="264">
        <f>B11-C11</f>
        <v>0</v>
      </c>
      <c r="E11" s="65"/>
    </row>
    <row r="12" spans="1:5" ht="15" customHeight="1" x14ac:dyDescent="0.2">
      <c r="A12" s="17"/>
      <c r="B12" s="267"/>
      <c r="C12" s="268"/>
      <c r="D12" s="269"/>
      <c r="E12" s="65"/>
    </row>
    <row r="13" spans="1:5" ht="15" customHeight="1" x14ac:dyDescent="0.2">
      <c r="A13" s="14" t="s">
        <v>39</v>
      </c>
      <c r="B13" s="260">
        <f>SUM(B14:B19)</f>
        <v>0</v>
      </c>
      <c r="C13" s="261"/>
      <c r="D13" s="260">
        <f>SUM(D14:D19)</f>
        <v>0</v>
      </c>
      <c r="E13" s="65"/>
    </row>
    <row r="14" spans="1:5" ht="15" customHeight="1" x14ac:dyDescent="0.2">
      <c r="A14" s="56" t="s">
        <v>40</v>
      </c>
      <c r="B14" s="262"/>
      <c r="C14" s="263"/>
      <c r="D14" s="264">
        <f t="shared" ref="D14:D19" si="0">B14-C14</f>
        <v>0</v>
      </c>
      <c r="E14" s="66" t="s">
        <v>435</v>
      </c>
    </row>
    <row r="15" spans="1:5" ht="15.6" customHeight="1" x14ac:dyDescent="0.2">
      <c r="A15" s="56" t="s">
        <v>41</v>
      </c>
      <c r="B15" s="262"/>
      <c r="C15" s="265"/>
      <c r="D15" s="264">
        <f t="shared" si="0"/>
        <v>0</v>
      </c>
      <c r="E15" s="65" t="s">
        <v>458</v>
      </c>
    </row>
    <row r="16" spans="1:5" ht="15" customHeight="1" x14ac:dyDescent="0.2">
      <c r="A16" s="56" t="s">
        <v>43</v>
      </c>
      <c r="B16" s="262"/>
      <c r="C16" s="265"/>
      <c r="D16" s="264">
        <f t="shared" si="0"/>
        <v>0</v>
      </c>
      <c r="E16" s="65"/>
    </row>
    <row r="17" spans="1:5" ht="14.45" customHeight="1" x14ac:dyDescent="0.2">
      <c r="A17" s="56" t="s">
        <v>45</v>
      </c>
      <c r="B17" s="262"/>
      <c r="C17" s="265"/>
      <c r="D17" s="264">
        <f t="shared" si="0"/>
        <v>0</v>
      </c>
      <c r="E17" s="65" t="s">
        <v>436</v>
      </c>
    </row>
    <row r="18" spans="1:5" ht="17.100000000000001" customHeight="1" x14ac:dyDescent="0.2">
      <c r="A18" s="56" t="s">
        <v>46</v>
      </c>
      <c r="B18" s="262"/>
      <c r="C18" s="265"/>
      <c r="D18" s="264">
        <f t="shared" si="0"/>
        <v>0</v>
      </c>
      <c r="E18" s="65" t="s">
        <v>459</v>
      </c>
    </row>
    <row r="19" spans="1:5" ht="15" customHeight="1" x14ac:dyDescent="0.2">
      <c r="A19" s="56" t="s">
        <v>48</v>
      </c>
      <c r="B19" s="262"/>
      <c r="C19" s="266"/>
      <c r="D19" s="264">
        <f t="shared" si="0"/>
        <v>0</v>
      </c>
      <c r="E19" s="65"/>
    </row>
    <row r="20" spans="1:5" ht="15" customHeight="1" x14ac:dyDescent="0.2">
      <c r="A20" s="18"/>
      <c r="B20" s="270"/>
      <c r="C20" s="30"/>
      <c r="D20" s="269"/>
      <c r="E20" s="65"/>
    </row>
    <row r="21" spans="1:5" ht="15" customHeight="1" x14ac:dyDescent="0.2">
      <c r="A21" s="14" t="s">
        <v>51</v>
      </c>
      <c r="B21" s="260" t="e">
        <f>SUM(B22,B25:B27)</f>
        <v>#NAME?</v>
      </c>
      <c r="C21" s="261"/>
      <c r="D21" s="260" t="e">
        <f>SUM(D22,D25:D27)</f>
        <v>#NAME?</v>
      </c>
      <c r="E21" s="65"/>
    </row>
    <row r="22" spans="1:5" x14ac:dyDescent="0.2">
      <c r="A22" s="56" t="s">
        <v>52</v>
      </c>
      <c r="B22" s="262" t="e">
        <f>SUM(B23:B24)</f>
        <v>#NAME?</v>
      </c>
      <c r="C22" s="271"/>
      <c r="D22" s="264" t="e">
        <f t="shared" ref="D22:D27" si="1">B22-C22</f>
        <v>#NAME?</v>
      </c>
      <c r="E22" s="65"/>
    </row>
    <row r="23" spans="1:5" ht="15" customHeight="1" x14ac:dyDescent="0.2">
      <c r="A23" s="57" t="s">
        <v>96</v>
      </c>
      <c r="B23" s="262" t="e">
        <f>VLOOKUP(linkki,_tpa17,28,FALSE)</f>
        <v>#NAME?</v>
      </c>
      <c r="C23" s="272"/>
      <c r="D23" s="264" t="e">
        <f t="shared" si="1"/>
        <v>#NAME?</v>
      </c>
      <c r="E23" s="65" t="s">
        <v>460</v>
      </c>
    </row>
    <row r="24" spans="1:5" ht="15" customHeight="1" x14ac:dyDescent="0.2">
      <c r="A24" s="57" t="s">
        <v>97</v>
      </c>
      <c r="B24" s="262" t="e">
        <f>VLOOKUP(linkki,_tpa17,29,FALSE)</f>
        <v>#NAME?</v>
      </c>
      <c r="C24" s="272"/>
      <c r="D24" s="264" t="e">
        <f t="shared" si="1"/>
        <v>#NAME?</v>
      </c>
      <c r="E24" s="65" t="s">
        <v>466</v>
      </c>
    </row>
    <row r="25" spans="1:5" ht="15" customHeight="1" x14ac:dyDescent="0.2">
      <c r="A25" s="56" t="s">
        <v>54</v>
      </c>
      <c r="B25" s="262" t="e">
        <f>VLOOKUP(linkki,_tpa17,30,FALSE)</f>
        <v>#NAME?</v>
      </c>
      <c r="C25" s="272"/>
      <c r="D25" s="264" t="e">
        <f t="shared" si="1"/>
        <v>#NAME?</v>
      </c>
      <c r="E25" s="65"/>
    </row>
    <row r="26" spans="1:5" ht="15" customHeight="1" x14ac:dyDescent="0.2">
      <c r="A26" s="56" t="s">
        <v>56</v>
      </c>
      <c r="B26" s="262" t="e">
        <f>VLOOKUP(linkki,_tpa17,31,FALSE)</f>
        <v>#NAME?</v>
      </c>
      <c r="C26" s="272"/>
      <c r="D26" s="264" t="e">
        <f t="shared" si="1"/>
        <v>#NAME?</v>
      </c>
      <c r="E26" s="65"/>
    </row>
    <row r="27" spans="1:5" ht="15" customHeight="1" x14ac:dyDescent="0.2">
      <c r="A27" s="56" t="s">
        <v>58</v>
      </c>
      <c r="B27" s="262" t="e">
        <f>VLOOKUP(linkki,_tpa17,32,FALSE)</f>
        <v>#NAME?</v>
      </c>
      <c r="C27" s="273"/>
      <c r="D27" s="264" t="e">
        <f t="shared" si="1"/>
        <v>#NAME?</v>
      </c>
      <c r="E27" s="65"/>
    </row>
    <row r="28" spans="1:5" ht="15" customHeight="1" x14ac:dyDescent="0.2">
      <c r="A28" s="16"/>
      <c r="B28" s="270"/>
      <c r="C28" s="30"/>
      <c r="D28" s="269"/>
      <c r="E28" s="65"/>
    </row>
    <row r="29" spans="1:5" ht="15" customHeight="1" x14ac:dyDescent="0.2">
      <c r="A29" s="19" t="s">
        <v>61</v>
      </c>
      <c r="B29" s="260" t="e">
        <f>IF(B30+B31+B32=0,VLOOKUP(linkki,_tpa17,33,FALSE),B30+B31+B32)</f>
        <v>#NAME?</v>
      </c>
      <c r="C29" s="261"/>
      <c r="D29" s="260" t="e">
        <f>IF(D30+D31+D32=0,VLOOKUP(linkki,_tpa17,33,FALSE),D30+D31+D32)</f>
        <v>#NAME?</v>
      </c>
      <c r="E29" s="65"/>
    </row>
    <row r="30" spans="1:5" ht="15" customHeight="1" x14ac:dyDescent="0.2">
      <c r="A30" s="56" t="s">
        <v>55</v>
      </c>
      <c r="B30" s="262"/>
      <c r="C30" s="271"/>
      <c r="D30" s="264">
        <f>B30-C30</f>
        <v>0</v>
      </c>
      <c r="E30" s="65"/>
    </row>
    <row r="31" spans="1:5" ht="16.350000000000001" customHeight="1" x14ac:dyDescent="0.2">
      <c r="A31" s="56" t="s">
        <v>63</v>
      </c>
      <c r="B31" s="262"/>
      <c r="C31" s="274"/>
      <c r="D31" s="264">
        <f>B31-C31</f>
        <v>0</v>
      </c>
      <c r="E31" s="65" t="s">
        <v>467</v>
      </c>
    </row>
    <row r="32" spans="1:5" ht="15" customHeight="1" x14ac:dyDescent="0.2">
      <c r="A32" s="56" t="s">
        <v>65</v>
      </c>
      <c r="B32" s="262"/>
      <c r="C32" s="273"/>
      <c r="D32" s="264">
        <f>B32-C32</f>
        <v>0</v>
      </c>
      <c r="E32" s="65"/>
    </row>
    <row r="33" spans="1:5" ht="15" customHeight="1" x14ac:dyDescent="0.2">
      <c r="A33" s="17"/>
      <c r="B33" s="270"/>
      <c r="C33" s="128"/>
      <c r="D33" s="269"/>
      <c r="E33" s="65"/>
    </row>
    <row r="34" spans="1:5" ht="15" customHeight="1" x14ac:dyDescent="0.2">
      <c r="A34" s="14" t="s">
        <v>68</v>
      </c>
      <c r="B34" s="260">
        <f>B35+B43+B49+B55+B61</f>
        <v>0</v>
      </c>
      <c r="C34" s="261"/>
      <c r="D34" s="260">
        <f>D35+D43+D49+D55+D61</f>
        <v>0</v>
      </c>
      <c r="E34" s="65"/>
    </row>
    <row r="35" spans="1:5" ht="15" customHeight="1" x14ac:dyDescent="0.2">
      <c r="A35" s="15" t="s">
        <v>70</v>
      </c>
      <c r="B35" s="262">
        <f>SUM(B36:B40)</f>
        <v>0</v>
      </c>
      <c r="C35" s="271"/>
      <c r="D35" s="264">
        <f t="shared" ref="D35:D40" si="2">B35-C35</f>
        <v>0</v>
      </c>
      <c r="E35" s="65"/>
    </row>
    <row r="36" spans="1:5" ht="25.5" x14ac:dyDescent="0.2">
      <c r="A36" s="56" t="s">
        <v>72</v>
      </c>
      <c r="B36" s="262"/>
      <c r="C36" s="272"/>
      <c r="D36" s="264">
        <f t="shared" si="2"/>
        <v>0</v>
      </c>
      <c r="E36" s="65" t="s">
        <v>112</v>
      </c>
    </row>
    <row r="37" spans="1:5" ht="15" customHeight="1" x14ac:dyDescent="0.2">
      <c r="A37" s="56" t="s">
        <v>74</v>
      </c>
      <c r="B37" s="262"/>
      <c r="C37" s="274"/>
      <c r="D37" s="264">
        <f t="shared" si="2"/>
        <v>0</v>
      </c>
      <c r="E37" s="65"/>
    </row>
    <row r="38" spans="1:5" ht="15" customHeight="1" x14ac:dyDescent="0.2">
      <c r="A38" s="56" t="s">
        <v>76</v>
      </c>
      <c r="B38" s="262"/>
      <c r="C38" s="272"/>
      <c r="D38" s="264">
        <f t="shared" si="2"/>
        <v>0</v>
      </c>
      <c r="E38" s="65"/>
    </row>
    <row r="39" spans="1:5" ht="15" customHeight="1" x14ac:dyDescent="0.2">
      <c r="A39" s="56" t="s">
        <v>77</v>
      </c>
      <c r="B39" s="262"/>
      <c r="C39" s="272"/>
      <c r="D39" s="264">
        <f t="shared" si="2"/>
        <v>0</v>
      </c>
      <c r="E39" s="65"/>
    </row>
    <row r="40" spans="1:5" ht="15" customHeight="1" x14ac:dyDescent="0.2">
      <c r="A40" s="56" t="s">
        <v>36</v>
      </c>
      <c r="B40" s="262"/>
      <c r="C40" s="273"/>
      <c r="D40" s="264">
        <f t="shared" si="2"/>
        <v>0</v>
      </c>
      <c r="E40" s="65"/>
    </row>
    <row r="41" spans="1:5" ht="15" customHeight="1" x14ac:dyDescent="0.2">
      <c r="A41" s="17"/>
      <c r="B41" s="270"/>
      <c r="C41" s="30"/>
      <c r="D41" s="269"/>
      <c r="E41" s="65"/>
    </row>
    <row r="42" spans="1:5" ht="15" customHeight="1" x14ac:dyDescent="0.2">
      <c r="A42" s="15" t="s">
        <v>79</v>
      </c>
      <c r="B42" s="270"/>
      <c r="C42" s="30"/>
      <c r="D42" s="269"/>
      <c r="E42" s="65"/>
    </row>
    <row r="43" spans="1:5" ht="15" customHeight="1" x14ac:dyDescent="0.2">
      <c r="A43" s="55" t="s">
        <v>80</v>
      </c>
      <c r="B43" s="262">
        <f>SUM(B44:B47)</f>
        <v>0</v>
      </c>
      <c r="C43" s="275"/>
      <c r="D43" s="264">
        <f>B43-C43</f>
        <v>0</v>
      </c>
      <c r="E43" s="65" t="s">
        <v>113</v>
      </c>
    </row>
    <row r="44" spans="1:5" ht="15" customHeight="1" x14ac:dyDescent="0.2">
      <c r="A44" s="56" t="s">
        <v>81</v>
      </c>
      <c r="B44" s="262"/>
      <c r="C44" s="272"/>
      <c r="D44" s="264">
        <f>B44-C44</f>
        <v>0</v>
      </c>
      <c r="E44" s="65"/>
    </row>
    <row r="45" spans="1:5" ht="15" customHeight="1" x14ac:dyDescent="0.2">
      <c r="A45" s="56" t="s">
        <v>82</v>
      </c>
      <c r="B45" s="262"/>
      <c r="C45" s="272"/>
      <c r="D45" s="264">
        <f>B45-C45</f>
        <v>0</v>
      </c>
      <c r="E45" s="65"/>
    </row>
    <row r="46" spans="1:5" ht="15" customHeight="1" x14ac:dyDescent="0.2">
      <c r="A46" s="56" t="s">
        <v>83</v>
      </c>
      <c r="B46" s="262"/>
      <c r="C46" s="272"/>
      <c r="D46" s="264">
        <f>B46-C46</f>
        <v>0</v>
      </c>
      <c r="E46" s="65"/>
    </row>
    <row r="47" spans="1:5" ht="15" customHeight="1" x14ac:dyDescent="0.2">
      <c r="A47" s="56" t="s">
        <v>84</v>
      </c>
      <c r="B47" s="262"/>
      <c r="C47" s="273"/>
      <c r="D47" s="264">
        <f>B47-C47</f>
        <v>0</v>
      </c>
      <c r="E47" s="65"/>
    </row>
    <row r="48" spans="1:5" ht="15" customHeight="1" x14ac:dyDescent="0.2">
      <c r="A48" s="17"/>
      <c r="B48" s="270"/>
      <c r="C48" s="276"/>
      <c r="D48" s="269"/>
      <c r="E48" s="65"/>
    </row>
    <row r="49" spans="1:5" ht="15" customHeight="1" x14ac:dyDescent="0.2">
      <c r="A49" s="58" t="s">
        <v>85</v>
      </c>
      <c r="B49" s="277">
        <f>SUM(B50:B53)</f>
        <v>0</v>
      </c>
      <c r="C49" s="275"/>
      <c r="D49" s="264">
        <f>B49-C49</f>
        <v>0</v>
      </c>
      <c r="E49" s="65" t="s">
        <v>113</v>
      </c>
    </row>
    <row r="50" spans="1:5" ht="15" customHeight="1" x14ac:dyDescent="0.2">
      <c r="A50" s="56" t="s">
        <v>81</v>
      </c>
      <c r="B50" s="262"/>
      <c r="C50" s="271"/>
      <c r="D50" s="264">
        <f>B50-C50</f>
        <v>0</v>
      </c>
      <c r="E50" s="65"/>
    </row>
    <row r="51" spans="1:5" ht="15" customHeight="1" x14ac:dyDescent="0.2">
      <c r="A51" s="56" t="s">
        <v>82</v>
      </c>
      <c r="B51" s="262"/>
      <c r="C51" s="272"/>
      <c r="D51" s="264">
        <f>B51-C51</f>
        <v>0</v>
      </c>
      <c r="E51" s="65"/>
    </row>
    <row r="52" spans="1:5" ht="15" customHeight="1" x14ac:dyDescent="0.2">
      <c r="A52" s="56" t="s">
        <v>83</v>
      </c>
      <c r="B52" s="262"/>
      <c r="C52" s="272"/>
      <c r="D52" s="264">
        <f>B52-C52</f>
        <v>0</v>
      </c>
      <c r="E52" s="65"/>
    </row>
    <row r="53" spans="1:5" ht="15" customHeight="1" x14ac:dyDescent="0.2">
      <c r="A53" s="56" t="s">
        <v>84</v>
      </c>
      <c r="B53" s="262"/>
      <c r="C53" s="273"/>
      <c r="D53" s="264">
        <f>B53-C53</f>
        <v>0</v>
      </c>
      <c r="E53" s="65"/>
    </row>
    <row r="54" spans="1:5" ht="15" customHeight="1" x14ac:dyDescent="0.2">
      <c r="A54" s="17"/>
      <c r="B54" s="270"/>
      <c r="C54" s="30"/>
      <c r="D54" s="269"/>
      <c r="E54" s="65"/>
    </row>
    <row r="55" spans="1:5" ht="15" customHeight="1" x14ac:dyDescent="0.2">
      <c r="A55" s="15" t="s">
        <v>87</v>
      </c>
      <c r="B55" s="277">
        <f>SUM(B56:B59)</f>
        <v>0</v>
      </c>
      <c r="C55" s="275"/>
      <c r="D55" s="264">
        <f>B55-C55</f>
        <v>0</v>
      </c>
      <c r="E55" s="65"/>
    </row>
    <row r="56" spans="1:5" ht="15" customHeight="1" x14ac:dyDescent="0.2">
      <c r="A56" s="56" t="s">
        <v>52</v>
      </c>
      <c r="B56" s="262"/>
      <c r="C56" s="278"/>
      <c r="D56" s="264">
        <f>B56-C56</f>
        <v>0</v>
      </c>
      <c r="E56" s="65" t="s">
        <v>114</v>
      </c>
    </row>
    <row r="57" spans="1:5" ht="15" customHeight="1" x14ac:dyDescent="0.2">
      <c r="A57" s="56" t="s">
        <v>88</v>
      </c>
      <c r="B57" s="262"/>
      <c r="C57" s="278"/>
      <c r="D57" s="264">
        <f>B57-C57</f>
        <v>0</v>
      </c>
      <c r="E57" s="65"/>
    </row>
    <row r="58" spans="1:5" ht="15" customHeight="1" x14ac:dyDescent="0.2">
      <c r="A58" s="56" t="s">
        <v>54</v>
      </c>
      <c r="B58" s="262"/>
      <c r="C58" s="278"/>
      <c r="D58" s="264">
        <f>B58-C58</f>
        <v>0</v>
      </c>
      <c r="E58" s="65"/>
    </row>
    <row r="59" spans="1:5" ht="15" customHeight="1" x14ac:dyDescent="0.2">
      <c r="A59" s="56" t="s">
        <v>89</v>
      </c>
      <c r="B59" s="262"/>
      <c r="C59" s="273"/>
      <c r="D59" s="264">
        <f>B59-C59</f>
        <v>0</v>
      </c>
      <c r="E59" s="65"/>
    </row>
    <row r="60" spans="1:5" ht="15" customHeight="1" x14ac:dyDescent="0.2">
      <c r="A60" s="17"/>
      <c r="B60" s="270"/>
      <c r="C60" s="128"/>
      <c r="D60" s="269"/>
      <c r="E60" s="65"/>
    </row>
    <row r="61" spans="1:5" ht="15" customHeight="1" x14ac:dyDescent="0.2">
      <c r="A61" s="58" t="s">
        <v>92</v>
      </c>
      <c r="B61" s="262"/>
      <c r="C61" s="279"/>
      <c r="D61" s="264">
        <f>B61-C61</f>
        <v>0</v>
      </c>
      <c r="E61" s="65"/>
    </row>
    <row r="62" spans="1:5" ht="15" customHeight="1" x14ac:dyDescent="0.2">
      <c r="A62" s="17"/>
      <c r="B62" s="270"/>
      <c r="C62" s="30"/>
      <c r="D62" s="269"/>
      <c r="E62" s="65"/>
    </row>
    <row r="63" spans="1:5" ht="15" customHeight="1" x14ac:dyDescent="0.2">
      <c r="A63" s="21" t="s">
        <v>94</v>
      </c>
      <c r="B63" s="280" t="e">
        <f>B7+B34+B29</f>
        <v>#NAME?</v>
      </c>
      <c r="C63" s="280"/>
      <c r="D63" s="280" t="e">
        <f>D7+D34+D29</f>
        <v>#NAME?</v>
      </c>
      <c r="E63" s="65"/>
    </row>
    <row r="64" spans="1:5" ht="15" customHeight="1" x14ac:dyDescent="0.2">
      <c r="A64" s="3"/>
      <c r="B64" s="270"/>
      <c r="C64" s="30"/>
      <c r="D64" s="269"/>
      <c r="E64" s="65"/>
    </row>
    <row r="65" spans="1:5" ht="15" customHeight="1" x14ac:dyDescent="0.25">
      <c r="A65" s="13" t="s">
        <v>27</v>
      </c>
      <c r="B65" s="270"/>
      <c r="C65" s="30"/>
      <c r="D65" s="269"/>
      <c r="E65" s="65"/>
    </row>
    <row r="66" spans="1:5" ht="15" customHeight="1" x14ac:dyDescent="0.2">
      <c r="A66" s="24"/>
      <c r="B66" s="270"/>
      <c r="C66" s="30"/>
      <c r="D66" s="269"/>
      <c r="E66" s="65"/>
    </row>
    <row r="67" spans="1:5" ht="15" customHeight="1" x14ac:dyDescent="0.2">
      <c r="A67" s="23" t="s">
        <v>29</v>
      </c>
      <c r="B67" s="280">
        <f>SUM(B68:B72)</f>
        <v>0</v>
      </c>
      <c r="C67" s="280"/>
      <c r="D67" s="280">
        <f>SUM(D68:D72)</f>
        <v>0</v>
      </c>
      <c r="E67" s="65"/>
    </row>
    <row r="68" spans="1:5" ht="14.45" customHeight="1" x14ac:dyDescent="0.2">
      <c r="A68" s="58" t="s">
        <v>31</v>
      </c>
      <c r="B68" s="262"/>
      <c r="C68" s="271"/>
      <c r="D68" s="264">
        <f>B68-C68</f>
        <v>0</v>
      </c>
      <c r="E68" s="65" t="s">
        <v>461</v>
      </c>
    </row>
    <row r="69" spans="1:5" ht="16.350000000000001" customHeight="1" x14ac:dyDescent="0.2">
      <c r="A69" s="58" t="s">
        <v>33</v>
      </c>
      <c r="B69" s="262"/>
      <c r="C69" s="272"/>
      <c r="D69" s="264">
        <f>B69-C69</f>
        <v>0</v>
      </c>
      <c r="E69" s="65" t="s">
        <v>462</v>
      </c>
    </row>
    <row r="70" spans="1:5" ht="15" customHeight="1" x14ac:dyDescent="0.2">
      <c r="A70" s="58" t="s">
        <v>35</v>
      </c>
      <c r="B70" s="262"/>
      <c r="C70" s="272"/>
      <c r="D70" s="264">
        <f>B70-C70</f>
        <v>0</v>
      </c>
      <c r="E70" s="65"/>
    </row>
    <row r="71" spans="1:5" ht="15" customHeight="1" x14ac:dyDescent="0.2">
      <c r="A71" s="58" t="s">
        <v>37</v>
      </c>
      <c r="B71" s="262"/>
      <c r="C71" s="272"/>
      <c r="D71" s="264">
        <f>B71-C71</f>
        <v>0</v>
      </c>
      <c r="E71" s="65"/>
    </row>
    <row r="72" spans="1:5" ht="15" customHeight="1" x14ac:dyDescent="0.2">
      <c r="A72" s="58" t="s">
        <v>38</v>
      </c>
      <c r="B72" s="262"/>
      <c r="C72" s="273"/>
      <c r="D72" s="264">
        <f>B72-C72</f>
        <v>0</v>
      </c>
      <c r="E72" s="65" t="s">
        <v>522</v>
      </c>
    </row>
    <row r="73" spans="1:5" ht="15" customHeight="1" x14ac:dyDescent="0.2">
      <c r="A73" s="17"/>
      <c r="B73" s="270"/>
      <c r="C73" s="30"/>
      <c r="D73" s="269"/>
      <c r="E73" s="65"/>
    </row>
    <row r="74" spans="1:5" ht="15" customHeight="1" x14ac:dyDescent="0.2">
      <c r="A74" s="14" t="s">
        <v>98</v>
      </c>
      <c r="B74" s="280">
        <f>SUM(B75:B76)</f>
        <v>0</v>
      </c>
      <c r="C74" s="280"/>
      <c r="D74" s="280">
        <f>SUM(D75:D76)</f>
        <v>0</v>
      </c>
      <c r="E74" s="65"/>
    </row>
    <row r="75" spans="1:5" ht="16.350000000000001" customHeight="1" x14ac:dyDescent="0.2">
      <c r="A75" s="58" t="s">
        <v>42</v>
      </c>
      <c r="B75" s="262"/>
      <c r="C75" s="271"/>
      <c r="D75" s="264">
        <f>B75-C75</f>
        <v>0</v>
      </c>
      <c r="E75" s="65" t="s">
        <v>108</v>
      </c>
    </row>
    <row r="76" spans="1:5" ht="17.100000000000001" customHeight="1" x14ac:dyDescent="0.2">
      <c r="A76" s="58" t="s">
        <v>44</v>
      </c>
      <c r="B76" s="262"/>
      <c r="C76" s="273"/>
      <c r="D76" s="264">
        <f>B76-C76</f>
        <v>0</v>
      </c>
      <c r="E76" s="65" t="s">
        <v>115</v>
      </c>
    </row>
    <row r="77" spans="1:5" ht="15" customHeight="1" x14ac:dyDescent="0.2">
      <c r="A77" s="17"/>
      <c r="B77" s="270"/>
      <c r="C77" s="30"/>
      <c r="D77" s="269"/>
      <c r="E77" s="65"/>
    </row>
    <row r="78" spans="1:5" ht="15" customHeight="1" x14ac:dyDescent="0.2">
      <c r="A78" s="14" t="s">
        <v>47</v>
      </c>
      <c r="B78" s="280">
        <f>SUM(B79:B80)</f>
        <v>0</v>
      </c>
      <c r="C78" s="280"/>
      <c r="D78" s="280">
        <f>SUM(D79:D80)</f>
        <v>0</v>
      </c>
      <c r="E78" s="65"/>
    </row>
    <row r="79" spans="1:5" ht="15" customHeight="1" x14ac:dyDescent="0.2">
      <c r="A79" s="15" t="s">
        <v>49</v>
      </c>
      <c r="B79" s="262"/>
      <c r="C79" s="271"/>
      <c r="D79" s="264">
        <f>B79-C79</f>
        <v>0</v>
      </c>
      <c r="E79" s="65"/>
    </row>
    <row r="80" spans="1:5" ht="25.5" x14ac:dyDescent="0.2">
      <c r="A80" s="17" t="s">
        <v>50</v>
      </c>
      <c r="B80" s="262"/>
      <c r="C80" s="273"/>
      <c r="D80" s="264">
        <f>B80-C80</f>
        <v>0</v>
      </c>
      <c r="E80" s="65" t="s">
        <v>116</v>
      </c>
    </row>
    <row r="81" spans="1:5" ht="15" customHeight="1" x14ac:dyDescent="0.2">
      <c r="A81" s="17"/>
      <c r="B81" s="270"/>
      <c r="C81" s="30"/>
      <c r="D81" s="269"/>
      <c r="E81" s="65"/>
    </row>
    <row r="82" spans="1:5" ht="15" customHeight="1" x14ac:dyDescent="0.2">
      <c r="A82" s="19" t="s">
        <v>53</v>
      </c>
      <c r="B82" s="280">
        <f>B83+B84+B85</f>
        <v>0</v>
      </c>
      <c r="C82" s="280"/>
      <c r="D82" s="280">
        <f>D83+D84+D85</f>
        <v>0</v>
      </c>
      <c r="E82" s="65"/>
    </row>
    <row r="83" spans="1:5" ht="15" customHeight="1" x14ac:dyDescent="0.2">
      <c r="A83" s="17" t="s">
        <v>55</v>
      </c>
      <c r="B83" s="262"/>
      <c r="C83" s="271"/>
      <c r="D83" s="264">
        <f>B83-C83</f>
        <v>0</v>
      </c>
      <c r="E83" s="65"/>
    </row>
    <row r="84" spans="1:5" x14ac:dyDescent="0.2">
      <c r="A84" s="17" t="s">
        <v>57</v>
      </c>
      <c r="B84" s="262"/>
      <c r="C84" s="272"/>
      <c r="D84" s="264">
        <f>B84-C84</f>
        <v>0</v>
      </c>
      <c r="E84" s="65" t="s">
        <v>106</v>
      </c>
    </row>
    <row r="85" spans="1:5" ht="15" customHeight="1" x14ac:dyDescent="0.2">
      <c r="A85" s="17" t="s">
        <v>59</v>
      </c>
      <c r="B85" s="262"/>
      <c r="C85" s="273"/>
      <c r="D85" s="264">
        <f>B85-C85</f>
        <v>0</v>
      </c>
      <c r="E85" s="65"/>
    </row>
    <row r="86" spans="1:5" ht="15" customHeight="1" x14ac:dyDescent="0.2">
      <c r="A86" s="17"/>
      <c r="B86" s="270"/>
      <c r="C86" s="30"/>
      <c r="D86" s="269"/>
      <c r="E86" s="65"/>
    </row>
    <row r="87" spans="1:5" ht="15" customHeight="1" x14ac:dyDescent="0.2">
      <c r="A87" s="14" t="s">
        <v>60</v>
      </c>
      <c r="B87" s="280">
        <f>B88+B98</f>
        <v>0</v>
      </c>
      <c r="C87" s="280"/>
      <c r="D87" s="280">
        <f>D88+D98</f>
        <v>0</v>
      </c>
      <c r="E87" s="65"/>
    </row>
    <row r="88" spans="1:5" ht="15" customHeight="1" x14ac:dyDescent="0.2">
      <c r="A88" s="14" t="s">
        <v>99</v>
      </c>
      <c r="B88" s="280">
        <f>SUM(B89:B96)</f>
        <v>0</v>
      </c>
      <c r="C88" s="280"/>
      <c r="D88" s="280">
        <f>SUM(D89:D96)</f>
        <v>0</v>
      </c>
      <c r="E88" s="65" t="s">
        <v>463</v>
      </c>
    </row>
    <row r="89" spans="1:5" ht="15" customHeight="1" x14ac:dyDescent="0.2">
      <c r="A89" s="56" t="s">
        <v>62</v>
      </c>
      <c r="B89" s="262"/>
      <c r="C89" s="271"/>
      <c r="D89" s="264">
        <f>B89-C89</f>
        <v>0</v>
      </c>
      <c r="E89" s="65"/>
    </row>
    <row r="90" spans="1:5" ht="15" customHeight="1" x14ac:dyDescent="0.2">
      <c r="A90" s="56" t="s">
        <v>64</v>
      </c>
      <c r="B90" s="262"/>
      <c r="C90" s="272"/>
      <c r="D90" s="264">
        <f t="shared" ref="D90:D96" si="3">B90-C90</f>
        <v>0</v>
      </c>
      <c r="E90" s="65"/>
    </row>
    <row r="91" spans="1:5" ht="15" customHeight="1" x14ac:dyDescent="0.2">
      <c r="A91" s="56" t="s">
        <v>66</v>
      </c>
      <c r="B91" s="262"/>
      <c r="C91" s="272"/>
      <c r="D91" s="264">
        <f t="shared" si="3"/>
        <v>0</v>
      </c>
      <c r="E91" s="65"/>
    </row>
    <row r="92" spans="1:5" ht="15" customHeight="1" x14ac:dyDescent="0.2">
      <c r="A92" s="56" t="s">
        <v>67</v>
      </c>
      <c r="B92" s="262"/>
      <c r="C92" s="272"/>
      <c r="D92" s="264">
        <f t="shared" si="3"/>
        <v>0</v>
      </c>
      <c r="E92" s="65"/>
    </row>
    <row r="93" spans="1:5" ht="15" customHeight="1" x14ac:dyDescent="0.2">
      <c r="A93" s="56" t="s">
        <v>69</v>
      </c>
      <c r="B93" s="262"/>
      <c r="C93" s="272"/>
      <c r="D93" s="264">
        <f t="shared" si="3"/>
        <v>0</v>
      </c>
      <c r="E93" s="65"/>
    </row>
    <row r="94" spans="1:5" ht="15" customHeight="1" x14ac:dyDescent="0.2">
      <c r="A94" s="56" t="s">
        <v>71</v>
      </c>
      <c r="B94" s="262"/>
      <c r="C94" s="272"/>
      <c r="D94" s="264">
        <f t="shared" si="3"/>
        <v>0</v>
      </c>
      <c r="E94" s="65"/>
    </row>
    <row r="95" spans="1:5" ht="15" customHeight="1" x14ac:dyDescent="0.2">
      <c r="A95" s="56" t="s">
        <v>73</v>
      </c>
      <c r="B95" s="262"/>
      <c r="C95" s="272"/>
      <c r="D95" s="264">
        <f t="shared" si="3"/>
        <v>0</v>
      </c>
      <c r="E95" s="65"/>
    </row>
    <row r="96" spans="1:5" ht="15" customHeight="1" x14ac:dyDescent="0.2">
      <c r="A96" s="56" t="s">
        <v>75</v>
      </c>
      <c r="B96" s="262"/>
      <c r="C96" s="273"/>
      <c r="D96" s="264">
        <f t="shared" si="3"/>
        <v>0</v>
      </c>
      <c r="E96" s="65"/>
    </row>
    <row r="97" spans="1:5" ht="15" customHeight="1" x14ac:dyDescent="0.2">
      <c r="A97" s="17"/>
      <c r="B97" s="270"/>
      <c r="C97" s="30"/>
      <c r="D97" s="269"/>
      <c r="E97" s="65"/>
    </row>
    <row r="98" spans="1:5" ht="15" customHeight="1" x14ac:dyDescent="0.2">
      <c r="A98" s="14" t="s">
        <v>78</v>
      </c>
      <c r="B98" s="280">
        <f>SUM(B99:B106)</f>
        <v>0</v>
      </c>
      <c r="C98" s="280"/>
      <c r="D98" s="280">
        <f>SUM(D99:D106)</f>
        <v>0</v>
      </c>
      <c r="E98" s="65"/>
    </row>
    <row r="99" spans="1:5" ht="15" customHeight="1" x14ac:dyDescent="0.2">
      <c r="A99" s="56" t="s">
        <v>62</v>
      </c>
      <c r="B99" s="262"/>
      <c r="C99" s="271"/>
      <c r="D99" s="264">
        <f>B99-C99</f>
        <v>0</v>
      </c>
      <c r="E99" s="65"/>
    </row>
    <row r="100" spans="1:5" ht="15" customHeight="1" x14ac:dyDescent="0.2">
      <c r="A100" s="56" t="s">
        <v>64</v>
      </c>
      <c r="B100" s="262"/>
      <c r="C100" s="272"/>
      <c r="D100" s="264">
        <f t="shared" ref="D100:D106" si="4">B100-C100</f>
        <v>0</v>
      </c>
      <c r="E100" s="65"/>
    </row>
    <row r="101" spans="1:5" ht="15" customHeight="1" x14ac:dyDescent="0.2">
      <c r="A101" s="56" t="s">
        <v>66</v>
      </c>
      <c r="B101" s="262"/>
      <c r="C101" s="272"/>
      <c r="D101" s="264">
        <f t="shared" si="4"/>
        <v>0</v>
      </c>
      <c r="E101" s="65"/>
    </row>
    <row r="102" spans="1:5" ht="15" customHeight="1" x14ac:dyDescent="0.2">
      <c r="A102" s="56" t="s">
        <v>67</v>
      </c>
      <c r="B102" s="262"/>
      <c r="C102" s="272"/>
      <c r="D102" s="264">
        <f t="shared" si="4"/>
        <v>0</v>
      </c>
      <c r="E102" s="65"/>
    </row>
    <row r="103" spans="1:5" ht="15" customHeight="1" x14ac:dyDescent="0.2">
      <c r="A103" s="56" t="s">
        <v>69</v>
      </c>
      <c r="B103" s="262"/>
      <c r="C103" s="272"/>
      <c r="D103" s="264">
        <f t="shared" si="4"/>
        <v>0</v>
      </c>
      <c r="E103" s="65"/>
    </row>
    <row r="104" spans="1:5" ht="15" customHeight="1" x14ac:dyDescent="0.2">
      <c r="A104" s="56" t="s">
        <v>71</v>
      </c>
      <c r="B104" s="262"/>
      <c r="C104" s="272"/>
      <c r="D104" s="264">
        <f t="shared" si="4"/>
        <v>0</v>
      </c>
      <c r="E104" s="65" t="s">
        <v>117</v>
      </c>
    </row>
    <row r="105" spans="1:5" ht="15" customHeight="1" x14ac:dyDescent="0.2">
      <c r="A105" s="56" t="s">
        <v>73</v>
      </c>
      <c r="B105" s="262"/>
      <c r="C105" s="272"/>
      <c r="D105" s="264">
        <f t="shared" si="4"/>
        <v>0</v>
      </c>
      <c r="E105" s="65"/>
    </row>
    <row r="106" spans="1:5" ht="15" customHeight="1" x14ac:dyDescent="0.2">
      <c r="A106" s="56" t="s">
        <v>75</v>
      </c>
      <c r="B106" s="262"/>
      <c r="C106" s="273"/>
      <c r="D106" s="264">
        <f t="shared" si="4"/>
        <v>0</v>
      </c>
      <c r="E106" s="65" t="s">
        <v>118</v>
      </c>
    </row>
    <row r="107" spans="1:5" ht="15" customHeight="1" x14ac:dyDescent="0.2">
      <c r="A107" s="17"/>
      <c r="B107" s="270"/>
      <c r="C107" s="30"/>
      <c r="D107" s="269"/>
    </row>
    <row r="108" spans="1:5" ht="15" customHeight="1" x14ac:dyDescent="0.2">
      <c r="A108" s="14" t="s">
        <v>86</v>
      </c>
      <c r="B108" s="280">
        <f>B98+B88+B82+B78+B74+B67</f>
        <v>0</v>
      </c>
      <c r="C108" s="280"/>
      <c r="D108" s="280">
        <f>D98+D88+D82+D78+D74+D67</f>
        <v>0</v>
      </c>
      <c r="E108" s="134"/>
    </row>
    <row r="109" spans="1:5" ht="15" customHeight="1" x14ac:dyDescent="0.2">
      <c r="A109" s="17"/>
      <c r="B109" s="280"/>
      <c r="C109" s="226"/>
      <c r="D109" s="269"/>
    </row>
    <row r="110" spans="1:5" x14ac:dyDescent="0.2">
      <c r="A110" s="14" t="s">
        <v>90</v>
      </c>
      <c r="B110" s="281" t="e">
        <f>100*(B67+B74)/(B108-B103-B93)</f>
        <v>#DIV/0!</v>
      </c>
      <c r="C110" s="269"/>
      <c r="D110" s="281">
        <f>IF((D108+D103+D93)=0,0,100*(D67+D74)/(D108-D103-D93))</f>
        <v>0</v>
      </c>
      <c r="E110" s="29" t="s">
        <v>104</v>
      </c>
    </row>
    <row r="111" spans="1:5" ht="15" customHeight="1" x14ac:dyDescent="0.2">
      <c r="A111" s="20" t="s">
        <v>91</v>
      </c>
      <c r="B111" s="270"/>
      <c r="C111" s="30"/>
      <c r="D111" s="269"/>
    </row>
    <row r="112" spans="1:5" ht="15" customHeight="1" x14ac:dyDescent="0.2">
      <c r="A112" s="17" t="s">
        <v>456</v>
      </c>
      <c r="B112" s="280">
        <f>B61</f>
        <v>0</v>
      </c>
      <c r="C112" s="269"/>
      <c r="D112" s="280">
        <f>D61</f>
        <v>0</v>
      </c>
    </row>
    <row r="113" spans="1:5" ht="15" customHeight="1" x14ac:dyDescent="0.2">
      <c r="A113" s="17" t="s">
        <v>93</v>
      </c>
      <c r="B113" s="282">
        <f>B112/Tuloslaskelma!A76*1000</f>
        <v>0</v>
      </c>
      <c r="C113" s="269"/>
      <c r="D113" s="282">
        <f>D112/Tuloslaskelma!A76*1000</f>
        <v>0</v>
      </c>
    </row>
    <row r="114" spans="1:5" ht="15" customHeight="1" x14ac:dyDescent="0.2">
      <c r="A114" s="20" t="s">
        <v>95</v>
      </c>
      <c r="B114" s="270"/>
      <c r="C114" s="30"/>
      <c r="D114" s="269"/>
    </row>
    <row r="115" spans="1:5" ht="15" customHeight="1" x14ac:dyDescent="0.2">
      <c r="A115" s="17" t="s">
        <v>456</v>
      </c>
      <c r="B115" s="280">
        <f>B87-(B93+B103+B94+B104+B96+B106+B95+B105)</f>
        <v>0</v>
      </c>
      <c r="C115" s="269"/>
      <c r="D115" s="280">
        <f>D87-(D93+D103+D94+D104+D96+D106+D95+D105)</f>
        <v>0</v>
      </c>
      <c r="E115" s="29" t="s">
        <v>455</v>
      </c>
    </row>
    <row r="116" spans="1:5" ht="15" customHeight="1" x14ac:dyDescent="0.2">
      <c r="A116" s="17" t="s">
        <v>93</v>
      </c>
      <c r="B116" s="282">
        <f>B115/Tuloslaskelma!$A$76*1000</f>
        <v>0</v>
      </c>
      <c r="C116" s="269"/>
      <c r="D116" s="282">
        <f>D115/Tuloslaskelma!$A$76*1000</f>
        <v>0</v>
      </c>
    </row>
    <row r="117" spans="1:5" ht="15" customHeight="1" x14ac:dyDescent="0.2">
      <c r="A117" s="17"/>
      <c r="B117" s="283"/>
      <c r="C117" s="30"/>
      <c r="D117" s="269"/>
    </row>
    <row r="118" spans="1:5" x14ac:dyDescent="0.2">
      <c r="A118" s="25"/>
      <c r="B118" s="283"/>
      <c r="C118" s="284"/>
      <c r="D118" s="283"/>
    </row>
    <row r="119" spans="1:5" s="7" customFormat="1" ht="18.75" customHeight="1" x14ac:dyDescent="0.2">
      <c r="A119" s="26" t="s">
        <v>573</v>
      </c>
      <c r="B119" s="285" t="e">
        <f>100*(B87-B93-B103)/(Tuloslaskelma!#REF!+Tuloslaskelma!B24+Tuloslaskelma!B29)</f>
        <v>#REF!</v>
      </c>
      <c r="C119" s="269"/>
      <c r="D119" s="286" t="e">
        <f>100*(D87-D93-D103)/(Tuloslaskelma!#REF!+Tuloslaskelma!D24+Tuloslaskelma!D29)</f>
        <v>#REF!</v>
      </c>
      <c r="E119" s="29" t="s">
        <v>105</v>
      </c>
    </row>
    <row r="121" spans="1:5" x14ac:dyDescent="0.2">
      <c r="B121" s="37"/>
    </row>
    <row r="123" spans="1:5" x14ac:dyDescent="0.2">
      <c r="B123" s="30"/>
    </row>
  </sheetData>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8"/>
  <dimension ref="A1:EH328"/>
  <sheetViews>
    <sheetView topLeftCell="A3" zoomScale="115" zoomScaleNormal="115" workbookViewId="0">
      <pane ySplit="14" topLeftCell="A17" activePane="bottomLeft" state="frozen"/>
      <selection activeCell="BN20" sqref="BN20"/>
      <selection pane="bottomLeft" activeCell="L18" sqref="L18"/>
    </sheetView>
  </sheetViews>
  <sheetFormatPr defaultRowHeight="12.75" x14ac:dyDescent="0.2"/>
  <cols>
    <col min="1" max="1" width="4.5703125" style="67" customWidth="1"/>
    <col min="2" max="2" width="11.85546875" style="67" customWidth="1"/>
    <col min="3" max="3" width="5.7109375" style="67" customWidth="1"/>
    <col min="4" max="4" width="8.5703125" style="70" customWidth="1"/>
    <col min="5" max="5" width="14" style="70" customWidth="1"/>
    <col min="6" max="6" width="11.5703125" style="70" customWidth="1"/>
    <col min="7" max="7" width="11.140625" style="70" customWidth="1"/>
    <col min="8" max="8" width="12.85546875" style="70" customWidth="1"/>
    <col min="9" max="10" width="11.28515625" style="70" customWidth="1"/>
    <col min="11" max="11" width="9.85546875" style="70" customWidth="1"/>
    <col min="12" max="12" width="10.28515625" style="70" customWidth="1"/>
    <col min="13" max="13" width="10.140625" style="98" customWidth="1"/>
    <col min="14" max="15" width="10" style="98" customWidth="1"/>
    <col min="16" max="16" width="12.5703125" style="71" customWidth="1"/>
    <col min="17" max="17" width="9.7109375" style="71" customWidth="1"/>
    <col min="18" max="18" width="3" style="70" customWidth="1"/>
    <col min="19" max="19" width="14.42578125" style="70" customWidth="1"/>
    <col min="20" max="20" width="12.28515625" style="70" customWidth="1"/>
    <col min="21" max="22" width="11.28515625" style="70" customWidth="1"/>
    <col min="23" max="23" width="12.28515625" style="70" customWidth="1"/>
    <col min="24" max="24" width="12.7109375" style="70" customWidth="1"/>
    <col min="25" max="25" width="12.140625" style="70" customWidth="1"/>
    <col min="26" max="26" width="11.140625" style="70" customWidth="1"/>
    <col min="27" max="27" width="2.28515625" style="70" customWidth="1"/>
    <col min="28" max="28" width="12.140625" style="70" customWidth="1"/>
    <col min="29" max="29" width="10.28515625" style="70" customWidth="1"/>
    <col min="30" max="30" width="8.5703125" customWidth="1"/>
    <col min="31" max="31" width="12.140625" bestFit="1" customWidth="1"/>
    <col min="32" max="34" width="10" bestFit="1" customWidth="1"/>
    <col min="35" max="35" width="9.28515625" bestFit="1" customWidth="1"/>
    <col min="36" max="36" width="3.42578125" style="221" customWidth="1"/>
    <col min="37" max="37" width="12.85546875" customWidth="1"/>
    <col min="38" max="38" width="9.85546875" customWidth="1"/>
    <col min="39" max="39" width="14.28515625" customWidth="1"/>
    <col min="40" max="40" width="12.28515625" customWidth="1"/>
    <col min="41" max="45" width="15.7109375" customWidth="1"/>
    <col min="50" max="50" width="10.85546875" customWidth="1"/>
    <col min="51" max="51" width="14.140625" customWidth="1"/>
    <col min="52" max="52" width="15.7109375" customWidth="1"/>
    <col min="53" max="53" width="4.28515625" style="88" customWidth="1"/>
    <col min="54" max="54" width="14.28515625" bestFit="1" customWidth="1"/>
    <col min="55" max="60" width="8.85546875" customWidth="1"/>
    <col min="66" max="66" width="4.28515625" style="88" customWidth="1"/>
    <col min="67" max="67" width="14.140625" customWidth="1"/>
    <col min="68" max="69" width="13.140625" customWidth="1"/>
    <col min="70" max="70" width="11.28515625" customWidth="1"/>
    <col min="71" max="71" width="14.5703125" customWidth="1"/>
    <col min="72" max="74" width="11.28515625" customWidth="1"/>
    <col min="75" max="75" width="5" style="88" customWidth="1"/>
    <col min="76" max="76" width="19.7109375" customWidth="1"/>
    <col min="77" max="77" width="15.5703125" customWidth="1"/>
    <col min="78" max="78" width="14.28515625" customWidth="1"/>
    <col min="79" max="79" width="19.28515625" bestFit="1" customWidth="1"/>
    <col min="80" max="80" width="17.28515625" bestFit="1" customWidth="1"/>
    <col min="81" max="83" width="11.28515625" customWidth="1"/>
    <col min="84" max="84" width="17.28515625" bestFit="1" customWidth="1"/>
    <col min="85" max="88" width="11.28515625" customWidth="1"/>
    <col min="89" max="91" width="11.140625" customWidth="1"/>
    <col min="92" max="92" width="5" style="88" customWidth="1"/>
    <col min="93" max="93" width="14.7109375" bestFit="1" customWidth="1"/>
    <col min="94" max="96" width="13.42578125" bestFit="1" customWidth="1"/>
    <col min="97" max="103" width="13.42578125" customWidth="1"/>
    <col min="104" max="104" width="9.7109375" bestFit="1" customWidth="1"/>
    <col min="105" max="106" width="16.42578125" style="30" customWidth="1"/>
    <col min="107" max="107" width="22.7109375" style="190" customWidth="1"/>
    <col min="108" max="108" width="8.5703125" style="437" customWidth="1"/>
    <col min="109" max="109" width="14" style="437" customWidth="1"/>
    <col min="110" max="110" width="11.5703125" style="437" customWidth="1"/>
    <col min="111" max="111" width="11.140625" style="437" customWidth="1"/>
    <col min="112" max="112" width="12.85546875" style="437" customWidth="1"/>
    <col min="113" max="114" width="11.28515625" style="437" customWidth="1"/>
    <col min="115" max="115" width="9.85546875" style="437" customWidth="1"/>
    <col min="116" max="116" width="10.28515625" style="437" customWidth="1"/>
    <col min="117" max="117" width="10.140625" style="437" customWidth="1"/>
    <col min="118" max="118" width="10" style="437" customWidth="1"/>
    <col min="119" max="119" width="12.5703125" style="461" customWidth="1"/>
    <col min="120" max="120" width="9.7109375" style="461" customWidth="1"/>
    <col min="121" max="121" width="3" style="437" customWidth="1"/>
    <col min="122" max="122" width="14.42578125" style="437" customWidth="1"/>
    <col min="123" max="123" width="12.28515625" style="437" customWidth="1"/>
    <col min="124" max="125" width="11.28515625" style="437" customWidth="1"/>
    <col min="126" max="126" width="12.28515625" style="437" customWidth="1"/>
    <col min="127" max="127" width="12.7109375" style="437" customWidth="1"/>
    <col min="128" max="128" width="12.140625" style="437" customWidth="1"/>
    <col min="129" max="129" width="11.140625" style="437" customWidth="1"/>
    <col min="130" max="130" width="2.28515625" style="437" customWidth="1"/>
    <col min="131" max="131" width="12.140625" style="437" customWidth="1"/>
    <col min="132" max="132" width="10.28515625" style="437" customWidth="1"/>
    <col min="133" max="133" width="8.5703125" style="190" customWidth="1"/>
    <col min="134" max="134" width="12.140625" style="190" bestFit="1" customWidth="1"/>
    <col min="135" max="137" width="10" style="190" bestFit="1" customWidth="1"/>
    <col min="138" max="138" width="9.28515625" style="190" bestFit="1" customWidth="1"/>
  </cols>
  <sheetData>
    <row r="1" spans="1:138" x14ac:dyDescent="0.2">
      <c r="B1" s="84">
        <v>1</v>
      </c>
      <c r="C1" s="84">
        <v>2</v>
      </c>
      <c r="D1" s="84">
        <v>3</v>
      </c>
      <c r="E1" s="84">
        <v>4</v>
      </c>
      <c r="F1" s="84">
        <v>5</v>
      </c>
      <c r="G1" s="84">
        <v>6</v>
      </c>
      <c r="H1" s="84">
        <v>7</v>
      </c>
      <c r="I1" s="84">
        <v>8</v>
      </c>
      <c r="J1" s="84">
        <v>9</v>
      </c>
      <c r="K1" s="84">
        <v>10</v>
      </c>
      <c r="L1" s="84">
        <v>11</v>
      </c>
      <c r="M1" s="84">
        <v>12</v>
      </c>
      <c r="N1" s="84">
        <v>13</v>
      </c>
      <c r="O1" s="84"/>
      <c r="P1" s="84">
        <v>14</v>
      </c>
      <c r="Q1" s="84">
        <v>15</v>
      </c>
      <c r="R1" s="84">
        <v>16</v>
      </c>
      <c r="S1" s="84">
        <v>17</v>
      </c>
      <c r="T1" s="84">
        <v>18</v>
      </c>
      <c r="U1" s="84">
        <v>19</v>
      </c>
      <c r="V1" s="84">
        <v>20</v>
      </c>
      <c r="W1" s="84">
        <v>21</v>
      </c>
      <c r="X1" s="84">
        <v>22</v>
      </c>
      <c r="Y1" s="84">
        <v>23</v>
      </c>
      <c r="Z1" s="84">
        <v>24</v>
      </c>
      <c r="AA1" s="84">
        <v>25</v>
      </c>
      <c r="AB1" s="84">
        <v>26</v>
      </c>
      <c r="AC1" s="84">
        <v>27</v>
      </c>
      <c r="AD1" s="84">
        <v>28</v>
      </c>
      <c r="AE1" s="84">
        <v>29</v>
      </c>
      <c r="AF1" s="84">
        <v>30</v>
      </c>
      <c r="AG1" s="84">
        <v>31</v>
      </c>
      <c r="AH1" s="84">
        <v>32</v>
      </c>
      <c r="AI1" s="84">
        <v>33</v>
      </c>
      <c r="AJ1" s="84">
        <v>34</v>
      </c>
      <c r="AK1" s="84">
        <v>35</v>
      </c>
      <c r="AL1" s="84">
        <v>36</v>
      </c>
      <c r="AM1" s="84">
        <v>37</v>
      </c>
      <c r="AN1" s="84">
        <v>38</v>
      </c>
      <c r="AO1" s="84">
        <v>39</v>
      </c>
      <c r="AP1" s="84">
        <v>40</v>
      </c>
      <c r="AQ1" s="84">
        <v>41</v>
      </c>
      <c r="AR1" s="84">
        <v>42</v>
      </c>
      <c r="AS1" s="84">
        <v>43</v>
      </c>
      <c r="AT1" s="84">
        <v>44</v>
      </c>
      <c r="AU1" s="84">
        <v>45</v>
      </c>
      <c r="AV1" s="84">
        <v>46</v>
      </c>
      <c r="AW1" s="84">
        <v>47</v>
      </c>
      <c r="AX1" s="84">
        <v>48</v>
      </c>
      <c r="AY1" s="84">
        <v>49</v>
      </c>
      <c r="AZ1" s="84">
        <v>50</v>
      </c>
      <c r="BA1" s="295"/>
      <c r="BB1" s="84">
        <v>51</v>
      </c>
      <c r="BC1" s="84">
        <v>52</v>
      </c>
      <c r="BD1" s="84"/>
      <c r="BE1" s="84">
        <v>53</v>
      </c>
      <c r="BF1" s="84">
        <v>54</v>
      </c>
      <c r="BG1" s="84">
        <v>55</v>
      </c>
      <c r="BH1" s="84">
        <v>56</v>
      </c>
      <c r="BI1" s="84">
        <v>57</v>
      </c>
      <c r="BJ1" s="84">
        <v>58</v>
      </c>
      <c r="BK1" s="84">
        <v>59</v>
      </c>
      <c r="BL1" s="84">
        <v>60</v>
      </c>
      <c r="BM1" s="84">
        <v>61</v>
      </c>
      <c r="BN1" s="295">
        <v>62</v>
      </c>
      <c r="BO1" s="84">
        <v>63</v>
      </c>
      <c r="BP1" s="84">
        <v>64</v>
      </c>
      <c r="BQ1" s="399">
        <v>65</v>
      </c>
      <c r="BR1" s="84">
        <v>66</v>
      </c>
      <c r="BS1" s="399">
        <v>67</v>
      </c>
      <c r="BT1" s="84">
        <v>68</v>
      </c>
      <c r="BU1" s="84">
        <v>69</v>
      </c>
      <c r="BV1" s="84">
        <v>70</v>
      </c>
      <c r="BW1" s="295">
        <v>71</v>
      </c>
      <c r="BX1" s="399"/>
      <c r="BY1" s="399"/>
      <c r="BZ1" s="84">
        <v>72</v>
      </c>
      <c r="CA1" s="84">
        <v>73</v>
      </c>
      <c r="CB1" s="399">
        <v>74</v>
      </c>
      <c r="CC1" s="84">
        <v>75</v>
      </c>
      <c r="CD1" s="399">
        <v>76</v>
      </c>
      <c r="CE1" s="399">
        <v>77</v>
      </c>
      <c r="CF1" s="399">
        <v>78</v>
      </c>
      <c r="CG1" s="399">
        <v>79</v>
      </c>
      <c r="CH1" s="399">
        <v>80</v>
      </c>
      <c r="CI1" s="399">
        <v>81</v>
      </c>
      <c r="CJ1" s="399">
        <v>82</v>
      </c>
      <c r="CK1" s="399">
        <v>83</v>
      </c>
      <c r="CL1" s="399">
        <v>84</v>
      </c>
      <c r="CM1" s="399">
        <v>85</v>
      </c>
      <c r="CN1" s="295">
        <v>86</v>
      </c>
      <c r="CO1" s="84">
        <v>87</v>
      </c>
      <c r="CP1" s="84">
        <v>88</v>
      </c>
      <c r="CQ1" s="84">
        <v>89</v>
      </c>
      <c r="CR1" s="84"/>
      <c r="CS1" s="84"/>
      <c r="CT1" s="84"/>
      <c r="CU1" s="84"/>
      <c r="CV1" s="84"/>
      <c r="CW1" s="84"/>
      <c r="CX1" s="84"/>
      <c r="CY1" s="84"/>
      <c r="CZ1" s="84">
        <v>90</v>
      </c>
      <c r="DA1" s="425">
        <v>87</v>
      </c>
      <c r="DB1" s="425">
        <v>88</v>
      </c>
      <c r="DC1" s="460">
        <v>93</v>
      </c>
      <c r="DD1" s="460">
        <v>3</v>
      </c>
      <c r="DE1" s="460">
        <v>4</v>
      </c>
      <c r="DF1" s="460">
        <v>5</v>
      </c>
      <c r="DG1" s="460">
        <v>6</v>
      </c>
      <c r="DH1" s="460">
        <v>7</v>
      </c>
      <c r="DI1" s="460">
        <v>8</v>
      </c>
      <c r="DJ1" s="460">
        <v>9</v>
      </c>
      <c r="DK1" s="460">
        <v>10</v>
      </c>
      <c r="DL1" s="460">
        <v>11</v>
      </c>
      <c r="DM1" s="460">
        <v>12</v>
      </c>
      <c r="DN1" s="460">
        <v>13</v>
      </c>
      <c r="DO1" s="460">
        <v>14</v>
      </c>
      <c r="DP1" s="460">
        <v>15</v>
      </c>
      <c r="DQ1" s="460">
        <v>16</v>
      </c>
      <c r="DR1" s="460">
        <v>17</v>
      </c>
      <c r="DS1" s="460">
        <v>18</v>
      </c>
      <c r="DT1" s="460">
        <v>19</v>
      </c>
      <c r="DU1" s="460">
        <v>20</v>
      </c>
      <c r="DV1" s="460">
        <v>21</v>
      </c>
      <c r="DW1" s="460">
        <v>22</v>
      </c>
      <c r="DX1" s="460">
        <v>23</v>
      </c>
      <c r="DY1" s="460">
        <v>24</v>
      </c>
      <c r="DZ1" s="460">
        <v>25</v>
      </c>
      <c r="EA1" s="460">
        <v>26</v>
      </c>
      <c r="EB1" s="460">
        <v>27</v>
      </c>
      <c r="EC1" s="460">
        <v>28</v>
      </c>
      <c r="ED1" s="460">
        <v>29</v>
      </c>
      <c r="EE1" s="460">
        <v>30</v>
      </c>
      <c r="EF1" s="460">
        <v>31</v>
      </c>
      <c r="EG1" s="460">
        <v>32</v>
      </c>
      <c r="EH1" s="460">
        <v>33</v>
      </c>
    </row>
    <row r="2" spans="1:138" ht="18" x14ac:dyDescent="0.25">
      <c r="A2" s="141" t="s">
        <v>553</v>
      </c>
      <c r="B2" s="142"/>
    </row>
    <row r="3" spans="1:138" ht="15" x14ac:dyDescent="0.25">
      <c r="A3" s="143" t="s">
        <v>554</v>
      </c>
      <c r="B3" s="142"/>
    </row>
    <row r="4" spans="1:138" x14ac:dyDescent="0.2">
      <c r="A4" s="144"/>
      <c r="B4" s="145"/>
      <c r="DD4" s="437" t="s">
        <v>746</v>
      </c>
    </row>
    <row r="5" spans="1:138" x14ac:dyDescent="0.2">
      <c r="A5" s="146"/>
      <c r="B5" s="142">
        <v>1</v>
      </c>
      <c r="C5" s="67">
        <v>2</v>
      </c>
      <c r="D5" s="70">
        <v>3</v>
      </c>
      <c r="E5" s="142">
        <v>4</v>
      </c>
      <c r="F5" s="67">
        <v>5</v>
      </c>
      <c r="G5" s="70">
        <v>6</v>
      </c>
      <c r="H5" s="142">
        <v>7</v>
      </c>
      <c r="I5" s="67">
        <v>8</v>
      </c>
      <c r="J5" s="70">
        <v>9</v>
      </c>
      <c r="K5" s="142">
        <v>10</v>
      </c>
      <c r="L5" s="67">
        <v>11</v>
      </c>
      <c r="M5" s="70">
        <v>12</v>
      </c>
      <c r="N5" s="142">
        <v>13</v>
      </c>
      <c r="O5" s="67">
        <v>14</v>
      </c>
      <c r="P5" s="70">
        <v>15</v>
      </c>
      <c r="Q5" s="142">
        <v>16</v>
      </c>
      <c r="R5" s="67">
        <v>17</v>
      </c>
      <c r="S5" s="70">
        <v>18</v>
      </c>
      <c r="T5" s="142">
        <v>19</v>
      </c>
      <c r="U5" s="67">
        <v>20</v>
      </c>
      <c r="V5" s="70">
        <v>21</v>
      </c>
      <c r="W5" s="142">
        <v>22</v>
      </c>
      <c r="X5" s="67">
        <v>23</v>
      </c>
      <c r="Y5" s="70">
        <v>24</v>
      </c>
      <c r="Z5" s="142">
        <v>25</v>
      </c>
      <c r="AA5" s="67">
        <v>26</v>
      </c>
      <c r="AB5" s="70">
        <v>27</v>
      </c>
      <c r="AC5" s="142">
        <v>28</v>
      </c>
      <c r="AD5" s="67">
        <v>29</v>
      </c>
      <c r="AE5" s="70">
        <v>30</v>
      </c>
      <c r="AF5" s="142">
        <v>31</v>
      </c>
      <c r="AG5" s="67">
        <v>32</v>
      </c>
      <c r="AH5" s="70">
        <v>33</v>
      </c>
      <c r="AI5" s="142">
        <v>34</v>
      </c>
      <c r="AJ5" s="501"/>
      <c r="AK5" s="70">
        <v>36</v>
      </c>
      <c r="AL5" s="142">
        <v>37</v>
      </c>
      <c r="AM5" s="67">
        <v>38</v>
      </c>
      <c r="AN5" s="70">
        <v>39</v>
      </c>
      <c r="AO5" s="142">
        <v>40</v>
      </c>
      <c r="AP5" s="67">
        <v>41</v>
      </c>
      <c r="AQ5" s="70">
        <v>42</v>
      </c>
      <c r="AR5" s="142">
        <v>43</v>
      </c>
      <c r="AS5" s="67">
        <v>44</v>
      </c>
      <c r="AT5" s="70">
        <v>45</v>
      </c>
      <c r="AU5" s="142">
        <v>46</v>
      </c>
      <c r="AV5" s="67">
        <v>47</v>
      </c>
      <c r="AW5" s="70">
        <v>48</v>
      </c>
      <c r="AX5" s="142">
        <v>49</v>
      </c>
      <c r="AY5" s="67">
        <v>50</v>
      </c>
      <c r="AZ5" s="70">
        <v>51</v>
      </c>
      <c r="BA5" s="351"/>
      <c r="BB5" s="67">
        <v>53</v>
      </c>
      <c r="BC5" s="70">
        <v>54</v>
      </c>
      <c r="BD5" s="142">
        <v>55</v>
      </c>
      <c r="BE5" s="67">
        <v>56</v>
      </c>
      <c r="BF5" s="70">
        <v>57</v>
      </c>
      <c r="BG5" s="142">
        <v>58</v>
      </c>
      <c r="BH5" s="67">
        <v>59</v>
      </c>
      <c r="BI5" s="70">
        <v>60</v>
      </c>
      <c r="BJ5" s="142">
        <v>61</v>
      </c>
      <c r="BK5" s="67">
        <v>62</v>
      </c>
      <c r="BL5" s="70">
        <v>63</v>
      </c>
      <c r="BM5" s="142">
        <v>64</v>
      </c>
      <c r="BN5" s="299"/>
      <c r="BO5" s="70">
        <v>66</v>
      </c>
      <c r="BP5" s="142">
        <v>67</v>
      </c>
      <c r="BQ5" s="67">
        <v>68</v>
      </c>
      <c r="BR5" s="70">
        <v>69</v>
      </c>
      <c r="BS5" s="142">
        <v>70</v>
      </c>
      <c r="BT5" s="67">
        <v>71</v>
      </c>
      <c r="BU5" s="70">
        <v>72</v>
      </c>
      <c r="BV5" s="142">
        <v>73</v>
      </c>
      <c r="BW5" s="299"/>
      <c r="BX5" s="70">
        <v>75</v>
      </c>
      <c r="BY5" s="142">
        <v>76</v>
      </c>
      <c r="BZ5" s="67">
        <v>77</v>
      </c>
      <c r="CA5" s="70">
        <v>78</v>
      </c>
      <c r="CB5" s="142">
        <v>79</v>
      </c>
      <c r="CC5" s="67">
        <v>80</v>
      </c>
      <c r="CD5" s="70">
        <v>81</v>
      </c>
      <c r="CE5" s="142">
        <v>82</v>
      </c>
      <c r="CF5" s="67">
        <v>83</v>
      </c>
      <c r="CG5" s="70">
        <v>84</v>
      </c>
      <c r="CH5" s="142">
        <v>85</v>
      </c>
      <c r="CI5" s="67">
        <v>86</v>
      </c>
      <c r="CJ5" s="70">
        <v>87</v>
      </c>
      <c r="CK5" s="142">
        <v>88</v>
      </c>
      <c r="CL5" s="67">
        <v>89</v>
      </c>
      <c r="CM5" s="70">
        <v>90</v>
      </c>
      <c r="CN5" s="351"/>
      <c r="CO5" s="67">
        <v>92</v>
      </c>
      <c r="CP5" s="70">
        <v>93</v>
      </c>
      <c r="CQ5" s="142">
        <v>94</v>
      </c>
      <c r="CR5" s="67">
        <v>95</v>
      </c>
      <c r="CS5" s="70">
        <v>96</v>
      </c>
      <c r="CT5" s="142">
        <v>97</v>
      </c>
      <c r="CU5" s="67">
        <v>98</v>
      </c>
      <c r="CV5" s="70">
        <v>99</v>
      </c>
      <c r="CW5" s="142">
        <v>100</v>
      </c>
      <c r="CX5" s="67">
        <v>101</v>
      </c>
      <c r="CY5" s="70">
        <v>102</v>
      </c>
      <c r="CZ5" s="142">
        <v>103</v>
      </c>
      <c r="DA5" s="67">
        <v>104</v>
      </c>
      <c r="DB5" s="67">
        <v>105</v>
      </c>
      <c r="DC5" s="438">
        <v>106</v>
      </c>
      <c r="DD5" s="439">
        <v>107</v>
      </c>
      <c r="DE5" s="390">
        <v>108</v>
      </c>
      <c r="DF5" s="438">
        <v>109</v>
      </c>
      <c r="DG5" s="439">
        <v>110</v>
      </c>
      <c r="DH5" s="390">
        <v>111</v>
      </c>
      <c r="DI5" s="438">
        <v>112</v>
      </c>
      <c r="DJ5" s="439">
        <v>113</v>
      </c>
      <c r="DK5" s="390">
        <v>114</v>
      </c>
      <c r="DL5" s="438">
        <v>115</v>
      </c>
      <c r="DM5" s="439">
        <v>116</v>
      </c>
      <c r="DN5" s="390">
        <v>117</v>
      </c>
      <c r="DO5" s="438">
        <v>118</v>
      </c>
      <c r="DP5" s="439">
        <v>119</v>
      </c>
      <c r="DQ5" s="390">
        <v>120</v>
      </c>
      <c r="DR5" s="438">
        <v>121</v>
      </c>
      <c r="DS5" s="439">
        <v>122</v>
      </c>
      <c r="DT5" s="390">
        <v>123</v>
      </c>
      <c r="DU5" s="438">
        <v>124</v>
      </c>
      <c r="DV5" s="439">
        <v>125</v>
      </c>
      <c r="DW5" s="390">
        <v>126</v>
      </c>
      <c r="DX5" s="438">
        <v>127</v>
      </c>
      <c r="DY5" s="439">
        <v>128</v>
      </c>
      <c r="DZ5" s="390">
        <v>129</v>
      </c>
      <c r="EA5" s="438">
        <v>130</v>
      </c>
      <c r="EB5" s="439">
        <v>131</v>
      </c>
      <c r="EC5" s="390">
        <v>132</v>
      </c>
      <c r="ED5" s="438">
        <v>133</v>
      </c>
      <c r="EE5" s="439">
        <v>134</v>
      </c>
      <c r="EF5" s="390">
        <v>135</v>
      </c>
      <c r="EG5" s="438">
        <v>136</v>
      </c>
      <c r="EH5" s="439">
        <v>137</v>
      </c>
    </row>
    <row r="6" spans="1:138" x14ac:dyDescent="0.2">
      <c r="A6" s="71"/>
      <c r="B6" s="145"/>
      <c r="AE6" s="116"/>
      <c r="AF6" s="116"/>
      <c r="AG6" s="116"/>
      <c r="AH6" s="116"/>
      <c r="AI6" s="116"/>
      <c r="ED6" s="462"/>
      <c r="EE6" s="462"/>
      <c r="EF6" s="462"/>
      <c r="EG6" s="462"/>
      <c r="EH6" s="462"/>
    </row>
    <row r="7" spans="1:138" x14ac:dyDescent="0.2">
      <c r="A7" s="71"/>
      <c r="B7" s="145"/>
      <c r="AE7" s="94"/>
      <c r="AF7" s="94"/>
      <c r="AG7" s="94"/>
      <c r="AH7" s="94"/>
      <c r="AI7" s="94"/>
      <c r="CZ7" s="519">
        <v>1000</v>
      </c>
      <c r="ED7" s="463"/>
      <c r="EE7" s="463"/>
      <c r="EF7" s="463"/>
      <c r="EG7" s="463"/>
      <c r="EH7" s="463"/>
    </row>
    <row r="8" spans="1:138" x14ac:dyDescent="0.2">
      <c r="A8" s="146"/>
      <c r="B8" s="145"/>
      <c r="E8" s="70" t="s">
        <v>749</v>
      </c>
      <c r="H8" s="67"/>
      <c r="S8" s="72" t="s">
        <v>555</v>
      </c>
      <c r="T8" s="212"/>
      <c r="U8" s="212"/>
      <c r="V8" s="212"/>
      <c r="W8" s="212"/>
      <c r="X8" s="213"/>
      <c r="Y8" s="212"/>
      <c r="Z8" s="212"/>
      <c r="AA8" s="214"/>
      <c r="AE8" s="68"/>
      <c r="AF8" s="68"/>
      <c r="AG8" s="68"/>
      <c r="AH8" s="68"/>
      <c r="AI8" s="68"/>
      <c r="AX8" s="306">
        <v>1E-3</v>
      </c>
      <c r="AY8" s="68">
        <v>1000</v>
      </c>
      <c r="BP8" s="80" t="s">
        <v>668</v>
      </c>
      <c r="BQ8" s="403">
        <f>21308619000/((19911190244.66+21308619000)/2)</f>
        <v>1.0339018734183258</v>
      </c>
      <c r="BS8" s="3"/>
      <c r="BV8" s="397" t="s">
        <v>701</v>
      </c>
      <c r="BX8" s="3" t="s">
        <v>709</v>
      </c>
      <c r="BY8">
        <v>0</v>
      </c>
      <c r="CR8">
        <v>1000</v>
      </c>
      <c r="DH8" s="440"/>
      <c r="DR8" s="464" t="s">
        <v>555</v>
      </c>
      <c r="DS8" s="465"/>
      <c r="DT8" s="465"/>
      <c r="DU8" s="465"/>
      <c r="DV8" s="465"/>
      <c r="DW8" s="466"/>
      <c r="DX8" s="465"/>
      <c r="DY8" s="465"/>
      <c r="DZ8" s="467"/>
      <c r="EB8" s="440"/>
      <c r="ED8" s="440"/>
      <c r="EE8" s="440"/>
      <c r="EF8" s="440"/>
      <c r="EG8" s="440"/>
      <c r="EH8" s="440"/>
    </row>
    <row r="9" spans="1:138" x14ac:dyDescent="0.2">
      <c r="A9" s="71"/>
      <c r="B9" s="145"/>
      <c r="G9" s="67"/>
      <c r="P9" s="69"/>
      <c r="S9" s="73" t="s">
        <v>637</v>
      </c>
      <c r="T9" s="74"/>
      <c r="U9" s="74"/>
      <c r="V9" s="74"/>
      <c r="W9" s="74"/>
      <c r="X9" s="75"/>
      <c r="Y9" s="74"/>
      <c r="Z9" s="74"/>
      <c r="AA9" s="76"/>
      <c r="AE9" s="68"/>
      <c r="AF9" s="68"/>
      <c r="AG9" s="68"/>
      <c r="AH9" s="68"/>
      <c r="AI9" s="68"/>
      <c r="AY9" s="306"/>
      <c r="BP9" s="80" t="s">
        <v>669</v>
      </c>
      <c r="BQ9" s="403">
        <f>491883000/((491883000+457092369.64)/2)</f>
        <v>1.0366612574709901</v>
      </c>
      <c r="BV9" s="396"/>
      <c r="CD9" s="223" t="s">
        <v>695</v>
      </c>
      <c r="CE9" s="223"/>
      <c r="CF9" s="223" t="s">
        <v>695</v>
      </c>
      <c r="DG9" s="440"/>
      <c r="DO9" s="458"/>
      <c r="DR9" s="468" t="s">
        <v>637</v>
      </c>
      <c r="DS9" s="469"/>
      <c r="DT9" s="469"/>
      <c r="DU9" s="469"/>
      <c r="DV9" s="469"/>
      <c r="DW9" s="470"/>
      <c r="DX9" s="469"/>
      <c r="DY9" s="469"/>
      <c r="DZ9" s="471"/>
      <c r="ED9" s="440"/>
      <c r="EE9" s="440"/>
      <c r="EF9" s="440"/>
      <c r="EG9" s="440"/>
      <c r="EH9" s="440"/>
    </row>
    <row r="10" spans="1:138" x14ac:dyDescent="0.2">
      <c r="A10" s="146"/>
      <c r="B10" s="145"/>
      <c r="I10" s="147"/>
      <c r="J10" s="147"/>
      <c r="AB10" s="118"/>
      <c r="AC10" s="69"/>
      <c r="AE10" s="116"/>
      <c r="AF10" s="116"/>
      <c r="AG10" s="116"/>
      <c r="AH10" s="116"/>
      <c r="AI10" s="116"/>
      <c r="BJ10" s="1"/>
      <c r="CD10" s="223" t="s">
        <v>728</v>
      </c>
      <c r="CE10" s="223"/>
      <c r="CF10" s="223" t="s">
        <v>728</v>
      </c>
      <c r="DI10" s="472"/>
      <c r="DJ10" s="472"/>
      <c r="EA10" s="473"/>
      <c r="EB10" s="458"/>
      <c r="ED10" s="462"/>
      <c r="EE10" s="462"/>
      <c r="EF10" s="462"/>
      <c r="EG10" s="462"/>
      <c r="EH10" s="462"/>
    </row>
    <row r="11" spans="1:138" x14ac:dyDescent="0.2">
      <c r="A11" s="148"/>
      <c r="B11" s="145"/>
      <c r="F11" s="149"/>
      <c r="H11" s="67"/>
      <c r="I11" s="67"/>
      <c r="J11" s="67"/>
      <c r="T11" s="149"/>
      <c r="V11" s="67"/>
      <c r="W11" s="67"/>
      <c r="AB11" s="118"/>
      <c r="AC11" s="69"/>
      <c r="AE11" s="215" t="s">
        <v>468</v>
      </c>
      <c r="AF11" s="216"/>
      <c r="AG11" s="216"/>
      <c r="AH11" s="216"/>
      <c r="AI11" s="217"/>
      <c r="BB11" s="223" t="s">
        <v>634</v>
      </c>
      <c r="CB11" s="223" t="s">
        <v>695</v>
      </c>
      <c r="CC11" s="223" t="s">
        <v>704</v>
      </c>
      <c r="CD11" s="223" t="s">
        <v>101</v>
      </c>
      <c r="CE11" s="223" t="s">
        <v>632</v>
      </c>
      <c r="CF11" s="223" t="s">
        <v>544</v>
      </c>
      <c r="CG11" s="223" t="s">
        <v>544</v>
      </c>
      <c r="CH11" s="223" t="s">
        <v>544</v>
      </c>
      <c r="CI11" s="223" t="s">
        <v>544</v>
      </c>
      <c r="CJ11" s="223" t="s">
        <v>544</v>
      </c>
      <c r="CK11" s="223" t="s">
        <v>544</v>
      </c>
      <c r="CL11" s="223" t="s">
        <v>544</v>
      </c>
      <c r="CM11" s="223" t="s">
        <v>544</v>
      </c>
      <c r="CO11" s="426" t="s">
        <v>724</v>
      </c>
      <c r="CP11" s="426" t="s">
        <v>725</v>
      </c>
      <c r="CQ11" s="426" t="s">
        <v>494</v>
      </c>
      <c r="CR11" s="432" t="s">
        <v>734</v>
      </c>
      <c r="CS11" s="432" t="s">
        <v>734</v>
      </c>
      <c r="CT11" s="432" t="s">
        <v>738</v>
      </c>
      <c r="CU11" s="432" t="s">
        <v>738</v>
      </c>
      <c r="CV11" s="432" t="s">
        <v>739</v>
      </c>
      <c r="CW11" s="432" t="s">
        <v>741</v>
      </c>
      <c r="CX11" s="432" t="s">
        <v>543</v>
      </c>
      <c r="CY11" s="432" t="s">
        <v>634</v>
      </c>
      <c r="DA11" s="521" t="s">
        <v>724</v>
      </c>
      <c r="DB11" s="521" t="s">
        <v>725</v>
      </c>
      <c r="DF11" s="474"/>
      <c r="DH11" s="440"/>
      <c r="DI11" s="440"/>
      <c r="DJ11" s="440"/>
      <c r="DS11" s="474"/>
      <c r="DU11" s="440"/>
      <c r="DV11" s="440"/>
      <c r="EA11" s="473"/>
      <c r="EB11" s="458"/>
      <c r="ED11" s="475" t="s">
        <v>468</v>
      </c>
      <c r="EE11" s="476"/>
      <c r="EF11" s="476"/>
      <c r="EG11" s="476"/>
      <c r="EH11" s="477"/>
    </row>
    <row r="12" spans="1:138" x14ac:dyDescent="0.2">
      <c r="A12" s="148"/>
      <c r="B12" s="145"/>
      <c r="F12" s="149"/>
      <c r="H12" s="67"/>
      <c r="I12" s="67"/>
      <c r="J12" s="67"/>
      <c r="T12" s="149"/>
      <c r="V12" s="67"/>
      <c r="W12" s="67"/>
      <c r="AB12" s="118"/>
      <c r="AC12" s="69"/>
      <c r="AE12" s="218" t="s">
        <v>636</v>
      </c>
      <c r="AF12" s="219"/>
      <c r="AG12" s="219"/>
      <c r="AH12" s="219"/>
      <c r="AI12" s="220"/>
      <c r="AK12" s="222"/>
      <c r="AL12" s="222"/>
      <c r="AM12" s="222"/>
      <c r="AN12" s="222"/>
      <c r="AO12" s="222"/>
      <c r="AP12" s="222"/>
      <c r="AQ12" s="222"/>
      <c r="AR12" s="222"/>
      <c r="AS12" s="223" t="s">
        <v>469</v>
      </c>
      <c r="AT12" s="223" t="s">
        <v>565</v>
      </c>
      <c r="AU12" s="223" t="s">
        <v>566</v>
      </c>
      <c r="AV12" s="223" t="s">
        <v>567</v>
      </c>
      <c r="AW12" s="223" t="s">
        <v>429</v>
      </c>
      <c r="AX12" s="223" t="s">
        <v>597</v>
      </c>
      <c r="AY12" s="223" t="s">
        <v>600</v>
      </c>
      <c r="AZ12" s="223" t="s">
        <v>521</v>
      </c>
      <c r="BA12" s="296"/>
      <c r="BB12" s="223" t="s">
        <v>558</v>
      </c>
      <c r="BC12" s="223" t="s">
        <v>558</v>
      </c>
      <c r="BD12" s="223" t="s">
        <v>632</v>
      </c>
      <c r="BE12" s="223" t="s">
        <v>558</v>
      </c>
      <c r="BF12" s="223" t="s">
        <v>558</v>
      </c>
      <c r="BG12" s="223" t="s">
        <v>558</v>
      </c>
      <c r="BH12" s="223" t="s">
        <v>558</v>
      </c>
      <c r="BI12" s="223" t="s">
        <v>544</v>
      </c>
      <c r="BJ12" s="223" t="s">
        <v>544</v>
      </c>
      <c r="BK12" s="223" t="s">
        <v>544</v>
      </c>
      <c r="BL12" s="223" t="s">
        <v>544</v>
      </c>
      <c r="BM12" s="223" t="s">
        <v>544</v>
      </c>
      <c r="BN12" s="296"/>
      <c r="BO12" s="223" t="s">
        <v>634</v>
      </c>
      <c r="BP12" s="223" t="s">
        <v>663</v>
      </c>
      <c r="BQ12" s="223" t="s">
        <v>715</v>
      </c>
      <c r="BR12" s="223" t="s">
        <v>663</v>
      </c>
      <c r="BS12" s="223" t="s">
        <v>715</v>
      </c>
      <c r="BT12" s="426" t="s">
        <v>683</v>
      </c>
      <c r="BU12" s="426" t="s">
        <v>683</v>
      </c>
      <c r="BV12" s="223" t="s">
        <v>521</v>
      </c>
      <c r="BW12" s="296"/>
      <c r="BX12" s="223" t="s">
        <v>705</v>
      </c>
      <c r="BY12" s="223" t="s">
        <v>706</v>
      </c>
      <c r="BZ12" s="223" t="s">
        <v>707</v>
      </c>
      <c r="CA12" s="223" t="s">
        <v>708</v>
      </c>
      <c r="CB12" s="223" t="s">
        <v>596</v>
      </c>
      <c r="CC12" s="223" t="s">
        <v>703</v>
      </c>
      <c r="CD12" s="223" t="s">
        <v>703</v>
      </c>
      <c r="CE12" s="223"/>
      <c r="CF12" s="223">
        <v>2024</v>
      </c>
      <c r="CG12" s="223">
        <v>2025</v>
      </c>
      <c r="CH12" s="223">
        <v>2026</v>
      </c>
      <c r="CI12" s="223">
        <v>2027</v>
      </c>
      <c r="CJ12" s="223">
        <v>2024</v>
      </c>
      <c r="CK12" s="223">
        <v>2025</v>
      </c>
      <c r="CL12" s="223">
        <v>2026</v>
      </c>
      <c r="CM12" s="223">
        <v>2027</v>
      </c>
      <c r="CN12" s="296"/>
      <c r="CO12" s="426">
        <v>2022</v>
      </c>
      <c r="CP12" s="426">
        <v>2022</v>
      </c>
      <c r="CQ12" s="426">
        <v>2022</v>
      </c>
      <c r="CR12" s="432" t="s">
        <v>735</v>
      </c>
      <c r="CS12" s="432" t="s">
        <v>735</v>
      </c>
      <c r="CT12" s="432"/>
      <c r="CU12" s="432"/>
      <c r="CV12" s="432"/>
      <c r="CW12" s="432" t="s">
        <v>488</v>
      </c>
      <c r="CX12" s="432"/>
      <c r="CY12" s="432" t="s">
        <v>743</v>
      </c>
      <c r="DA12" s="521">
        <v>2022</v>
      </c>
      <c r="DB12" s="521">
        <v>2022</v>
      </c>
      <c r="DF12" s="474"/>
      <c r="DH12" s="440"/>
      <c r="DI12" s="440"/>
      <c r="DJ12" s="440"/>
      <c r="DS12" s="474"/>
      <c r="DU12" s="440"/>
      <c r="DV12" s="440"/>
      <c r="EA12" s="473"/>
      <c r="EB12" s="458"/>
      <c r="ED12" s="478" t="s">
        <v>636</v>
      </c>
      <c r="EE12" s="479"/>
      <c r="EF12" s="479"/>
      <c r="EG12" s="479"/>
      <c r="EH12" s="480"/>
    </row>
    <row r="13" spans="1:138" ht="15" x14ac:dyDescent="0.25">
      <c r="E13" s="119" t="s">
        <v>640</v>
      </c>
      <c r="G13" s="150"/>
      <c r="H13" s="150"/>
      <c r="I13" s="151"/>
      <c r="J13" s="151"/>
      <c r="K13" s="150"/>
      <c r="S13" s="119" t="s">
        <v>556</v>
      </c>
      <c r="U13" s="150"/>
      <c r="V13" s="150"/>
      <c r="X13" s="150"/>
      <c r="AB13" s="148" t="s">
        <v>614</v>
      </c>
      <c r="AC13" s="69"/>
      <c r="AE13" s="152" t="s">
        <v>619</v>
      </c>
      <c r="AF13" s="153"/>
      <c r="AG13" s="153"/>
      <c r="AH13" s="154"/>
      <c r="AI13" s="291" t="s">
        <v>469</v>
      </c>
      <c r="AK13" s="223" t="s">
        <v>521</v>
      </c>
      <c r="AL13" s="223" t="s">
        <v>521</v>
      </c>
      <c r="AM13" s="223" t="s">
        <v>521</v>
      </c>
      <c r="AN13" s="223" t="s">
        <v>521</v>
      </c>
      <c r="AO13" s="223" t="s">
        <v>544</v>
      </c>
      <c r="AP13" s="223" t="s">
        <v>544</v>
      </c>
      <c r="AQ13" s="223" t="s">
        <v>544</v>
      </c>
      <c r="AR13" s="223" t="s">
        <v>544</v>
      </c>
      <c r="AS13" s="223" t="s">
        <v>544</v>
      </c>
      <c r="AT13" s="223" t="s">
        <v>536</v>
      </c>
      <c r="AU13" s="223" t="s">
        <v>536</v>
      </c>
      <c r="AV13" s="223" t="s">
        <v>536</v>
      </c>
      <c r="AW13" s="223" t="s">
        <v>536</v>
      </c>
      <c r="AX13" s="223" t="s">
        <v>566</v>
      </c>
      <c r="AY13" s="223" t="s">
        <v>601</v>
      </c>
      <c r="AZ13" s="223" t="s">
        <v>612</v>
      </c>
      <c r="BA13" s="296"/>
      <c r="BB13" s="223" t="s">
        <v>628</v>
      </c>
      <c r="BC13" s="223">
        <v>2022</v>
      </c>
      <c r="BD13" s="223"/>
      <c r="BE13" s="223">
        <v>2024</v>
      </c>
      <c r="BF13" s="223">
        <v>2025</v>
      </c>
      <c r="BG13" s="223">
        <v>2026</v>
      </c>
      <c r="BH13" s="223">
        <v>2027</v>
      </c>
      <c r="BI13" s="223">
        <v>2023</v>
      </c>
      <c r="BJ13" s="223">
        <v>2024</v>
      </c>
      <c r="BK13" s="223">
        <v>2025</v>
      </c>
      <c r="BL13" s="223">
        <v>2026</v>
      </c>
      <c r="BM13" s="223">
        <v>2027</v>
      </c>
      <c r="BN13" s="296"/>
      <c r="BO13" s="223" t="s">
        <v>496</v>
      </c>
      <c r="BP13" s="223" t="s">
        <v>666</v>
      </c>
      <c r="BQ13" s="223" t="s">
        <v>666</v>
      </c>
      <c r="BR13" s="223" t="s">
        <v>667</v>
      </c>
      <c r="BS13" s="223" t="s">
        <v>667</v>
      </c>
      <c r="BT13" s="426" t="s">
        <v>684</v>
      </c>
      <c r="BU13" s="426" t="s">
        <v>687</v>
      </c>
      <c r="BV13" s="223" t="s">
        <v>700</v>
      </c>
      <c r="BW13" s="296"/>
      <c r="BX13" s="223" t="s">
        <v>702</v>
      </c>
      <c r="BY13" s="223" t="s">
        <v>702</v>
      </c>
      <c r="BZ13" s="223" t="s">
        <v>702</v>
      </c>
      <c r="CA13" s="223" t="s">
        <v>702</v>
      </c>
      <c r="CB13" s="223" t="s">
        <v>728</v>
      </c>
      <c r="CC13" s="223"/>
      <c r="CD13" s="223"/>
      <c r="CE13" s="223"/>
      <c r="CF13" s="223"/>
      <c r="CG13" s="223"/>
      <c r="CH13" s="223"/>
      <c r="CI13" s="223"/>
      <c r="CJ13" s="223"/>
      <c r="CN13" s="296"/>
      <c r="CO13" s="429" t="s">
        <v>731</v>
      </c>
      <c r="CP13" s="429" t="s">
        <v>731</v>
      </c>
      <c r="CQ13" s="429" t="s">
        <v>732</v>
      </c>
      <c r="CR13" s="431">
        <v>2022</v>
      </c>
      <c r="CS13" s="431">
        <v>2022</v>
      </c>
      <c r="CT13" s="431">
        <v>2022</v>
      </c>
      <c r="CU13" s="431">
        <v>2022</v>
      </c>
      <c r="CV13" s="431">
        <v>2022</v>
      </c>
      <c r="CW13" s="431">
        <v>2022</v>
      </c>
      <c r="CX13" s="431">
        <v>2022</v>
      </c>
      <c r="CY13" s="431" t="s">
        <v>744</v>
      </c>
      <c r="DA13" s="522" t="s">
        <v>772</v>
      </c>
      <c r="DB13" s="522" t="s">
        <v>772</v>
      </c>
      <c r="DE13" s="481" t="s">
        <v>640</v>
      </c>
      <c r="DG13" s="482"/>
      <c r="DH13" s="482"/>
      <c r="DI13" s="483"/>
      <c r="DJ13" s="483"/>
      <c r="DK13" s="482"/>
      <c r="DR13" s="481" t="s">
        <v>556</v>
      </c>
      <c r="DT13" s="482"/>
      <c r="DU13" s="482"/>
      <c r="DW13" s="482"/>
      <c r="EA13" s="484" t="s">
        <v>614</v>
      </c>
      <c r="EB13" s="458"/>
      <c r="ED13" s="441" t="s">
        <v>619</v>
      </c>
      <c r="EE13" s="309"/>
      <c r="EF13" s="309"/>
      <c r="EG13" s="461"/>
      <c r="EH13" s="485" t="s">
        <v>469</v>
      </c>
    </row>
    <row r="14" spans="1:138" x14ac:dyDescent="0.2">
      <c r="D14" s="67"/>
      <c r="E14" s="79" t="s">
        <v>523</v>
      </c>
      <c r="F14" s="80" t="s">
        <v>122</v>
      </c>
      <c r="G14" s="80" t="s">
        <v>472</v>
      </c>
      <c r="H14" s="80" t="s">
        <v>430</v>
      </c>
      <c r="I14" s="80" t="s">
        <v>473</v>
      </c>
      <c r="J14" s="223" t="s">
        <v>612</v>
      </c>
      <c r="K14" s="80" t="s">
        <v>524</v>
      </c>
      <c r="L14" s="80" t="s">
        <v>473</v>
      </c>
      <c r="M14" s="80" t="s">
        <v>474</v>
      </c>
      <c r="N14" s="80" t="s">
        <v>475</v>
      </c>
      <c r="O14" s="80" t="s">
        <v>748</v>
      </c>
      <c r="P14" s="155" t="s">
        <v>101</v>
      </c>
      <c r="Q14" s="156" t="s">
        <v>101</v>
      </c>
      <c r="R14" s="120"/>
      <c r="S14" s="79" t="s">
        <v>470</v>
      </c>
      <c r="T14" s="80" t="s">
        <v>471</v>
      </c>
      <c r="U14" s="80" t="s">
        <v>430</v>
      </c>
      <c r="V14" s="80" t="s">
        <v>473</v>
      </c>
      <c r="W14" s="223" t="s">
        <v>612</v>
      </c>
      <c r="X14" s="80" t="s">
        <v>525</v>
      </c>
      <c r="Y14" s="157" t="s">
        <v>526</v>
      </c>
      <c r="Z14" s="158" t="s">
        <v>526</v>
      </c>
      <c r="AA14" s="120"/>
      <c r="AB14" s="121" t="s">
        <v>557</v>
      </c>
      <c r="AC14" s="122" t="s">
        <v>557</v>
      </c>
      <c r="AE14" s="159" t="s">
        <v>476</v>
      </c>
      <c r="AF14" s="160" t="s">
        <v>477</v>
      </c>
      <c r="AG14" s="160" t="s">
        <v>478</v>
      </c>
      <c r="AH14" s="160" t="s">
        <v>479</v>
      </c>
      <c r="AI14" s="161" t="s">
        <v>480</v>
      </c>
      <c r="AK14" s="223" t="s">
        <v>550</v>
      </c>
      <c r="AL14" s="223" t="s">
        <v>141</v>
      </c>
      <c r="AM14" s="223" t="s">
        <v>585</v>
      </c>
      <c r="AN14" s="223" t="s">
        <v>140</v>
      </c>
      <c r="AO14" s="223" t="s">
        <v>545</v>
      </c>
      <c r="AP14" s="223" t="s">
        <v>564</v>
      </c>
      <c r="AQ14" s="223" t="s">
        <v>615</v>
      </c>
      <c r="AR14" s="223" t="s">
        <v>616</v>
      </c>
      <c r="AS14" s="223" t="s">
        <v>617</v>
      </c>
      <c r="AT14" s="223" t="s">
        <v>663</v>
      </c>
      <c r="AU14" s="223" t="s">
        <v>663</v>
      </c>
      <c r="AV14" s="223" t="s">
        <v>663</v>
      </c>
      <c r="AW14" s="223" t="s">
        <v>663</v>
      </c>
      <c r="AX14" s="223" t="s">
        <v>473</v>
      </c>
      <c r="AY14" s="223" t="s">
        <v>559</v>
      </c>
      <c r="AZ14" s="223" t="s">
        <v>618</v>
      </c>
      <c r="BA14" s="296"/>
      <c r="BB14" s="223" t="s">
        <v>629</v>
      </c>
      <c r="BC14" s="223"/>
      <c r="BD14" s="223"/>
      <c r="BE14" s="223"/>
      <c r="BF14" s="223"/>
      <c r="BG14" s="223"/>
      <c r="BH14" s="223"/>
      <c r="BN14" s="296"/>
      <c r="BO14" s="223" t="s">
        <v>661</v>
      </c>
      <c r="BP14" s="223" t="s">
        <v>664</v>
      </c>
      <c r="BQ14" s="223" t="s">
        <v>664</v>
      </c>
      <c r="BR14" s="223" t="s">
        <v>664</v>
      </c>
      <c r="BS14" s="223" t="s">
        <v>664</v>
      </c>
      <c r="BT14" s="426" t="s">
        <v>685</v>
      </c>
      <c r="BU14" s="426" t="s">
        <v>685</v>
      </c>
      <c r="BV14" s="223"/>
      <c r="BW14" s="296"/>
      <c r="BX14" s="223"/>
      <c r="BY14" s="223"/>
      <c r="BZ14" s="223"/>
      <c r="CA14" s="223"/>
      <c r="CB14" s="223"/>
      <c r="CC14" s="223" t="s">
        <v>491</v>
      </c>
      <c r="CD14" s="223" t="s">
        <v>491</v>
      </c>
      <c r="CE14" s="223" t="s">
        <v>491</v>
      </c>
      <c r="CF14" s="223" t="s">
        <v>491</v>
      </c>
      <c r="CG14" s="223" t="s">
        <v>491</v>
      </c>
      <c r="CH14" s="223" t="s">
        <v>491</v>
      </c>
      <c r="CI14" s="223" t="s">
        <v>491</v>
      </c>
      <c r="CJ14" s="223">
        <v>1000</v>
      </c>
      <c r="CK14" s="223">
        <v>1000</v>
      </c>
      <c r="CL14" s="223">
        <v>1000</v>
      </c>
      <c r="CM14" s="223">
        <v>1000</v>
      </c>
      <c r="CN14" s="296"/>
      <c r="CO14" s="427"/>
      <c r="CP14" s="427"/>
      <c r="CQ14" s="427"/>
      <c r="CR14" s="433" t="s">
        <v>732</v>
      </c>
      <c r="CS14" s="433" t="s">
        <v>732</v>
      </c>
      <c r="CT14" s="433" t="s">
        <v>732</v>
      </c>
      <c r="CU14" s="433" t="s">
        <v>732</v>
      </c>
      <c r="CV14" s="433" t="s">
        <v>732</v>
      </c>
      <c r="CW14" s="433" t="s">
        <v>732</v>
      </c>
      <c r="CX14" s="433" t="s">
        <v>732</v>
      </c>
      <c r="CY14" s="433" t="s">
        <v>732</v>
      </c>
      <c r="DA14" s="523"/>
      <c r="DB14" s="523"/>
      <c r="DD14" s="440"/>
      <c r="DE14" s="442" t="s">
        <v>523</v>
      </c>
      <c r="DF14" s="443" t="s">
        <v>122</v>
      </c>
      <c r="DG14" s="443" t="s">
        <v>472</v>
      </c>
      <c r="DH14" s="443" t="s">
        <v>430</v>
      </c>
      <c r="DI14" s="443" t="s">
        <v>473</v>
      </c>
      <c r="DJ14" s="444" t="s">
        <v>612</v>
      </c>
      <c r="DK14" s="443" t="s">
        <v>524</v>
      </c>
      <c r="DL14" s="443" t="s">
        <v>473</v>
      </c>
      <c r="DM14" s="443" t="s">
        <v>474</v>
      </c>
      <c r="DN14" s="443" t="s">
        <v>475</v>
      </c>
      <c r="DO14" s="445" t="s">
        <v>101</v>
      </c>
      <c r="DP14" s="446" t="s">
        <v>101</v>
      </c>
      <c r="DQ14" s="440"/>
      <c r="DR14" s="442" t="s">
        <v>470</v>
      </c>
      <c r="DS14" s="443" t="s">
        <v>471</v>
      </c>
      <c r="DT14" s="443" t="s">
        <v>430</v>
      </c>
      <c r="DU14" s="443" t="s">
        <v>473</v>
      </c>
      <c r="DV14" s="444" t="s">
        <v>612</v>
      </c>
      <c r="DW14" s="443" t="s">
        <v>525</v>
      </c>
      <c r="DX14" s="442" t="s">
        <v>526</v>
      </c>
      <c r="DY14" s="447" t="s">
        <v>526</v>
      </c>
      <c r="DZ14" s="440"/>
      <c r="EA14" s="442" t="s">
        <v>557</v>
      </c>
      <c r="EB14" s="447" t="s">
        <v>557</v>
      </c>
      <c r="ED14" s="448" t="s">
        <v>476</v>
      </c>
      <c r="EE14" s="486" t="s">
        <v>477</v>
      </c>
      <c r="EF14" s="486" t="s">
        <v>478</v>
      </c>
      <c r="EG14" s="486" t="s">
        <v>479</v>
      </c>
      <c r="EH14" s="487" t="s">
        <v>480</v>
      </c>
    </row>
    <row r="15" spans="1:138" x14ac:dyDescent="0.2">
      <c r="C15" s="67" t="s">
        <v>638</v>
      </c>
      <c r="D15" s="67" t="s">
        <v>481</v>
      </c>
      <c r="E15" s="79" t="s">
        <v>527</v>
      </c>
      <c r="F15" s="80" t="s">
        <v>483</v>
      </c>
      <c r="G15" s="80" t="s">
        <v>483</v>
      </c>
      <c r="H15" s="80"/>
      <c r="I15" s="80" t="s">
        <v>484</v>
      </c>
      <c r="J15" s="223" t="s">
        <v>613</v>
      </c>
      <c r="K15" s="80" t="s">
        <v>485</v>
      </c>
      <c r="L15" s="80" t="s">
        <v>639</v>
      </c>
      <c r="M15" s="80" t="s">
        <v>635</v>
      </c>
      <c r="N15" s="80" t="s">
        <v>486</v>
      </c>
      <c r="O15" s="80"/>
      <c r="P15" s="155" t="s">
        <v>558</v>
      </c>
      <c r="Q15" s="156" t="s">
        <v>558</v>
      </c>
      <c r="R15" s="120"/>
      <c r="S15" s="79" t="s">
        <v>528</v>
      </c>
      <c r="T15" s="80" t="s">
        <v>482</v>
      </c>
      <c r="U15" s="80"/>
      <c r="V15" s="80" t="s">
        <v>484</v>
      </c>
      <c r="W15" s="223" t="s">
        <v>613</v>
      </c>
      <c r="X15" s="80" t="s">
        <v>529</v>
      </c>
      <c r="Y15" s="155" t="s">
        <v>558</v>
      </c>
      <c r="Z15" s="156" t="s">
        <v>558</v>
      </c>
      <c r="AA15" s="120"/>
      <c r="AB15" s="121" t="s">
        <v>559</v>
      </c>
      <c r="AC15" s="122" t="s">
        <v>559</v>
      </c>
      <c r="AE15" s="162" t="s">
        <v>487</v>
      </c>
      <c r="AF15" s="163" t="s">
        <v>487</v>
      </c>
      <c r="AG15" s="163" t="s">
        <v>487</v>
      </c>
      <c r="AH15" s="163" t="s">
        <v>487</v>
      </c>
      <c r="AI15" s="164" t="s">
        <v>487</v>
      </c>
      <c r="AK15" s="224" t="s">
        <v>563</v>
      </c>
      <c r="AL15" s="224" t="s">
        <v>563</v>
      </c>
      <c r="AM15" s="224" t="s">
        <v>563</v>
      </c>
      <c r="AN15" s="224" t="s">
        <v>563</v>
      </c>
      <c r="AO15" s="224" t="s">
        <v>563</v>
      </c>
      <c r="AP15" s="224" t="s">
        <v>563</v>
      </c>
      <c r="AQ15" s="224" t="s">
        <v>563</v>
      </c>
      <c r="AR15" s="224" t="s">
        <v>563</v>
      </c>
      <c r="AS15" s="224" t="s">
        <v>563</v>
      </c>
      <c r="AT15" s="224">
        <v>1000</v>
      </c>
      <c r="AU15" s="224">
        <v>1000</v>
      </c>
      <c r="AV15" s="224">
        <v>1000</v>
      </c>
      <c r="AW15" s="224">
        <v>1000</v>
      </c>
      <c r="AX15" s="224" t="s">
        <v>598</v>
      </c>
      <c r="AY15" s="224" t="s">
        <v>621</v>
      </c>
      <c r="AZ15" s="224" t="s">
        <v>563</v>
      </c>
      <c r="BA15" s="297"/>
      <c r="BB15" s="224" t="s">
        <v>630</v>
      </c>
      <c r="BC15" s="224"/>
      <c r="BD15" s="224"/>
      <c r="BE15" s="224"/>
      <c r="BF15" s="224"/>
      <c r="BG15" s="224"/>
      <c r="BH15" s="224"/>
      <c r="BN15" s="297"/>
      <c r="BO15" s="223" t="s">
        <v>662</v>
      </c>
      <c r="BP15" s="223" t="s">
        <v>665</v>
      </c>
      <c r="BQ15" s="223" t="s">
        <v>665</v>
      </c>
      <c r="BR15" s="223" t="s">
        <v>665</v>
      </c>
      <c r="BS15" s="223" t="s">
        <v>665</v>
      </c>
      <c r="BT15" s="426" t="s">
        <v>686</v>
      </c>
      <c r="BU15" s="426" t="s">
        <v>686</v>
      </c>
      <c r="BV15" s="223"/>
      <c r="BW15" s="296"/>
      <c r="BX15" s="223"/>
      <c r="BY15" s="223"/>
      <c r="BZ15" s="223"/>
      <c r="CA15" s="223"/>
      <c r="CB15" s="223"/>
      <c r="CC15" s="223"/>
      <c r="CF15" s="223"/>
      <c r="CG15" s="223"/>
      <c r="CH15" s="223"/>
      <c r="CI15" s="223"/>
      <c r="CJ15" s="223"/>
      <c r="CN15" s="296"/>
      <c r="CO15" s="427"/>
      <c r="CP15" s="427"/>
      <c r="CQ15" s="427"/>
      <c r="CR15" s="431" t="s">
        <v>736</v>
      </c>
      <c r="CS15" s="431" t="s">
        <v>737</v>
      </c>
      <c r="CT15" s="431" t="s">
        <v>736</v>
      </c>
      <c r="CU15" s="431" t="s">
        <v>737</v>
      </c>
      <c r="CV15" s="427"/>
      <c r="CW15" s="427"/>
      <c r="CX15" s="427"/>
      <c r="CY15" s="427"/>
      <c r="DA15" s="523"/>
      <c r="DB15" s="523"/>
      <c r="DD15" s="440" t="s">
        <v>481</v>
      </c>
      <c r="DE15" s="442" t="s">
        <v>527</v>
      </c>
      <c r="DF15" s="443" t="s">
        <v>483</v>
      </c>
      <c r="DG15" s="443" t="s">
        <v>483</v>
      </c>
      <c r="DH15" s="443"/>
      <c r="DI15" s="443" t="s">
        <v>484</v>
      </c>
      <c r="DJ15" s="444" t="s">
        <v>613</v>
      </c>
      <c r="DK15" s="443" t="s">
        <v>485</v>
      </c>
      <c r="DL15" s="443" t="s">
        <v>639</v>
      </c>
      <c r="DM15" s="443" t="s">
        <v>635</v>
      </c>
      <c r="DN15" s="443" t="s">
        <v>486</v>
      </c>
      <c r="DO15" s="445" t="s">
        <v>558</v>
      </c>
      <c r="DP15" s="446" t="s">
        <v>558</v>
      </c>
      <c r="DQ15" s="440"/>
      <c r="DR15" s="442" t="s">
        <v>528</v>
      </c>
      <c r="DS15" s="443" t="s">
        <v>482</v>
      </c>
      <c r="DT15" s="443"/>
      <c r="DU15" s="443" t="s">
        <v>484</v>
      </c>
      <c r="DV15" s="444" t="s">
        <v>613</v>
      </c>
      <c r="DW15" s="443" t="s">
        <v>529</v>
      </c>
      <c r="DX15" s="445" t="s">
        <v>558</v>
      </c>
      <c r="DY15" s="446" t="s">
        <v>558</v>
      </c>
      <c r="DZ15" s="440"/>
      <c r="EA15" s="442" t="s">
        <v>559</v>
      </c>
      <c r="EB15" s="447" t="s">
        <v>559</v>
      </c>
      <c r="ED15" s="442" t="s">
        <v>487</v>
      </c>
      <c r="EE15" s="443" t="s">
        <v>487</v>
      </c>
      <c r="EF15" s="443" t="s">
        <v>487</v>
      </c>
      <c r="EG15" s="443" t="s">
        <v>487</v>
      </c>
      <c r="EH15" s="447" t="s">
        <v>487</v>
      </c>
    </row>
    <row r="16" spans="1:138" x14ac:dyDescent="0.2">
      <c r="D16" s="321" t="s">
        <v>742</v>
      </c>
      <c r="E16" s="322" t="s">
        <v>530</v>
      </c>
      <c r="F16" s="323"/>
      <c r="G16" s="324"/>
      <c r="H16" s="324"/>
      <c r="I16" s="324"/>
      <c r="J16" s="325" t="s">
        <v>484</v>
      </c>
      <c r="K16" s="323" t="s">
        <v>531</v>
      </c>
      <c r="L16" s="323"/>
      <c r="M16" s="323"/>
      <c r="N16" s="326" t="s">
        <v>488</v>
      </c>
      <c r="O16" s="326"/>
      <c r="P16" s="155"/>
      <c r="Q16" s="156"/>
      <c r="R16" s="120"/>
      <c r="S16" s="327"/>
      <c r="T16" s="324" t="s">
        <v>532</v>
      </c>
      <c r="U16" s="324"/>
      <c r="V16" s="324"/>
      <c r="W16" s="325" t="s">
        <v>484</v>
      </c>
      <c r="X16" s="326" t="s">
        <v>533</v>
      </c>
      <c r="Y16" s="155"/>
      <c r="Z16" s="156"/>
      <c r="AA16" s="120"/>
      <c r="AB16" s="165" t="s">
        <v>560</v>
      </c>
      <c r="AC16" s="122"/>
      <c r="AE16" s="162" t="s">
        <v>124</v>
      </c>
      <c r="AF16" s="163" t="s">
        <v>124</v>
      </c>
      <c r="AG16" s="163" t="s">
        <v>124</v>
      </c>
      <c r="AH16" s="163" t="s">
        <v>124</v>
      </c>
      <c r="AI16" s="164" t="s">
        <v>124</v>
      </c>
      <c r="AN16" s="67" t="s">
        <v>588</v>
      </c>
      <c r="AT16" s="30"/>
      <c r="AU16" s="30"/>
      <c r="AV16" s="30"/>
      <c r="AW16" s="3"/>
      <c r="AX16" s="293" t="s">
        <v>622</v>
      </c>
      <c r="AY16" s="293" t="s">
        <v>622</v>
      </c>
      <c r="BB16" s="223" t="s">
        <v>491</v>
      </c>
      <c r="BC16" s="223" t="s">
        <v>491</v>
      </c>
      <c r="BD16" s="223" t="s">
        <v>491</v>
      </c>
      <c r="BE16" s="223" t="s">
        <v>491</v>
      </c>
      <c r="BF16" s="223" t="s">
        <v>491</v>
      </c>
      <c r="BG16" s="223" t="s">
        <v>491</v>
      </c>
      <c r="BH16" s="223" t="s">
        <v>491</v>
      </c>
      <c r="BI16" s="223" t="s">
        <v>491</v>
      </c>
      <c r="BJ16" s="223" t="s">
        <v>491</v>
      </c>
      <c r="BK16" s="223" t="s">
        <v>491</v>
      </c>
      <c r="BL16" s="223" t="s">
        <v>491</v>
      </c>
      <c r="BM16" s="223" t="s">
        <v>491</v>
      </c>
      <c r="BO16" s="223" t="s">
        <v>563</v>
      </c>
      <c r="BP16" s="223" t="s">
        <v>563</v>
      </c>
      <c r="BQ16" s="223" t="s">
        <v>563</v>
      </c>
      <c r="BR16" s="223" t="s">
        <v>563</v>
      </c>
      <c r="BS16" s="223" t="s">
        <v>563</v>
      </c>
      <c r="BT16" s="426"/>
      <c r="BU16" s="426"/>
      <c r="BV16" s="223"/>
      <c r="BW16" s="296"/>
      <c r="BX16" s="223"/>
      <c r="BY16" s="223"/>
      <c r="BZ16" s="223"/>
      <c r="CA16" s="223"/>
      <c r="CB16" s="223"/>
      <c r="CC16" s="223"/>
      <c r="CF16" s="223"/>
      <c r="CG16" s="223"/>
      <c r="CH16" s="223"/>
      <c r="CI16" s="223"/>
      <c r="CJ16" s="223"/>
      <c r="CN16" s="296"/>
      <c r="CO16" s="427"/>
      <c r="CP16" s="427"/>
      <c r="CQ16" s="427"/>
      <c r="CR16" s="427"/>
      <c r="CS16" s="427"/>
      <c r="CT16" s="427"/>
      <c r="CU16" s="427"/>
      <c r="CV16" s="427"/>
      <c r="CW16" s="427"/>
      <c r="CX16" s="427"/>
      <c r="CY16" s="427"/>
      <c r="DA16" s="523"/>
      <c r="DB16" s="523"/>
      <c r="DD16" s="440" t="s">
        <v>650</v>
      </c>
      <c r="DE16" s="442" t="s">
        <v>530</v>
      </c>
      <c r="DF16" s="449"/>
      <c r="DG16" s="440"/>
      <c r="DH16" s="440"/>
      <c r="DI16" s="440"/>
      <c r="DJ16" s="444" t="s">
        <v>484</v>
      </c>
      <c r="DK16" s="449" t="s">
        <v>531</v>
      </c>
      <c r="DL16" s="449"/>
      <c r="DM16" s="449"/>
      <c r="DN16" s="443" t="s">
        <v>488</v>
      </c>
      <c r="DO16" s="445"/>
      <c r="DP16" s="446"/>
      <c r="DQ16" s="440"/>
      <c r="DR16" s="450"/>
      <c r="DS16" s="440" t="s">
        <v>532</v>
      </c>
      <c r="DT16" s="440"/>
      <c r="DU16" s="440"/>
      <c r="DV16" s="444" t="s">
        <v>484</v>
      </c>
      <c r="DW16" s="443" t="s">
        <v>533</v>
      </c>
      <c r="DX16" s="445"/>
      <c r="DY16" s="446"/>
      <c r="DZ16" s="440"/>
      <c r="EA16" s="451" t="s">
        <v>560</v>
      </c>
      <c r="EB16" s="447"/>
      <c r="ED16" s="442" t="s">
        <v>124</v>
      </c>
      <c r="EE16" s="443" t="s">
        <v>124</v>
      </c>
      <c r="EF16" s="443" t="s">
        <v>124</v>
      </c>
      <c r="EG16" s="443" t="s">
        <v>124</v>
      </c>
      <c r="EH16" s="447" t="s">
        <v>124</v>
      </c>
    </row>
    <row r="17" spans="1:138" x14ac:dyDescent="0.2">
      <c r="A17" s="67" t="s">
        <v>489</v>
      </c>
      <c r="B17" s="67" t="s">
        <v>490</v>
      </c>
      <c r="D17" s="67"/>
      <c r="E17" s="500" t="s">
        <v>611</v>
      </c>
      <c r="F17" s="68"/>
      <c r="G17" s="68"/>
      <c r="H17" s="68"/>
      <c r="I17" s="68"/>
      <c r="J17" s="287"/>
      <c r="K17" s="78" t="s">
        <v>534</v>
      </c>
      <c r="L17" s="68"/>
      <c r="M17" s="78"/>
      <c r="N17" s="78" t="s">
        <v>535</v>
      </c>
      <c r="O17" s="78"/>
      <c r="P17" s="155" t="s">
        <v>465</v>
      </c>
      <c r="Q17" s="156" t="s">
        <v>123</v>
      </c>
      <c r="R17" s="120"/>
      <c r="S17" s="81"/>
      <c r="T17" s="68"/>
      <c r="U17" s="68"/>
      <c r="V17" s="68"/>
      <c r="W17" s="68"/>
      <c r="X17" s="80"/>
      <c r="Y17" s="155" t="s">
        <v>465</v>
      </c>
      <c r="Z17" s="156" t="s">
        <v>123</v>
      </c>
      <c r="AA17" s="120"/>
      <c r="AB17" s="121" t="s">
        <v>465</v>
      </c>
      <c r="AC17" s="122" t="s">
        <v>491</v>
      </c>
      <c r="AE17" s="331" t="s">
        <v>652</v>
      </c>
      <c r="AF17" s="166" t="s">
        <v>653</v>
      </c>
      <c r="AG17" s="166" t="s">
        <v>654</v>
      </c>
      <c r="AH17" s="166" t="s">
        <v>655</v>
      </c>
      <c r="AI17" s="167" t="s">
        <v>656</v>
      </c>
      <c r="AT17" s="30"/>
      <c r="AU17" s="30"/>
      <c r="AV17" s="30"/>
      <c r="AW17" s="3"/>
      <c r="AX17" s="30"/>
      <c r="AY17" s="30"/>
      <c r="BT17" s="427"/>
      <c r="BU17" s="427"/>
      <c r="CE17" s="67"/>
      <c r="CO17" s="427"/>
      <c r="CP17" s="427"/>
      <c r="CQ17" s="427"/>
      <c r="CR17" s="427"/>
      <c r="CS17" s="427"/>
      <c r="CT17" s="427"/>
      <c r="CU17" s="427"/>
      <c r="CV17" s="427"/>
      <c r="CW17" s="427"/>
      <c r="CX17" s="427"/>
      <c r="CY17" s="427"/>
      <c r="DA17" s="523"/>
      <c r="DB17" s="523"/>
      <c r="DD17" s="440"/>
      <c r="DE17" s="452" t="s">
        <v>611</v>
      </c>
      <c r="DF17" s="440"/>
      <c r="DG17" s="440"/>
      <c r="DH17" s="440"/>
      <c r="DI17" s="440"/>
      <c r="DJ17" s="453"/>
      <c r="DK17" s="449" t="s">
        <v>534</v>
      </c>
      <c r="DL17" s="440"/>
      <c r="DM17" s="449"/>
      <c r="DN17" s="449" t="s">
        <v>535</v>
      </c>
      <c r="DO17" s="445" t="s">
        <v>465</v>
      </c>
      <c r="DP17" s="446" t="s">
        <v>123</v>
      </c>
      <c r="DQ17" s="440"/>
      <c r="DR17" s="450"/>
      <c r="DS17" s="440"/>
      <c r="DT17" s="440"/>
      <c r="DU17" s="440"/>
      <c r="DV17" s="440"/>
      <c r="DW17" s="443"/>
      <c r="DX17" s="445" t="s">
        <v>465</v>
      </c>
      <c r="DY17" s="446" t="s">
        <v>123</v>
      </c>
      <c r="DZ17" s="440"/>
      <c r="EA17" s="442" t="s">
        <v>465</v>
      </c>
      <c r="EB17" s="447" t="s">
        <v>491</v>
      </c>
      <c r="ED17" s="454" t="s">
        <v>652</v>
      </c>
      <c r="EE17" s="455" t="s">
        <v>653</v>
      </c>
      <c r="EF17" s="455" t="s">
        <v>654</v>
      </c>
      <c r="EG17" s="455" t="s">
        <v>655</v>
      </c>
      <c r="EH17" s="456" t="s">
        <v>656</v>
      </c>
    </row>
    <row r="18" spans="1:138" x14ac:dyDescent="0.2">
      <c r="A18" s="69"/>
      <c r="B18" s="69" t="s">
        <v>583</v>
      </c>
      <c r="C18" s="69"/>
      <c r="D18" s="69">
        <f t="shared" ref="D18:O18" si="0">SUM(D20:D313)</f>
        <v>5533611</v>
      </c>
      <c r="E18" s="506">
        <f>SUM(E20:E313)</f>
        <v>14939647875.229998</v>
      </c>
      <c r="F18" s="69">
        <f t="shared" si="0"/>
        <v>8149242076.898201</v>
      </c>
      <c r="G18" s="69">
        <f t="shared" si="0"/>
        <v>2045953156</v>
      </c>
      <c r="H18" s="69">
        <f t="shared" si="0"/>
        <v>1816149153.4591315</v>
      </c>
      <c r="I18" s="69">
        <f t="shared" si="0"/>
        <v>2617757333.0226002</v>
      </c>
      <c r="J18" s="69">
        <f t="shared" si="0"/>
        <v>832499999.99999952</v>
      </c>
      <c r="K18" s="69">
        <f t="shared" si="0"/>
        <v>-1.2163654901087284E-5</v>
      </c>
      <c r="L18" s="69">
        <f t="shared" si="0"/>
        <v>22351141</v>
      </c>
      <c r="M18" s="69">
        <f t="shared" si="0"/>
        <v>330002244.22000015</v>
      </c>
      <c r="N18" s="69">
        <f t="shared" si="0"/>
        <v>64000000.000000007</v>
      </c>
      <c r="O18" s="69">
        <f t="shared" si="0"/>
        <v>-161046708.52999878</v>
      </c>
      <c r="P18" s="168">
        <f>SUM(P20:P313)</f>
        <v>777260520.83991635</v>
      </c>
      <c r="Q18" s="169">
        <f>P18/D18</f>
        <v>140.46172035582487</v>
      </c>
      <c r="R18" s="69"/>
      <c r="S18" s="506">
        <f t="shared" ref="S18:Y18" si="1">SUM(S20:S313)</f>
        <v>36740149875.229996</v>
      </c>
      <c r="T18" s="69">
        <f t="shared" si="1"/>
        <v>21634157271.498184</v>
      </c>
      <c r="U18" s="69">
        <f t="shared" si="1"/>
        <v>2729585497.4591327</v>
      </c>
      <c r="V18" s="69">
        <f t="shared" si="1"/>
        <v>7955875003.0874109</v>
      </c>
      <c r="W18" s="69">
        <f t="shared" si="1"/>
        <v>2776499999.9999981</v>
      </c>
      <c r="X18" s="69">
        <f t="shared" si="1"/>
        <v>2398306541.2199988</v>
      </c>
      <c r="Y18" s="168">
        <f t="shared" si="1"/>
        <v>754274438.03472412</v>
      </c>
      <c r="Z18" s="169">
        <f>Y18/D18</f>
        <v>136.30781745133947</v>
      </c>
      <c r="AA18" s="69"/>
      <c r="AB18" s="77">
        <f>SUM(AB20:AB313)</f>
        <v>22986082.805191141</v>
      </c>
      <c r="AC18" s="123">
        <f>AB18/D18</f>
        <v>4.1539029044851796</v>
      </c>
      <c r="AE18" s="170"/>
      <c r="AF18" s="171"/>
      <c r="AG18" s="171"/>
      <c r="AH18" s="171"/>
      <c r="AI18" s="172"/>
      <c r="AK18" s="67">
        <f t="shared" ref="AK18:AZ18" si="2">SUM(AK20:AK313)</f>
        <v>13484915194.599979</v>
      </c>
      <c r="AL18" s="67">
        <f t="shared" si="2"/>
        <v>913436343.99999976</v>
      </c>
      <c r="AM18" s="67">
        <f t="shared" si="2"/>
        <v>5338117670.0648098</v>
      </c>
      <c r="AN18" s="67">
        <f t="shared" si="2"/>
        <v>21800501999.999996</v>
      </c>
      <c r="AO18" s="67">
        <f t="shared" si="2"/>
        <v>0</v>
      </c>
      <c r="AP18" s="67">
        <f t="shared" si="2"/>
        <v>1.7462298274040222E-9</v>
      </c>
      <c r="AQ18" s="67">
        <f t="shared" si="2"/>
        <v>-5.3551048040390015E-9</v>
      </c>
      <c r="AR18" s="67">
        <f t="shared" si="2"/>
        <v>-2.9685907065868378E-9</v>
      </c>
      <c r="AS18" s="67">
        <f t="shared" si="2"/>
        <v>-1.8015271052718163E-8</v>
      </c>
      <c r="AT18" s="68">
        <f t="shared" si="2"/>
        <v>2455007</v>
      </c>
      <c r="AU18" s="68">
        <f t="shared" si="2"/>
        <v>0</v>
      </c>
      <c r="AV18" s="68">
        <f t="shared" si="2"/>
        <v>0</v>
      </c>
      <c r="AW18" s="68">
        <f t="shared" si="2"/>
        <v>49527</v>
      </c>
      <c r="AX18" s="68">
        <f t="shared" si="2"/>
        <v>5361103.7528700009</v>
      </c>
      <c r="AY18" s="120">
        <f t="shared" si="2"/>
        <v>2.8558133635669947E-10</v>
      </c>
      <c r="AZ18" s="68">
        <f t="shared" si="2"/>
        <v>1944000.0000000002</v>
      </c>
      <c r="BA18" s="298"/>
      <c r="BB18" s="67">
        <f>(Tuloslaskelma!E21+Tuloslaskelma!E24+Tuloslaskelma!E30+Tuloslaskelma!E31+Tuloslaskelma!E32+Tuloslaskelma!E33+Tuloslaskelma!E35+Tuloslaskelma!E38-Tuloslaskelma!C22)/Tuloslaskelma!A76*1000</f>
        <v>-26.08685461986077</v>
      </c>
      <c r="BC18" s="67">
        <f>(Tuloslaskelma!B21+Tuloslaskelma!B24+Tuloslaskelma!B29+Tuloslaskelma!B38)/Tuloslaskelma!A76*1000</f>
        <v>-170.36291050265012</v>
      </c>
      <c r="BD18" s="67">
        <f>BB18-BC18</f>
        <v>144.27605588278936</v>
      </c>
      <c r="BE18" s="67"/>
      <c r="BF18" s="67"/>
      <c r="BG18" s="67"/>
      <c r="BH18" s="67"/>
      <c r="BI18" s="67">
        <f>VLOOKUP(linkki,alue5,29,FALSE)/VLOOKUP(linkki,alue5,3,FALSE)</f>
        <v>0</v>
      </c>
      <c r="BJ18" s="67">
        <f>(IF($BD$18&lt;-15,-$BD$18-15,IF($BD$18&gt;15,15-$BD$18,0)))-BJ24</f>
        <v>-129.27605588278936</v>
      </c>
      <c r="BK18" s="67">
        <f>(IF($BD$18&lt;-30,-$BD$18-30,IF($BD$18&gt;30,30-$BD$18,0)))-BK24</f>
        <v>-114.27605588278936</v>
      </c>
      <c r="BL18" s="67">
        <f>(IF($BD$18&lt;-45,-$BD$18-45,IF($BD$18&gt;45,45-$BD$18,0)))-BL24</f>
        <v>-99.276055882789365</v>
      </c>
      <c r="BM18" s="67">
        <f>(IF($BD$18&lt;-60,-$BD$18-60,IF($BD$18&gt;60,60-$BD$18,0)))-BM24</f>
        <v>-84.276055882789365</v>
      </c>
      <c r="BN18" s="298"/>
      <c r="BO18" s="67">
        <f>SUM(BO20:BO312)</f>
        <v>15088241657.300005</v>
      </c>
      <c r="BP18" s="67">
        <f>SUM(BP20:BP312)</f>
        <v>19911190244.660023</v>
      </c>
      <c r="BQ18" s="67">
        <f t="shared" ref="BQ18:BS18" si="3">SUM(BQ20:BQ312)</f>
        <v>21308619000</v>
      </c>
      <c r="BR18" s="67">
        <f t="shared" si="3"/>
        <v>457092369.63999999</v>
      </c>
      <c r="BS18" s="67">
        <f t="shared" si="3"/>
        <v>491883000</v>
      </c>
      <c r="BT18" s="427"/>
      <c r="BU18" s="427"/>
      <c r="CO18" s="430">
        <f>SUM(CO20:CO312)</f>
        <v>21634157.271498203</v>
      </c>
      <c r="CP18" s="430">
        <f>SUM(CP20:CP312)</f>
        <v>2729585.4974591336</v>
      </c>
      <c r="CQ18" s="430">
        <f t="shared" ref="CQ18:CY18" si="4">SUM(CQ20:CQ312)</f>
        <v>2045953.1560000009</v>
      </c>
      <c r="CR18" s="430">
        <f t="shared" si="4"/>
        <v>7955875003.0874109</v>
      </c>
      <c r="CS18" s="430">
        <f t="shared" si="4"/>
        <v>2617757333.0226002</v>
      </c>
      <c r="CT18" s="430">
        <f t="shared" si="4"/>
        <v>2776499999.9999981</v>
      </c>
      <c r="CU18" s="430">
        <f t="shared" si="4"/>
        <v>832499999.99999952</v>
      </c>
      <c r="CV18" s="430">
        <f t="shared" si="4"/>
        <v>22351141</v>
      </c>
      <c r="CW18" s="430">
        <f t="shared" si="4"/>
        <v>64000000.000000007</v>
      </c>
      <c r="CX18" s="430">
        <f t="shared" si="4"/>
        <v>330002244.22000015</v>
      </c>
      <c r="CY18" s="430">
        <f t="shared" si="4"/>
        <v>14939647875.229998</v>
      </c>
      <c r="DA18" s="524">
        <f>SUM(DA20:DA312)</f>
        <v>21704694.787820026</v>
      </c>
      <c r="DB18" s="524">
        <f>SUM(DB20:DB312)</f>
        <v>2708223.4589584838</v>
      </c>
      <c r="DD18" s="458">
        <f t="shared" ref="DD18" si="5">SUM(DD20:DD313)</f>
        <v>5517897</v>
      </c>
      <c r="DE18" s="457">
        <f>SUM(DE20:DE313)</f>
        <v>15088241657.300005</v>
      </c>
      <c r="DF18" s="458">
        <f t="shared" ref="DF18:DO18" si="6">SUM(DF20:DF313)</f>
        <v>8114343053.5958672</v>
      </c>
      <c r="DG18" s="458">
        <f t="shared" si="6"/>
        <v>2089148745.3658988</v>
      </c>
      <c r="DH18" s="458">
        <f t="shared" si="6"/>
        <v>1634000000.000001</v>
      </c>
      <c r="DI18" s="458">
        <f t="shared" si="6"/>
        <v>2609104821.6658745</v>
      </c>
      <c r="DJ18" s="458">
        <f t="shared" si="6"/>
        <v>832500000.00000048</v>
      </c>
      <c r="DK18" s="458">
        <f t="shared" si="6"/>
        <v>-3590914.7967728637</v>
      </c>
      <c r="DL18" s="458">
        <f t="shared" si="6"/>
        <v>2396556</v>
      </c>
      <c r="DM18" s="458">
        <f t="shared" si="6"/>
        <v>343265093.32000005</v>
      </c>
      <c r="DN18" s="458">
        <f t="shared" si="6"/>
        <v>62000000.000000015</v>
      </c>
      <c r="DO18" s="457">
        <f t="shared" si="6"/>
        <v>594925697.85085988</v>
      </c>
      <c r="DP18" s="459">
        <f>DO18/DD18</f>
        <v>107.8174706506591</v>
      </c>
      <c r="DQ18" s="458"/>
      <c r="DR18" s="457">
        <f t="shared" ref="DR18:DX18" si="7">SUM(DR20:DR313)</f>
        <v>36321822657.300003</v>
      </c>
      <c r="DS18" s="458">
        <f t="shared" si="7"/>
        <v>21284200836.235851</v>
      </c>
      <c r="DT18" s="458">
        <f t="shared" si="7"/>
        <v>2450999999.999999</v>
      </c>
      <c r="DU18" s="458">
        <f t="shared" si="7"/>
        <v>7947251138.7454538</v>
      </c>
      <c r="DV18" s="458">
        <f t="shared" si="7"/>
        <v>2776500000.0000019</v>
      </c>
      <c r="DW18" s="458">
        <f t="shared" si="7"/>
        <v>2434810394.6858997</v>
      </c>
      <c r="DX18" s="457">
        <f t="shared" si="7"/>
        <v>571939712.36720824</v>
      </c>
      <c r="DY18" s="459">
        <f>DX18/DD18</f>
        <v>103.65175579885022</v>
      </c>
      <c r="DZ18" s="458"/>
      <c r="EA18" s="457">
        <f>SUM(EA20:EA313)</f>
        <v>22985985.483651951</v>
      </c>
      <c r="EB18" s="459">
        <f>EA18/DD18</f>
        <v>4.1657148518089322</v>
      </c>
      <c r="ED18" s="457"/>
      <c r="EE18" s="488"/>
      <c r="EF18" s="488"/>
      <c r="EG18" s="488"/>
      <c r="EH18" s="489"/>
    </row>
    <row r="19" spans="1:138" x14ac:dyDescent="0.2">
      <c r="D19" s="67"/>
      <c r="E19" s="82"/>
      <c r="F19" s="67"/>
      <c r="G19" s="67"/>
      <c r="H19" s="67"/>
      <c r="I19" s="67"/>
      <c r="J19" s="67"/>
      <c r="K19" s="67"/>
      <c r="L19" s="67"/>
      <c r="M19" s="68"/>
      <c r="N19" s="68"/>
      <c r="O19" s="68"/>
      <c r="P19" s="168"/>
      <c r="Q19" s="169"/>
      <c r="R19" s="67"/>
      <c r="S19" s="82"/>
      <c r="T19" s="67"/>
      <c r="U19" s="67"/>
      <c r="V19" s="67"/>
      <c r="W19" s="67"/>
      <c r="X19" s="67"/>
      <c r="Y19" s="173"/>
      <c r="Z19" s="169"/>
      <c r="AA19" s="67"/>
      <c r="AB19" s="83"/>
      <c r="AC19" s="123"/>
      <c r="AE19" s="170"/>
      <c r="AF19" s="174"/>
      <c r="AG19" s="175"/>
      <c r="AH19" s="154"/>
      <c r="AI19" s="176"/>
      <c r="AT19" s="30"/>
      <c r="AU19" s="30"/>
      <c r="AV19" s="30"/>
      <c r="AW19" s="30"/>
      <c r="AX19" s="30"/>
      <c r="AY19" s="30"/>
      <c r="BI19" s="116"/>
      <c r="BJ19" s="116"/>
      <c r="BK19" s="116"/>
      <c r="BL19" s="116"/>
      <c r="BM19" s="116"/>
      <c r="BT19" s="427"/>
      <c r="BU19" s="427"/>
      <c r="CO19" s="427"/>
      <c r="CP19" s="427"/>
      <c r="CQ19" s="427"/>
      <c r="CR19" s="427"/>
      <c r="CS19" s="427"/>
      <c r="CT19" s="427"/>
      <c r="CU19" s="427"/>
      <c r="CV19" s="427"/>
      <c r="CW19" s="427"/>
      <c r="CX19" s="427"/>
      <c r="CY19" s="427"/>
      <c r="DA19" s="523"/>
      <c r="DB19" s="523"/>
      <c r="DD19" s="440"/>
      <c r="DE19" s="450"/>
      <c r="DF19" s="440"/>
      <c r="DG19" s="440"/>
      <c r="DH19" s="440"/>
      <c r="DI19" s="440"/>
      <c r="DJ19" s="440"/>
      <c r="DK19" s="440"/>
      <c r="DL19" s="440"/>
      <c r="DM19" s="440"/>
      <c r="DN19" s="440"/>
      <c r="DO19" s="457"/>
      <c r="DP19" s="459"/>
      <c r="DQ19" s="440"/>
      <c r="DR19" s="450"/>
      <c r="DS19" s="440"/>
      <c r="DT19" s="440"/>
      <c r="DU19" s="440"/>
      <c r="DV19" s="440"/>
      <c r="DW19" s="440"/>
      <c r="DX19" s="450"/>
      <c r="DY19" s="459"/>
      <c r="DZ19" s="440"/>
      <c r="EA19" s="450"/>
      <c r="EB19" s="459"/>
      <c r="ED19" s="457"/>
      <c r="EE19" s="490"/>
      <c r="EF19" s="491"/>
      <c r="EG19" s="461"/>
      <c r="EH19" s="492"/>
    </row>
    <row r="20" spans="1:138" x14ac:dyDescent="0.2">
      <c r="A20" s="67">
        <v>20</v>
      </c>
      <c r="B20" s="67" t="s">
        <v>125</v>
      </c>
      <c r="C20" s="67">
        <v>6</v>
      </c>
      <c r="D20" s="67">
        <v>16473</v>
      </c>
      <c r="E20" s="82">
        <v>41608758.283193789</v>
      </c>
      <c r="F20" s="67">
        <v>27173140.102300324</v>
      </c>
      <c r="G20" s="67">
        <v>3736621</v>
      </c>
      <c r="H20" s="67">
        <v>1613943.6470858764</v>
      </c>
      <c r="I20" s="67">
        <v>11379383.935948096</v>
      </c>
      <c r="J20" s="67">
        <v>2767297.0686411047</v>
      </c>
      <c r="K20" s="67">
        <v>-2450119.1668151841</v>
      </c>
      <c r="L20" s="67">
        <v>-2651158</v>
      </c>
      <c r="M20" s="68">
        <v>-68978.320000000007</v>
      </c>
      <c r="N20" s="68">
        <v>158319.01483168252</v>
      </c>
      <c r="O20" s="68">
        <v>-479419.75495109253</v>
      </c>
      <c r="P20" s="168">
        <f t="shared" ref="P20:P83" si="8">N20+M20+L20+K20+J20+I20+H20+G20+F20-E20+O20</f>
        <v>-429728.75615298294</v>
      </c>
      <c r="Q20" s="169">
        <f t="shared" ref="Q20:Q83" si="9">P20/D20</f>
        <v>-26.086854619861771</v>
      </c>
      <c r="R20" s="67"/>
      <c r="S20" s="82">
        <v>106887160.91000001</v>
      </c>
      <c r="T20" s="67">
        <v>61979103.95836588</v>
      </c>
      <c r="U20" s="67">
        <v>2425680.2721357765</v>
      </c>
      <c r="V20" s="67">
        <v>29430194.091806799</v>
      </c>
      <c r="W20" s="67">
        <v>9229309.6829814203</v>
      </c>
      <c r="X20" s="67">
        <v>1016484.6799999999</v>
      </c>
      <c r="Y20" s="168">
        <f t="shared" ref="Y20:Y83" si="10">X20+W20+V20+U20+T20-S20</f>
        <v>-2806388.2247101218</v>
      </c>
      <c r="Z20" s="169">
        <f t="shared" ref="Z20:Z83" si="11">Y20/D20</f>
        <v>-170.36291050264808</v>
      </c>
      <c r="AA20" s="67"/>
      <c r="AB20" s="77">
        <f t="shared" ref="AB20:AB83" si="12">P20-Y20</f>
        <v>2376659.4685571389</v>
      </c>
      <c r="AC20" s="123">
        <f t="shared" ref="AC20:AC83" si="13">AB20/D20</f>
        <v>144.27605588278632</v>
      </c>
      <c r="AE20" s="170"/>
      <c r="AF20" s="177">
        <v>-2110651.3724252079</v>
      </c>
      <c r="AG20" s="177">
        <v>-1906480.5065659976</v>
      </c>
      <c r="AH20" s="177">
        <v>-1684473.8544504375</v>
      </c>
      <c r="AI20" s="178">
        <v>-1465835.4047793632</v>
      </c>
      <c r="AK20" s="67">
        <f t="shared" ref="AK20:AK83" si="14">T20-F20</f>
        <v>34805963.856065556</v>
      </c>
      <c r="AL20" s="67">
        <f t="shared" ref="AL20:AL83" si="15">U20-H20</f>
        <v>811736.62504990003</v>
      </c>
      <c r="AM20" s="67">
        <f t="shared" ref="AM20:AM83" si="16">V20-I20</f>
        <v>18050810.155858703</v>
      </c>
      <c r="AN20" s="67">
        <f t="shared" ref="AN20:AN83" si="17">S20-E20</f>
        <v>65278402.626806222</v>
      </c>
      <c r="AO20" s="67">
        <f t="shared" ref="AO20:AO83" si="18">AE20</f>
        <v>0</v>
      </c>
      <c r="AP20" s="67">
        <f t="shared" ref="AP20:AP83" si="19">AF20</f>
        <v>-2110651.3724252079</v>
      </c>
      <c r="AQ20" s="67">
        <f t="shared" ref="AQ20:AQ83" si="20">AG20</f>
        <v>-1906480.5065659976</v>
      </c>
      <c r="AR20" s="67">
        <f t="shared" ref="AR20:AR83" si="21">AH20</f>
        <v>-1684473.8544504375</v>
      </c>
      <c r="AS20" s="67">
        <f t="shared" ref="AS20:AS83" si="22">AI20</f>
        <v>-1465835.4047793632</v>
      </c>
      <c r="AT20" s="68">
        <v>4347</v>
      </c>
      <c r="AU20" s="68"/>
      <c r="AV20" s="68"/>
      <c r="AW20" s="68">
        <v>18</v>
      </c>
      <c r="AX20" s="68">
        <v>15352.955380463967</v>
      </c>
      <c r="AY20" s="68">
        <v>-3441.101466075128</v>
      </c>
      <c r="AZ20" s="68">
        <v>6466.6808228904829</v>
      </c>
      <c r="BA20" s="299"/>
      <c r="BB20" s="67"/>
      <c r="BC20" s="67"/>
      <c r="BD20" s="67"/>
      <c r="BE20" s="67"/>
      <c r="BF20" s="67"/>
      <c r="BG20" s="67"/>
      <c r="BH20" s="67"/>
      <c r="BI20" s="334"/>
      <c r="BJ20" s="334"/>
      <c r="BK20" s="334"/>
      <c r="BL20" s="334"/>
      <c r="BM20" s="334"/>
      <c r="BN20" s="299"/>
      <c r="BO20" s="67">
        <v>41137019.981694326</v>
      </c>
      <c r="BP20" s="67">
        <v>59090545.219999991</v>
      </c>
      <c r="BQ20" s="67">
        <v>64565000</v>
      </c>
      <c r="BR20" s="67">
        <v>1305298.58</v>
      </c>
      <c r="BS20" s="67">
        <v>1308000</v>
      </c>
      <c r="BT20" s="428">
        <v>0.56157578333895031</v>
      </c>
      <c r="BU20" s="428">
        <v>0.33464287704132484</v>
      </c>
      <c r="BV20" s="67">
        <f t="shared" ref="BV20:BV83" si="23">(V20+W20)-(I20+J20)+K20</f>
        <v>22062703.603383832</v>
      </c>
      <c r="BW20" s="299"/>
      <c r="BX20" s="67">
        <v>103959700</v>
      </c>
      <c r="BY20" s="67">
        <v>41137019.981694326</v>
      </c>
      <c r="BZ20" s="67">
        <v>67686502.089463532</v>
      </c>
      <c r="CA20" s="67">
        <v>32561163.251825165</v>
      </c>
      <c r="CB20" s="67">
        <f t="shared" ref="CB20:CB83" si="24">((BY20-BX20)-N20+(BZ20-CA20)+AX20*1000+AZ20*1000-AY20*1000-$BY$8)*0.6+(D20*-0.260310389757568)</f>
        <v>-1561241.6086921268</v>
      </c>
      <c r="CC20" s="67">
        <f t="shared" ref="CC20:CC83" si="25">(-S20+T20+U20+V20+W20+X20)/D20</f>
        <v>-170.36291050264876</v>
      </c>
      <c r="CD20" s="67">
        <f t="shared" ref="CD20:CD83" si="26">(-E20+F20+G20+H20+I20+J20+L20+CB20+M20+N20)/D20</f>
        <v>56.976176587213494</v>
      </c>
      <c r="CE20" s="67">
        <f t="shared" ref="CE20:CE83" si="27">CD20-CC20</f>
        <v>227.33908708986226</v>
      </c>
      <c r="CF20" s="67">
        <f t="shared" ref="CF20:CF83" si="28">(IF(CE20&lt;-15,-CE20-15,IF(CE20&gt;15,15-CE20,0)))-$BJ$24</f>
        <v>-212.33908708986226</v>
      </c>
      <c r="CG20" s="67">
        <f t="shared" ref="CG20:CG83" si="29">(IF(CE20&lt;-30,-CE20-30,IF(CE20&gt;30,30-CE20,0)))-$BK$24</f>
        <v>-197.33908708986226</v>
      </c>
      <c r="CH20" s="67">
        <f t="shared" ref="CH20:CH83" si="30">(IF(CE20&lt;-45,-CE20-45,IF(CE20&gt;45,45-CE20,0)))-$BL$24</f>
        <v>-182.33908708986226</v>
      </c>
      <c r="CI20" s="67">
        <f t="shared" ref="CI20:CI83" si="31">(IF(CE20&lt;-60,-CE20-60,IF(CE20&gt;60,60-CE20,0)))-$BM$24</f>
        <v>-167.33908708986226</v>
      </c>
      <c r="CJ20" s="67">
        <f t="shared" ref="CJ20:CJ83" si="32">CF20*$D20</f>
        <v>-3497861.7816313012</v>
      </c>
      <c r="CK20" s="67">
        <f t="shared" ref="CK20:CK83" si="33">CG20*$D20</f>
        <v>-3250766.7816313012</v>
      </c>
      <c r="CL20" s="67">
        <f t="shared" ref="CL20:CL83" si="34">CH20*$D20</f>
        <v>-3003671.7816313012</v>
      </c>
      <c r="CM20" s="67">
        <f t="shared" ref="CM20:CM83" si="35">CI20*$D20</f>
        <v>-2756576.7816313012</v>
      </c>
      <c r="CN20" s="299"/>
      <c r="CO20" s="430">
        <v>61979.103958365878</v>
      </c>
      <c r="CP20" s="430">
        <v>2425.6802721357762</v>
      </c>
      <c r="CQ20" s="430">
        <v>3736.6210000000001</v>
      </c>
      <c r="CR20" s="430">
        <v>29430194.091806799</v>
      </c>
      <c r="CS20" s="430">
        <v>11379383.935948096</v>
      </c>
      <c r="CT20" s="430">
        <v>9229309.6829814203</v>
      </c>
      <c r="CU20" s="430">
        <v>2767297.0686411047</v>
      </c>
      <c r="CV20" s="430">
        <v>-2651158</v>
      </c>
      <c r="CW20" s="430">
        <v>158319.01483168252</v>
      </c>
      <c r="CX20" s="430">
        <v>-68978.320000000007</v>
      </c>
      <c r="CY20" s="430">
        <v>41608758.283193789</v>
      </c>
      <c r="CZ20" s="519"/>
      <c r="DA20" s="524">
        <v>63091.815600000002</v>
      </c>
      <c r="DB20" s="524">
        <v>2406.7134205821394</v>
      </c>
      <c r="DC20" s="520">
        <f t="shared" ref="DC20:DC83" si="36">(CZ20/DB20)-1</f>
        <v>-1</v>
      </c>
      <c r="DD20" s="440">
        <v>16467</v>
      </c>
      <c r="DE20" s="450">
        <v>41137019.981694326</v>
      </c>
      <c r="DF20" s="440">
        <v>27363452.160325166</v>
      </c>
      <c r="DG20" s="440">
        <v>3745636.5665000002</v>
      </c>
      <c r="DH20" s="440">
        <v>1452074.5249999999</v>
      </c>
      <c r="DI20" s="440">
        <v>11353560.760628026</v>
      </c>
      <c r="DJ20" s="440">
        <v>2769296.1857285686</v>
      </c>
      <c r="DK20" s="440">
        <v>-1559634.2949535965</v>
      </c>
      <c r="DL20" s="440">
        <v>-2659976</v>
      </c>
      <c r="DM20" s="440">
        <v>-1870</v>
      </c>
      <c r="DN20" s="440">
        <v>155701.23338471007</v>
      </c>
      <c r="DO20" s="457">
        <f t="shared" ref="DO20:DO83" si="37">DN20+DM20+DL20+DK20+DJ20+DI20+DH20+DG20+DF20-DE20</f>
        <v>1481221.1549185514</v>
      </c>
      <c r="DP20" s="459">
        <f t="shared" ref="DP20:DP83" si="38">DO20/DD20</f>
        <v>89.950880847668145</v>
      </c>
      <c r="DQ20" s="440"/>
      <c r="DR20" s="450">
        <v>103959700</v>
      </c>
      <c r="DS20" s="440">
        <v>61762753.73546353</v>
      </c>
      <c r="DT20" s="440">
        <v>2178111.7875000001</v>
      </c>
      <c r="DU20" s="440">
        <v>29404426.721806802</v>
      </c>
      <c r="DV20" s="440">
        <v>9235977.0086190514</v>
      </c>
      <c r="DW20" s="440">
        <v>1083790.5665000002</v>
      </c>
      <c r="DX20" s="457">
        <f t="shared" ref="DX20:DX83" si="39">DW20+DV20+DU20+DT20+DS20-DR20</f>
        <v>-294640.18011060357</v>
      </c>
      <c r="DY20" s="459">
        <f t="shared" ref="DY20:DY83" si="40">DX20/DD20</f>
        <v>-17.892766145053962</v>
      </c>
      <c r="DZ20" s="440"/>
      <c r="EA20" s="457">
        <f t="shared" ref="EA20:EA83" si="41">DO20-DX20</f>
        <v>1775861.335029155</v>
      </c>
      <c r="EB20" s="459">
        <f t="shared" ref="EB20:EB83" si="42">EA20/DD20</f>
        <v>107.84364699272211</v>
      </c>
      <c r="ED20" s="457">
        <v>-1707264.5085644319</v>
      </c>
      <c r="EE20" s="458">
        <v>-1481596.7044945632</v>
      </c>
      <c r="EF20" s="458">
        <v>-1252518.7778742269</v>
      </c>
      <c r="EG20" s="458">
        <v>-1025113.4433555816</v>
      </c>
      <c r="EH20" s="459">
        <v>-794183.5148703825</v>
      </c>
    </row>
    <row r="21" spans="1:138" x14ac:dyDescent="0.2">
      <c r="A21" s="67">
        <v>5</v>
      </c>
      <c r="B21" s="67" t="s">
        <v>142</v>
      </c>
      <c r="C21" s="67">
        <v>14</v>
      </c>
      <c r="D21" s="67">
        <v>9183</v>
      </c>
      <c r="E21" s="82">
        <v>27960524.464519888</v>
      </c>
      <c r="F21" s="67">
        <v>11592346.056184383</v>
      </c>
      <c r="G21" s="67">
        <v>2351621</v>
      </c>
      <c r="H21" s="67">
        <v>1916676.6414014027</v>
      </c>
      <c r="I21" s="67">
        <v>9622424.8539236952</v>
      </c>
      <c r="J21" s="67">
        <v>1971950.9402568666</v>
      </c>
      <c r="K21" s="67">
        <v>-124495.38485205994</v>
      </c>
      <c r="L21" s="67">
        <v>1402244</v>
      </c>
      <c r="M21" s="68">
        <v>-15673.83</v>
      </c>
      <c r="N21" s="68">
        <v>69889.8636687947</v>
      </c>
      <c r="O21" s="68">
        <v>-267256.21378715977</v>
      </c>
      <c r="P21" s="168">
        <f t="shared" si="8"/>
        <v>559203.4622760351</v>
      </c>
      <c r="Q21" s="169">
        <f t="shared" si="9"/>
        <v>60.895509340742144</v>
      </c>
      <c r="R21" s="67"/>
      <c r="S21" s="82">
        <v>71020146.070000008</v>
      </c>
      <c r="T21" s="67">
        <v>26351768.341298372</v>
      </c>
      <c r="U21" s="67">
        <v>2880673.5139144906</v>
      </c>
      <c r="V21" s="67">
        <v>31157689.072339755</v>
      </c>
      <c r="W21" s="67">
        <v>6576722.8656134466</v>
      </c>
      <c r="X21" s="67">
        <v>3738191.17</v>
      </c>
      <c r="Y21" s="168">
        <f t="shared" si="10"/>
        <v>-315101.10683394969</v>
      </c>
      <c r="Z21" s="169">
        <f t="shared" si="11"/>
        <v>-34.313525736028495</v>
      </c>
      <c r="AA21" s="67"/>
      <c r="AB21" s="77">
        <f t="shared" si="12"/>
        <v>874304.56910998479</v>
      </c>
      <c r="AC21" s="123">
        <f t="shared" si="13"/>
        <v>95.209035076770647</v>
      </c>
      <c r="AE21" s="170"/>
      <c r="AF21" s="177">
        <v>-726016.31883501098</v>
      </c>
      <c r="AG21" s="177">
        <v>-612199.70612420363</v>
      </c>
      <c r="AH21" s="177">
        <v>-488440.39777859644</v>
      </c>
      <c r="AI21" s="178">
        <v>-366558.71967931429</v>
      </c>
      <c r="AK21" s="67">
        <f t="shared" si="14"/>
        <v>14759422.285113988</v>
      </c>
      <c r="AL21" s="67">
        <f t="shared" si="15"/>
        <v>963996.87251308793</v>
      </c>
      <c r="AM21" s="67">
        <f t="shared" si="16"/>
        <v>21535264.218416058</v>
      </c>
      <c r="AN21" s="67">
        <f t="shared" si="17"/>
        <v>43059621.60548012</v>
      </c>
      <c r="AO21" s="67">
        <f t="shared" si="18"/>
        <v>0</v>
      </c>
      <c r="AP21" s="67">
        <f t="shared" si="19"/>
        <v>-726016.31883501098</v>
      </c>
      <c r="AQ21" s="67">
        <f t="shared" si="20"/>
        <v>-612199.70612420363</v>
      </c>
      <c r="AR21" s="67">
        <f t="shared" si="21"/>
        <v>-488440.39777859644</v>
      </c>
      <c r="AS21" s="67">
        <f t="shared" si="22"/>
        <v>-366558.71967931429</v>
      </c>
      <c r="AT21" s="68">
        <v>3828</v>
      </c>
      <c r="AU21" s="68"/>
      <c r="AV21" s="68"/>
      <c r="AW21" s="68">
        <v>0</v>
      </c>
      <c r="AX21" s="68">
        <v>17031.072867432587</v>
      </c>
      <c r="AY21" s="68">
        <v>-5295.4989968587561</v>
      </c>
      <c r="AZ21" s="68">
        <v>4626.3847424013829</v>
      </c>
      <c r="BA21" s="299"/>
      <c r="BB21" s="67"/>
      <c r="BC21" s="67"/>
      <c r="BD21" s="67"/>
      <c r="BE21" s="67"/>
      <c r="BF21" s="67"/>
      <c r="BG21" s="67"/>
      <c r="BH21" s="67"/>
      <c r="BI21" s="67"/>
      <c r="BJ21" s="67"/>
      <c r="BK21" s="67"/>
      <c r="BL21" s="67"/>
      <c r="BM21" s="67"/>
      <c r="BN21" s="299"/>
      <c r="BO21" s="67">
        <v>26344105.441880807</v>
      </c>
      <c r="BP21" s="67">
        <v>40283427.550000004</v>
      </c>
      <c r="BQ21" s="67">
        <v>41062000</v>
      </c>
      <c r="BR21" s="67">
        <v>955756.07000000007</v>
      </c>
      <c r="BS21" s="67">
        <v>989000</v>
      </c>
      <c r="BT21" s="428">
        <v>0.56009229035241215</v>
      </c>
      <c r="BU21" s="428">
        <v>0.33464287704132478</v>
      </c>
      <c r="BV21" s="67">
        <f t="shared" si="23"/>
        <v>26015540.758920584</v>
      </c>
      <c r="BW21" s="299"/>
      <c r="BX21" s="67">
        <v>66860415</v>
      </c>
      <c r="BY21" s="67">
        <v>26344105.441880807</v>
      </c>
      <c r="BZ21" s="67">
        <v>31945082.304756068</v>
      </c>
      <c r="CA21" s="67">
        <v>16044557.038189415</v>
      </c>
      <c r="CB21" s="67">
        <f t="shared" si="24"/>
        <v>1357979.0405736924</v>
      </c>
      <c r="CC21" s="67">
        <f t="shared" si="25"/>
        <v>-34.31352573602819</v>
      </c>
      <c r="CD21" s="67">
        <f t="shared" si="26"/>
        <v>251.43570744734254</v>
      </c>
      <c r="CE21" s="67">
        <f t="shared" si="27"/>
        <v>285.74923318337073</v>
      </c>
      <c r="CF21" s="67">
        <f t="shared" si="28"/>
        <v>-270.74923318337073</v>
      </c>
      <c r="CG21" s="67">
        <f t="shared" si="29"/>
        <v>-255.74923318337073</v>
      </c>
      <c r="CH21" s="67">
        <f t="shared" si="30"/>
        <v>-240.74923318337073</v>
      </c>
      <c r="CI21" s="67">
        <f t="shared" si="31"/>
        <v>-225.74923318337073</v>
      </c>
      <c r="CJ21" s="67">
        <f t="shared" si="32"/>
        <v>-2486290.2083228934</v>
      </c>
      <c r="CK21" s="67">
        <f t="shared" si="33"/>
        <v>-2348545.2083228934</v>
      </c>
      <c r="CL21" s="67">
        <f t="shared" si="34"/>
        <v>-2210800.2083228934</v>
      </c>
      <c r="CM21" s="67">
        <f t="shared" si="35"/>
        <v>-2073055.2083228934</v>
      </c>
      <c r="CN21" s="299"/>
      <c r="CO21" s="430">
        <v>26351.768341298372</v>
      </c>
      <c r="CP21" s="430">
        <v>2880.6735139144907</v>
      </c>
      <c r="CQ21" s="430">
        <v>2351.6210000000001</v>
      </c>
      <c r="CR21" s="430">
        <v>31157689.072339755</v>
      </c>
      <c r="CS21" s="430">
        <v>9622424.8539236952</v>
      </c>
      <c r="CT21" s="430">
        <v>6576722.8656134466</v>
      </c>
      <c r="CU21" s="430">
        <v>1971950.9402568666</v>
      </c>
      <c r="CV21" s="430">
        <v>1402244</v>
      </c>
      <c r="CW21" s="430">
        <v>69889.8636687947</v>
      </c>
      <c r="CX21" s="430">
        <v>-15673.83</v>
      </c>
      <c r="CY21" s="430">
        <v>27960524.464519888</v>
      </c>
      <c r="CZ21" s="519"/>
      <c r="DA21" s="524">
        <v>26896.665209999999</v>
      </c>
      <c r="DB21" s="524">
        <v>2858.143126620741</v>
      </c>
      <c r="DC21" s="520">
        <f t="shared" si="36"/>
        <v>-1</v>
      </c>
      <c r="DD21" s="440">
        <v>9311</v>
      </c>
      <c r="DE21" s="450">
        <v>26344105.441880807</v>
      </c>
      <c r="DF21" s="440">
        <v>12041866.224489415</v>
      </c>
      <c r="DG21" s="440">
        <v>2278245.6457000002</v>
      </c>
      <c r="DH21" s="440">
        <v>1724445.1680000001</v>
      </c>
      <c r="DI21" s="440">
        <v>9607581.6505500209</v>
      </c>
      <c r="DJ21" s="440">
        <v>1981206.4290376324</v>
      </c>
      <c r="DK21" s="440">
        <v>1357610.106746292</v>
      </c>
      <c r="DL21" s="440">
        <v>1473494</v>
      </c>
      <c r="DM21" s="440">
        <v>-430000</v>
      </c>
      <c r="DN21" s="440">
        <v>70482.77617798571</v>
      </c>
      <c r="DO21" s="457">
        <f t="shared" si="37"/>
        <v>3760826.5588205382</v>
      </c>
      <c r="DP21" s="459">
        <f t="shared" si="38"/>
        <v>403.9122069402361</v>
      </c>
      <c r="DQ21" s="440"/>
      <c r="DR21" s="450">
        <v>66860415</v>
      </c>
      <c r="DS21" s="440">
        <v>27080168.907056067</v>
      </c>
      <c r="DT21" s="440">
        <v>2586667.7520000003</v>
      </c>
      <c r="DU21" s="440">
        <v>31142878.022339758</v>
      </c>
      <c r="DV21" s="440">
        <v>6607591.1714390153</v>
      </c>
      <c r="DW21" s="440">
        <v>3321739.6457000002</v>
      </c>
      <c r="DX21" s="457">
        <f t="shared" si="39"/>
        <v>3878630.4985348433</v>
      </c>
      <c r="DY21" s="459">
        <f t="shared" si="40"/>
        <v>416.56433235257686</v>
      </c>
      <c r="DZ21" s="440"/>
      <c r="EA21" s="457">
        <f t="shared" si="41"/>
        <v>-117803.9397143051</v>
      </c>
      <c r="EB21" s="459">
        <f t="shared" si="42"/>
        <v>-12.652125412340791</v>
      </c>
      <c r="ED21" s="457">
        <v>156590.91069951316</v>
      </c>
      <c r="EE21" s="458">
        <v>26722.197115911898</v>
      </c>
      <c r="EF21" s="458">
        <v>16585.622133337791</v>
      </c>
      <c r="EG21" s="458">
        <v>5503.3068787744478</v>
      </c>
      <c r="EH21" s="459">
        <v>-3586.0834700632317</v>
      </c>
    </row>
    <row r="22" spans="1:138" x14ac:dyDescent="0.2">
      <c r="A22" s="67">
        <v>9</v>
      </c>
      <c r="B22" s="67" t="s">
        <v>143</v>
      </c>
      <c r="C22" s="67">
        <v>17</v>
      </c>
      <c r="D22" s="67">
        <v>2447</v>
      </c>
      <c r="E22" s="82">
        <v>7243591.7263226733</v>
      </c>
      <c r="F22" s="67">
        <v>3353057.0182414213</v>
      </c>
      <c r="G22" s="67">
        <v>759405</v>
      </c>
      <c r="H22" s="67">
        <v>249383.97616249477</v>
      </c>
      <c r="I22" s="67">
        <v>3075431.5196983889</v>
      </c>
      <c r="J22" s="67">
        <v>525124.40719951689</v>
      </c>
      <c r="K22" s="67">
        <v>405917.30908456858</v>
      </c>
      <c r="L22" s="67">
        <v>-539829</v>
      </c>
      <c r="M22" s="68">
        <v>360277.92</v>
      </c>
      <c r="N22" s="68">
        <v>18917.291907866023</v>
      </c>
      <c r="O22" s="68">
        <v>-71215.937617029282</v>
      </c>
      <c r="P22" s="168">
        <f t="shared" si="8"/>
        <v>892877.77835455327</v>
      </c>
      <c r="Q22" s="169">
        <f t="shared" si="9"/>
        <v>364.88670958502382</v>
      </c>
      <c r="R22" s="67"/>
      <c r="S22" s="82">
        <v>18718607.800000001</v>
      </c>
      <c r="T22" s="67">
        <v>7483532.2033173349</v>
      </c>
      <c r="U22" s="67">
        <v>374812.2137079516</v>
      </c>
      <c r="V22" s="67">
        <v>9435657.4002618492</v>
      </c>
      <c r="W22" s="67">
        <v>1751360.8607681198</v>
      </c>
      <c r="X22" s="67">
        <v>579853.91999999993</v>
      </c>
      <c r="Y22" s="168">
        <f t="shared" si="10"/>
        <v>906608.79805525392</v>
      </c>
      <c r="Z22" s="169">
        <f t="shared" si="11"/>
        <v>370.49807848600489</v>
      </c>
      <c r="AA22" s="67"/>
      <c r="AB22" s="77">
        <f t="shared" si="12"/>
        <v>-13731.01970070065</v>
      </c>
      <c r="AC22" s="123">
        <f t="shared" si="13"/>
        <v>-5.6113689009810583</v>
      </c>
      <c r="AE22" s="170"/>
      <c r="AF22" s="177">
        <v>2809.4667780537366</v>
      </c>
      <c r="AG22" s="177">
        <v>-3566.7461911997152</v>
      </c>
      <c r="AH22" s="177">
        <v>-7293.5225691044461</v>
      </c>
      <c r="AI22" s="178">
        <v>-11520.632303511145</v>
      </c>
      <c r="AK22" s="67">
        <f t="shared" si="14"/>
        <v>4130475.1850759136</v>
      </c>
      <c r="AL22" s="67">
        <f t="shared" si="15"/>
        <v>125428.23754545682</v>
      </c>
      <c r="AM22" s="67">
        <f t="shared" si="16"/>
        <v>6360225.8805634603</v>
      </c>
      <c r="AN22" s="67">
        <f t="shared" si="17"/>
        <v>11475016.073677327</v>
      </c>
      <c r="AO22" s="67">
        <f t="shared" si="18"/>
        <v>0</v>
      </c>
      <c r="AP22" s="67">
        <f t="shared" si="19"/>
        <v>2809.4667780537366</v>
      </c>
      <c r="AQ22" s="67">
        <f t="shared" si="20"/>
        <v>-3566.7461911997152</v>
      </c>
      <c r="AR22" s="67">
        <f t="shared" si="21"/>
        <v>-7293.5225691044461</v>
      </c>
      <c r="AS22" s="67">
        <f t="shared" si="22"/>
        <v>-11520.632303511145</v>
      </c>
      <c r="AT22" s="68">
        <v>738</v>
      </c>
      <c r="AU22" s="68"/>
      <c r="AV22" s="68"/>
      <c r="AW22" s="68">
        <v>4</v>
      </c>
      <c r="AX22" s="68">
        <v>5156.5782172588079</v>
      </c>
      <c r="AY22" s="68">
        <v>-1460.5281829936669</v>
      </c>
      <c r="AZ22" s="68">
        <v>1232.7724459935171</v>
      </c>
      <c r="BA22" s="299"/>
      <c r="BB22" t="s">
        <v>631</v>
      </c>
      <c r="BI22" s="335"/>
      <c r="BJ22" s="335"/>
      <c r="BK22" s="335"/>
      <c r="BL22" s="335"/>
      <c r="BM22" s="335"/>
      <c r="BN22" s="299"/>
      <c r="BO22" s="67">
        <v>7237315.2538106088</v>
      </c>
      <c r="BP22" s="67">
        <v>10412007.789999999</v>
      </c>
      <c r="BQ22" s="67">
        <v>11047000</v>
      </c>
      <c r="BR22" s="67">
        <v>333521.96999999997</v>
      </c>
      <c r="BS22" s="67">
        <v>403000</v>
      </c>
      <c r="BT22" s="428">
        <v>0.55194192700138811</v>
      </c>
      <c r="BU22" s="428">
        <v>0.33464287704132489</v>
      </c>
      <c r="BV22" s="67">
        <f t="shared" si="23"/>
        <v>7992379.6432166323</v>
      </c>
      <c r="BW22" s="299"/>
      <c r="BX22" s="67">
        <v>18423844.800000001</v>
      </c>
      <c r="BY22" s="67">
        <v>7237315.2538106088</v>
      </c>
      <c r="BZ22" s="67">
        <v>8294037.6726225503</v>
      </c>
      <c r="CA22" s="67">
        <v>4248796.048699962</v>
      </c>
      <c r="CB22" s="67">
        <f t="shared" si="24"/>
        <v>413167.19971905701</v>
      </c>
      <c r="CC22" s="67">
        <f t="shared" si="25"/>
        <v>370.49807848600523</v>
      </c>
      <c r="CD22" s="67">
        <f t="shared" si="26"/>
        <v>396.95284291216649</v>
      </c>
      <c r="CE22" s="67">
        <f t="shared" si="27"/>
        <v>26.454764426161262</v>
      </c>
      <c r="CF22" s="67">
        <f t="shared" si="28"/>
        <v>-11.454764426161262</v>
      </c>
      <c r="CG22" s="67">
        <f t="shared" si="29"/>
        <v>0</v>
      </c>
      <c r="CH22" s="67">
        <f t="shared" si="30"/>
        <v>0</v>
      </c>
      <c r="CI22" s="67">
        <f t="shared" si="31"/>
        <v>0</v>
      </c>
      <c r="CJ22" s="67">
        <f t="shared" si="32"/>
        <v>-28029.808550816608</v>
      </c>
      <c r="CK22" s="67">
        <f t="shared" si="33"/>
        <v>0</v>
      </c>
      <c r="CL22" s="67">
        <f t="shared" si="34"/>
        <v>0</v>
      </c>
      <c r="CM22" s="67">
        <f t="shared" si="35"/>
        <v>0</v>
      </c>
      <c r="CN22" s="299"/>
      <c r="CO22" s="430">
        <v>7483.5322033173352</v>
      </c>
      <c r="CP22" s="430">
        <v>374.81221370795157</v>
      </c>
      <c r="CQ22" s="430">
        <v>759.40499999999997</v>
      </c>
      <c r="CR22" s="430">
        <v>9435657.4002618492</v>
      </c>
      <c r="CS22" s="430">
        <v>3075431.5196983889</v>
      </c>
      <c r="CT22" s="430">
        <v>1751360.8607681198</v>
      </c>
      <c r="CU22" s="430">
        <v>525124.40719951689</v>
      </c>
      <c r="CV22" s="430">
        <v>-539829</v>
      </c>
      <c r="CW22" s="430">
        <v>18917.291907866023</v>
      </c>
      <c r="CX22" s="430">
        <v>360277.92</v>
      </c>
      <c r="CY22" s="430">
        <v>7243591.7263226733</v>
      </c>
      <c r="CZ22" s="519"/>
      <c r="DA22" s="524">
        <v>7512.5029299999997</v>
      </c>
      <c r="DB22" s="524">
        <v>371.88105837861372</v>
      </c>
      <c r="DC22" s="520">
        <f t="shared" si="36"/>
        <v>-1</v>
      </c>
      <c r="DD22" s="440">
        <v>2491</v>
      </c>
      <c r="DE22" s="450">
        <v>7237315.2538106088</v>
      </c>
      <c r="DF22" s="440">
        <v>3268430.2392999618</v>
      </c>
      <c r="DG22" s="440">
        <v>755993.58960000006</v>
      </c>
      <c r="DH22" s="440">
        <v>224372.21979999999</v>
      </c>
      <c r="DI22" s="440">
        <v>3071456.8046982549</v>
      </c>
      <c r="DJ22" s="440">
        <v>527923.38543703966</v>
      </c>
      <c r="DK22" s="440">
        <v>413751.29628251819</v>
      </c>
      <c r="DL22" s="440">
        <v>-539829</v>
      </c>
      <c r="DM22" s="440">
        <v>-91549</v>
      </c>
      <c r="DN22" s="440">
        <v>17931.474286847402</v>
      </c>
      <c r="DO22" s="457">
        <f t="shared" si="37"/>
        <v>411165.75559401326</v>
      </c>
      <c r="DP22" s="459">
        <f t="shared" si="38"/>
        <v>165.06052011000131</v>
      </c>
      <c r="DQ22" s="440"/>
      <c r="DR22" s="450">
        <v>18423844.800000001</v>
      </c>
      <c r="DS22" s="440">
        <v>7201485.753322551</v>
      </c>
      <c r="DT22" s="440">
        <v>336558.3297</v>
      </c>
      <c r="DU22" s="440">
        <v>9431688.9702618457</v>
      </c>
      <c r="DV22" s="440">
        <v>1760695.8314305567</v>
      </c>
      <c r="DW22" s="440">
        <v>124615.58960000006</v>
      </c>
      <c r="DX22" s="457">
        <f t="shared" si="39"/>
        <v>431199.67431495339</v>
      </c>
      <c r="DY22" s="459">
        <f t="shared" si="40"/>
        <v>173.10304067240199</v>
      </c>
      <c r="DZ22" s="440"/>
      <c r="EA22" s="457">
        <f t="shared" si="41"/>
        <v>-20033.918720940128</v>
      </c>
      <c r="EB22" s="459">
        <f t="shared" si="42"/>
        <v>-8.0425205624006928</v>
      </c>
      <c r="ED22" s="457">
        <v>30410.714416795254</v>
      </c>
      <c r="EE22" s="458">
        <v>7149.0702411917673</v>
      </c>
      <c r="EF22" s="458">
        <v>4437.2016683647771</v>
      </c>
      <c r="EG22" s="458">
        <v>1472.3163392790409</v>
      </c>
      <c r="EH22" s="459">
        <v>-959.39576027575026</v>
      </c>
    </row>
    <row r="23" spans="1:138" x14ac:dyDescent="0.2">
      <c r="A23" s="67">
        <v>10</v>
      </c>
      <c r="B23" s="67" t="s">
        <v>144</v>
      </c>
      <c r="C23" s="67">
        <v>14</v>
      </c>
      <c r="D23" s="67">
        <v>11102</v>
      </c>
      <c r="E23" s="82">
        <v>30730948.539365448</v>
      </c>
      <c r="F23" s="67">
        <v>13184212.060602663</v>
      </c>
      <c r="G23" s="67">
        <v>2845848</v>
      </c>
      <c r="H23" s="67">
        <v>2406393.0879604672</v>
      </c>
      <c r="I23" s="67">
        <v>10568098.115272544</v>
      </c>
      <c r="J23" s="67">
        <v>2410720.3876794139</v>
      </c>
      <c r="K23" s="67">
        <v>-407074.43784845714</v>
      </c>
      <c r="L23" s="67">
        <v>-549308</v>
      </c>
      <c r="M23" s="68">
        <v>-945223.06</v>
      </c>
      <c r="N23" s="68">
        <v>82466.802665421317</v>
      </c>
      <c r="O23" s="68">
        <v>-323105.57393717166</v>
      </c>
      <c r="P23" s="168">
        <f t="shared" si="8"/>
        <v>-1457921.1569705694</v>
      </c>
      <c r="Q23" s="169">
        <f t="shared" si="9"/>
        <v>-131.32058700869837</v>
      </c>
      <c r="R23" s="67"/>
      <c r="S23" s="82">
        <v>83907699.140000001</v>
      </c>
      <c r="T23" s="67">
        <v>30526817.673410557</v>
      </c>
      <c r="U23" s="67">
        <v>3616693.9601696073</v>
      </c>
      <c r="V23" s="67">
        <v>37688245.633795515</v>
      </c>
      <c r="W23" s="67">
        <v>8040078.2659362117</v>
      </c>
      <c r="X23" s="67">
        <v>1351316.94</v>
      </c>
      <c r="Y23" s="168">
        <f t="shared" si="10"/>
        <v>-2684546.6666881144</v>
      </c>
      <c r="Z23" s="169">
        <f t="shared" si="11"/>
        <v>-241.80748213728288</v>
      </c>
      <c r="AA23" s="67"/>
      <c r="AB23" s="77">
        <f t="shared" si="12"/>
        <v>1226625.509717545</v>
      </c>
      <c r="AC23" s="123">
        <f t="shared" si="13"/>
        <v>110.48689512858449</v>
      </c>
      <c r="AE23" s="170"/>
      <c r="AF23" s="177">
        <v>-1047349.0037224736</v>
      </c>
      <c r="AG23" s="177">
        <v>-909747.78034063953</v>
      </c>
      <c r="AH23" s="177">
        <v>-760126.10537026695</v>
      </c>
      <c r="AI23" s="178">
        <v>-612774.43486408913</v>
      </c>
      <c r="AK23" s="67">
        <f t="shared" si="14"/>
        <v>17342605.612807892</v>
      </c>
      <c r="AL23" s="67">
        <f t="shared" si="15"/>
        <v>1210300.8722091401</v>
      </c>
      <c r="AM23" s="67">
        <f t="shared" si="16"/>
        <v>27120147.51852297</v>
      </c>
      <c r="AN23" s="67">
        <f t="shared" si="17"/>
        <v>53176750.600634553</v>
      </c>
      <c r="AO23" s="67">
        <f t="shared" si="18"/>
        <v>0</v>
      </c>
      <c r="AP23" s="67">
        <f t="shared" si="19"/>
        <v>-1047349.0037224736</v>
      </c>
      <c r="AQ23" s="67">
        <f t="shared" si="20"/>
        <v>-909747.78034063953</v>
      </c>
      <c r="AR23" s="67">
        <f t="shared" si="21"/>
        <v>-760126.10537026695</v>
      </c>
      <c r="AS23" s="67">
        <f t="shared" si="22"/>
        <v>-612774.43486408913</v>
      </c>
      <c r="AT23" s="68">
        <v>4323</v>
      </c>
      <c r="AU23" s="68"/>
      <c r="AV23" s="68"/>
      <c r="AW23" s="68">
        <v>0</v>
      </c>
      <c r="AX23" s="68">
        <v>21635.195497363613</v>
      </c>
      <c r="AY23" s="68">
        <v>-6440.1945723112822</v>
      </c>
      <c r="AZ23" s="68">
        <v>5655.106454210234</v>
      </c>
      <c r="BA23" s="299"/>
      <c r="BB23" s="67"/>
      <c r="BC23" s="67"/>
      <c r="BD23" s="67"/>
      <c r="BE23" s="67"/>
      <c r="BF23" s="67"/>
      <c r="BG23" s="67"/>
      <c r="BH23" s="67"/>
      <c r="BI23" s="332"/>
      <c r="BJ23" s="332"/>
      <c r="BK23" s="332"/>
      <c r="BL23" s="332"/>
      <c r="BM23" s="332"/>
      <c r="BN23" s="299"/>
      <c r="BO23" s="67">
        <v>31425462.728369981</v>
      </c>
      <c r="BP23" s="67">
        <v>49727888.63000001</v>
      </c>
      <c r="BQ23" s="67">
        <v>50681000</v>
      </c>
      <c r="BR23" s="67">
        <v>1205716.78</v>
      </c>
      <c r="BS23" s="67">
        <v>1245000</v>
      </c>
      <c r="BT23" s="428">
        <v>0.5681104987210519</v>
      </c>
      <c r="BU23" s="428">
        <v>0.33464287704132484</v>
      </c>
      <c r="BV23" s="67">
        <f t="shared" si="23"/>
        <v>32342430.958931312</v>
      </c>
      <c r="BW23" s="299"/>
      <c r="BX23" s="67">
        <v>83105726</v>
      </c>
      <c r="BY23" s="67">
        <v>31425462.728369981</v>
      </c>
      <c r="BZ23" s="67">
        <v>37494423.861387134</v>
      </c>
      <c r="CA23" s="67">
        <v>18707579.143869095</v>
      </c>
      <c r="CB23" s="67">
        <f t="shared" si="24"/>
        <v>449876.73431754846</v>
      </c>
      <c r="CC23" s="67">
        <f t="shared" si="25"/>
        <v>-241.80748213728256</v>
      </c>
      <c r="CD23" s="67">
        <f t="shared" si="26"/>
        <v>-25.028320200629473</v>
      </c>
      <c r="CE23" s="67">
        <f t="shared" si="27"/>
        <v>216.77916193665308</v>
      </c>
      <c r="CF23" s="67">
        <f t="shared" si="28"/>
        <v>-201.77916193665308</v>
      </c>
      <c r="CG23" s="67">
        <f t="shared" si="29"/>
        <v>-186.77916193665308</v>
      </c>
      <c r="CH23" s="67">
        <f t="shared" si="30"/>
        <v>-171.77916193665308</v>
      </c>
      <c r="CI23" s="67">
        <f t="shared" si="31"/>
        <v>-156.77916193665308</v>
      </c>
      <c r="CJ23" s="67">
        <f t="shared" si="32"/>
        <v>-2240152.2558207223</v>
      </c>
      <c r="CK23" s="67">
        <f t="shared" si="33"/>
        <v>-2073622.2558207226</v>
      </c>
      <c r="CL23" s="67">
        <f t="shared" si="34"/>
        <v>-1907092.2558207226</v>
      </c>
      <c r="CM23" s="67">
        <f t="shared" si="35"/>
        <v>-1740562.2558207226</v>
      </c>
      <c r="CN23" s="299"/>
      <c r="CO23" s="430">
        <v>30526.817673410558</v>
      </c>
      <c r="CP23" s="430">
        <v>3616.6939601696072</v>
      </c>
      <c r="CQ23" s="430">
        <v>2845.848</v>
      </c>
      <c r="CR23" s="430">
        <v>37688245.633795515</v>
      </c>
      <c r="CS23" s="430">
        <v>10568098.115272544</v>
      </c>
      <c r="CT23" s="430">
        <v>8040078.2659362117</v>
      </c>
      <c r="CU23" s="430">
        <v>2410720.3876794139</v>
      </c>
      <c r="CV23" s="430">
        <v>-549308</v>
      </c>
      <c r="CW23" s="430">
        <v>82466.802665421317</v>
      </c>
      <c r="CX23" s="430">
        <v>-945223.06</v>
      </c>
      <c r="CY23" s="430">
        <v>30730948.539365448</v>
      </c>
      <c r="CZ23" s="519"/>
      <c r="DA23" s="524">
        <v>30689.687239999999</v>
      </c>
      <c r="DB23" s="524">
        <v>3588.4112491713618</v>
      </c>
      <c r="DC23" s="520">
        <f t="shared" si="36"/>
        <v>-1</v>
      </c>
      <c r="DD23" s="440">
        <v>11197</v>
      </c>
      <c r="DE23" s="450">
        <v>31425462.728369981</v>
      </c>
      <c r="DF23" s="440">
        <v>13682390.800569097</v>
      </c>
      <c r="DG23" s="440">
        <v>2860142.4282999998</v>
      </c>
      <c r="DH23" s="440">
        <v>2165045.915</v>
      </c>
      <c r="DI23" s="440">
        <v>10550268.865735646</v>
      </c>
      <c r="DJ23" s="440">
        <v>2421746.9769187393</v>
      </c>
      <c r="DK23" s="440">
        <v>449394.50858596608</v>
      </c>
      <c r="DL23" s="440">
        <v>-700212</v>
      </c>
      <c r="DM23" s="440">
        <v>36000</v>
      </c>
      <c r="DN23" s="440">
        <v>83277.058406342578</v>
      </c>
      <c r="DO23" s="457">
        <f t="shared" si="37"/>
        <v>122591.82514581084</v>
      </c>
      <c r="DP23" s="459">
        <f t="shared" si="38"/>
        <v>10.9486313428428</v>
      </c>
      <c r="DQ23" s="440"/>
      <c r="DR23" s="450">
        <v>83105726</v>
      </c>
      <c r="DS23" s="440">
        <v>31386712.56058713</v>
      </c>
      <c r="DT23" s="440">
        <v>3247568.8725000001</v>
      </c>
      <c r="DU23" s="440">
        <v>37670462.683795512</v>
      </c>
      <c r="DV23" s="440">
        <v>8076853.4311289731</v>
      </c>
      <c r="DW23" s="440">
        <v>2195930.4282999998</v>
      </c>
      <c r="DX23" s="457">
        <f t="shared" si="39"/>
        <v>-528198.02368837595</v>
      </c>
      <c r="DY23" s="459">
        <f t="shared" si="40"/>
        <v>-47.173173500792707</v>
      </c>
      <c r="DZ23" s="440"/>
      <c r="EA23" s="457">
        <f t="shared" si="41"/>
        <v>650789.84883418679</v>
      </c>
      <c r="EB23" s="459">
        <f t="shared" si="42"/>
        <v>58.121804843635509</v>
      </c>
      <c r="ED23" s="457">
        <v>-604146.33963847836</v>
      </c>
      <c r="EE23" s="458">
        <v>-450699.90724822396</v>
      </c>
      <c r="EF23" s="458">
        <v>-294934.70749308297</v>
      </c>
      <c r="EG23" s="458">
        <v>-140306.81348656869</v>
      </c>
      <c r="EH23" s="459">
        <v>-4312.4666109223508</v>
      </c>
    </row>
    <row r="24" spans="1:138" x14ac:dyDescent="0.2">
      <c r="A24" s="67">
        <v>16</v>
      </c>
      <c r="B24" s="67" t="s">
        <v>145</v>
      </c>
      <c r="C24" s="67">
        <v>7</v>
      </c>
      <c r="D24" s="67">
        <v>8014</v>
      </c>
      <c r="E24" s="82">
        <v>23296202.425130639</v>
      </c>
      <c r="F24" s="67">
        <v>11140957.608777462</v>
      </c>
      <c r="G24" s="67">
        <v>3037518</v>
      </c>
      <c r="H24" s="67">
        <v>1505292.1607503532</v>
      </c>
      <c r="I24" s="67">
        <v>2806648.4919904904</v>
      </c>
      <c r="J24" s="67">
        <v>1422540.1183525133</v>
      </c>
      <c r="K24" s="67">
        <v>2618692.8888114048</v>
      </c>
      <c r="L24" s="67">
        <v>-500661</v>
      </c>
      <c r="M24" s="68">
        <v>120767.54</v>
      </c>
      <c r="N24" s="68">
        <v>77337.79078044332</v>
      </c>
      <c r="O24" s="68">
        <v>-233234.37844825201</v>
      </c>
      <c r="P24" s="168">
        <f t="shared" si="8"/>
        <v>-1300343.2041162257</v>
      </c>
      <c r="Q24" s="169">
        <f t="shared" si="9"/>
        <v>-162.25894735665406</v>
      </c>
      <c r="R24" s="67"/>
      <c r="S24" s="82">
        <v>55274204.449999996</v>
      </c>
      <c r="T24" s="67">
        <v>27782878.415624622</v>
      </c>
      <c r="U24" s="67">
        <v>2262382.2738331845</v>
      </c>
      <c r="V24" s="67">
        <v>18926057.905282021</v>
      </c>
      <c r="W24" s="67">
        <v>4744363.5298567638</v>
      </c>
      <c r="X24" s="67">
        <v>2657624.54</v>
      </c>
      <c r="Y24" s="168">
        <f t="shared" si="10"/>
        <v>1099102.2145965919</v>
      </c>
      <c r="Z24" s="169">
        <f t="shared" si="11"/>
        <v>137.14776823017118</v>
      </c>
      <c r="AA24" s="67"/>
      <c r="AB24" s="77">
        <f t="shared" si="12"/>
        <v>-2399445.4187128176</v>
      </c>
      <c r="AC24" s="123">
        <f t="shared" si="13"/>
        <v>-299.40671558682527</v>
      </c>
      <c r="AD24" s="116"/>
      <c r="AE24" s="170"/>
      <c r="AF24" s="177">
        <v>2288436.5085204644</v>
      </c>
      <c r="AG24" s="177">
        <v>2147344.2156166648</v>
      </c>
      <c r="AH24" s="177">
        <v>2014928.9087541685</v>
      </c>
      <c r="AI24" s="178">
        <v>1880874.9948140236</v>
      </c>
      <c r="AK24" s="67">
        <f t="shared" si="14"/>
        <v>16641920.806847161</v>
      </c>
      <c r="AL24" s="67">
        <f t="shared" si="15"/>
        <v>757090.11308283126</v>
      </c>
      <c r="AM24" s="67">
        <f t="shared" si="16"/>
        <v>16119409.413291531</v>
      </c>
      <c r="AN24" s="67">
        <f t="shared" si="17"/>
        <v>31978002.024869356</v>
      </c>
      <c r="AO24" s="67">
        <f t="shared" si="18"/>
        <v>0</v>
      </c>
      <c r="AP24" s="67">
        <f t="shared" si="19"/>
        <v>2288436.5085204644</v>
      </c>
      <c r="AQ24" s="67">
        <f t="shared" si="20"/>
        <v>2147344.2156166648</v>
      </c>
      <c r="AR24" s="67">
        <f t="shared" si="21"/>
        <v>2014928.9087541685</v>
      </c>
      <c r="AS24" s="67">
        <f t="shared" si="22"/>
        <v>1880874.9948140236</v>
      </c>
      <c r="AT24" s="68">
        <v>2387</v>
      </c>
      <c r="AU24" s="68"/>
      <c r="AV24" s="68"/>
      <c r="AW24" s="68">
        <v>0</v>
      </c>
      <c r="AX24" s="68">
        <v>13820.661920855888</v>
      </c>
      <c r="AY24" s="68">
        <v>-1645.097332930427</v>
      </c>
      <c r="AZ24" s="68">
        <v>3328.8558554945048</v>
      </c>
      <c r="BA24" s="299"/>
      <c r="BB24" s="67"/>
      <c r="BC24" s="67"/>
      <c r="BD24" s="67"/>
      <c r="BE24" s="67"/>
      <c r="BF24" s="67"/>
      <c r="BG24" s="67"/>
      <c r="BH24" s="67"/>
      <c r="BN24" s="299"/>
      <c r="BO24" s="67">
        <v>22187913.231521394</v>
      </c>
      <c r="BP24" s="67">
        <v>28546271.930000007</v>
      </c>
      <c r="BQ24" s="67">
        <v>31589000</v>
      </c>
      <c r="BR24" s="67">
        <v>846012.58000000007</v>
      </c>
      <c r="BS24" s="67">
        <v>873000</v>
      </c>
      <c r="BT24" s="428">
        <v>0.59899915904638679</v>
      </c>
      <c r="BU24" s="428">
        <v>0.33464287704132484</v>
      </c>
      <c r="BV24" s="67">
        <f t="shared" si="23"/>
        <v>22059925.713607188</v>
      </c>
      <c r="BW24" s="299"/>
      <c r="BX24" s="67">
        <v>52689682</v>
      </c>
      <c r="BY24" s="67">
        <v>22187913.231521394</v>
      </c>
      <c r="BZ24" s="67">
        <v>33042503.443617452</v>
      </c>
      <c r="CA24" s="67">
        <v>15746558.727094214</v>
      </c>
      <c r="CB24" s="67">
        <f t="shared" si="24"/>
        <v>3304785.8324634871</v>
      </c>
      <c r="CC24" s="67">
        <f t="shared" si="25"/>
        <v>137.14776823017178</v>
      </c>
      <c r="CD24" s="67">
        <f t="shared" si="26"/>
        <v>-47.543783630632696</v>
      </c>
      <c r="CE24" s="67">
        <f t="shared" si="27"/>
        <v>-184.69155186080448</v>
      </c>
      <c r="CF24" s="67">
        <f t="shared" si="28"/>
        <v>169.69155186080448</v>
      </c>
      <c r="CG24" s="67">
        <f t="shared" si="29"/>
        <v>154.69155186080448</v>
      </c>
      <c r="CH24" s="67">
        <f t="shared" si="30"/>
        <v>139.69155186080448</v>
      </c>
      <c r="CI24" s="67">
        <f t="shared" si="31"/>
        <v>124.69155186080448</v>
      </c>
      <c r="CJ24" s="67">
        <f t="shared" si="32"/>
        <v>1359908.0966124872</v>
      </c>
      <c r="CK24" s="67">
        <f t="shared" si="33"/>
        <v>1239698.0966124872</v>
      </c>
      <c r="CL24" s="67">
        <f t="shared" si="34"/>
        <v>1119488.0966124872</v>
      </c>
      <c r="CM24" s="67">
        <f t="shared" si="35"/>
        <v>999278.0966124871</v>
      </c>
      <c r="CN24" s="299"/>
      <c r="CO24" s="430">
        <v>27782.878415624622</v>
      </c>
      <c r="CP24" s="430">
        <v>2262.3822738331846</v>
      </c>
      <c r="CQ24" s="430">
        <v>3037.518</v>
      </c>
      <c r="CR24" s="430">
        <v>18926057.905282021</v>
      </c>
      <c r="CS24" s="430">
        <v>2806648.4919904904</v>
      </c>
      <c r="CT24" s="430">
        <v>4744363.5298567638</v>
      </c>
      <c r="CU24" s="430">
        <v>1422540.1183525133</v>
      </c>
      <c r="CV24" s="430">
        <v>-500661</v>
      </c>
      <c r="CW24" s="430">
        <v>77337.79078044332</v>
      </c>
      <c r="CX24" s="430">
        <v>120767.54</v>
      </c>
      <c r="CY24" s="430">
        <v>23296202.425130639</v>
      </c>
      <c r="CZ24" s="519"/>
      <c r="DA24" s="524">
        <v>27863.081309999998</v>
      </c>
      <c r="DB24" s="524">
        <v>2244.6901606371057</v>
      </c>
      <c r="DC24" s="520">
        <f t="shared" si="36"/>
        <v>-1</v>
      </c>
      <c r="DD24" s="440">
        <v>8033</v>
      </c>
      <c r="DE24" s="450">
        <v>22187913.231521394</v>
      </c>
      <c r="DF24" s="440">
        <v>11323563.374794215</v>
      </c>
      <c r="DG24" s="440">
        <v>3068675.2041000002</v>
      </c>
      <c r="DH24" s="440">
        <v>1354320.1481999999</v>
      </c>
      <c r="DI24" s="440">
        <v>2793994.661647616</v>
      </c>
      <c r="DJ24" s="440">
        <v>1425551.6973761218</v>
      </c>
      <c r="DK24" s="440">
        <v>3305207.0963274743</v>
      </c>
      <c r="DL24" s="440">
        <v>-571243</v>
      </c>
      <c r="DM24" s="440">
        <v>545000</v>
      </c>
      <c r="DN24" s="440">
        <v>76668.29741812365</v>
      </c>
      <c r="DO24" s="457">
        <f t="shared" si="37"/>
        <v>1133824.2483421564</v>
      </c>
      <c r="DP24" s="459">
        <f t="shared" si="38"/>
        <v>141.14580459879951</v>
      </c>
      <c r="DQ24" s="440"/>
      <c r="DR24" s="450">
        <v>52689682</v>
      </c>
      <c r="DS24" s="440">
        <v>27942348.01721745</v>
      </c>
      <c r="DT24" s="440">
        <v>2031480.2223</v>
      </c>
      <c r="DU24" s="440">
        <v>18913443.985282019</v>
      </c>
      <c r="DV24" s="440">
        <v>4754407.5528706266</v>
      </c>
      <c r="DW24" s="440">
        <v>3042432.2041000002</v>
      </c>
      <c r="DX24" s="457">
        <f t="shared" si="39"/>
        <v>3994429.9817700982</v>
      </c>
      <c r="DY24" s="459">
        <f t="shared" si="40"/>
        <v>497.25258082535765</v>
      </c>
      <c r="DZ24" s="440"/>
      <c r="EA24" s="457">
        <f t="shared" si="41"/>
        <v>-2860605.7334279418</v>
      </c>
      <c r="EB24" s="459">
        <f t="shared" si="42"/>
        <v>-356.10677622655817</v>
      </c>
      <c r="EC24" s="462"/>
      <c r="ED24" s="457">
        <v>2894068.9208325194</v>
      </c>
      <c r="EE24" s="458">
        <v>2763165.1217248044</v>
      </c>
      <c r="EF24" s="458">
        <v>2633924.862694086</v>
      </c>
      <c r="EG24" s="458">
        <v>2503868.6728713056</v>
      </c>
      <c r="EH24" s="459">
        <v>2375531.8650448411</v>
      </c>
    </row>
    <row r="25" spans="1:138" x14ac:dyDescent="0.2">
      <c r="A25" s="67">
        <v>18</v>
      </c>
      <c r="B25" s="67" t="s">
        <v>146</v>
      </c>
      <c r="C25" s="67">
        <v>34</v>
      </c>
      <c r="D25" s="67">
        <v>4763</v>
      </c>
      <c r="E25" s="82">
        <v>13726531.603878252</v>
      </c>
      <c r="F25" s="67">
        <v>8302290.0095783984</v>
      </c>
      <c r="G25" s="67">
        <v>1230753</v>
      </c>
      <c r="H25" s="67">
        <v>1018919.4263977223</v>
      </c>
      <c r="I25" s="67">
        <v>3670460.5823014863</v>
      </c>
      <c r="J25" s="67">
        <v>833349.76911275019</v>
      </c>
      <c r="K25" s="67">
        <v>-334974.12747556728</v>
      </c>
      <c r="L25" s="67">
        <v>-212406</v>
      </c>
      <c r="M25" s="68">
        <v>-399811.44</v>
      </c>
      <c r="N25" s="68">
        <v>52743.814965603931</v>
      </c>
      <c r="O25" s="68">
        <v>-138619.33423371904</v>
      </c>
      <c r="P25" s="168">
        <f t="shared" si="8"/>
        <v>296174.09676842287</v>
      </c>
      <c r="Q25" s="169">
        <f t="shared" si="9"/>
        <v>62.182258401936359</v>
      </c>
      <c r="R25" s="67"/>
      <c r="S25" s="82">
        <v>30695322.269999996</v>
      </c>
      <c r="T25" s="67">
        <v>19655822.002314243</v>
      </c>
      <c r="U25" s="67">
        <v>1531387.2674374399</v>
      </c>
      <c r="V25" s="67">
        <v>6135966.9950370872</v>
      </c>
      <c r="W25" s="67">
        <v>2779334.0948246871</v>
      </c>
      <c r="X25" s="67">
        <v>618535.56000000006</v>
      </c>
      <c r="Y25" s="168">
        <f t="shared" si="10"/>
        <v>25723.649613462389</v>
      </c>
      <c r="Z25" s="169">
        <f t="shared" si="11"/>
        <v>5.4007242522490841</v>
      </c>
      <c r="AA25" s="67"/>
      <c r="AB25" s="77">
        <f t="shared" si="12"/>
        <v>270450.44715496048</v>
      </c>
      <c r="AC25" s="123">
        <f t="shared" si="13"/>
        <v>56.781534149687275</v>
      </c>
      <c r="AE25" s="170"/>
      <c r="AF25" s="177">
        <v>-193536.91823634249</v>
      </c>
      <c r="AG25" s="177">
        <v>-134502.99399137075</v>
      </c>
      <c r="AH25" s="177">
        <v>-70312.033994623809</v>
      </c>
      <c r="AI25" s="178">
        <v>-22424.508239323084</v>
      </c>
      <c r="AK25" s="67">
        <f t="shared" si="14"/>
        <v>11353531.992735844</v>
      </c>
      <c r="AL25" s="67">
        <f t="shared" si="15"/>
        <v>512467.84103971755</v>
      </c>
      <c r="AM25" s="67">
        <f t="shared" si="16"/>
        <v>2465506.412735601</v>
      </c>
      <c r="AN25" s="67">
        <f t="shared" si="17"/>
        <v>16968790.666121744</v>
      </c>
      <c r="AO25" s="67">
        <f t="shared" si="18"/>
        <v>0</v>
      </c>
      <c r="AP25" s="67">
        <f t="shared" si="19"/>
        <v>-193536.91823634249</v>
      </c>
      <c r="AQ25" s="67">
        <f t="shared" si="20"/>
        <v>-134502.99399137075</v>
      </c>
      <c r="AR25" s="67">
        <f t="shared" si="21"/>
        <v>-70312.033994623809</v>
      </c>
      <c r="AS25" s="67">
        <f t="shared" si="22"/>
        <v>-22424.508239323084</v>
      </c>
      <c r="AT25" s="68">
        <v>1512</v>
      </c>
      <c r="AU25" s="68"/>
      <c r="AV25" s="68"/>
      <c r="AW25" s="68">
        <v>38</v>
      </c>
      <c r="AX25" s="68">
        <v>2179.8623916982606</v>
      </c>
      <c r="AY25" s="68">
        <v>-332.77838320859456</v>
      </c>
      <c r="AZ25" s="68">
        <v>1932.9853759469067</v>
      </c>
      <c r="BA25" s="299"/>
      <c r="BB25" s="67"/>
      <c r="BC25" s="67"/>
      <c r="BD25" s="67"/>
      <c r="BE25" s="67" t="s">
        <v>658</v>
      </c>
      <c r="BF25" s="98"/>
      <c r="BG25" s="67"/>
      <c r="BH25" s="67"/>
      <c r="BI25" s="98">
        <v>-1.6962607085426857E-14</v>
      </c>
      <c r="BJ25" s="306">
        <v>-1.1481270036999331</v>
      </c>
      <c r="BK25" s="306">
        <v>1.4575995877399734</v>
      </c>
      <c r="BL25" s="306">
        <v>2.9805976988575589</v>
      </c>
      <c r="BM25" s="306">
        <v>4.7080638755664674</v>
      </c>
      <c r="BN25" s="299"/>
      <c r="BO25" s="67">
        <v>13265884.231872084</v>
      </c>
      <c r="BP25" s="67">
        <v>15180794.720000001</v>
      </c>
      <c r="BQ25" s="67">
        <v>16705000</v>
      </c>
      <c r="BR25" s="67">
        <v>461466.39999999997</v>
      </c>
      <c r="BS25" s="67">
        <v>475000</v>
      </c>
      <c r="BT25" s="428">
        <v>0.57761674843204713</v>
      </c>
      <c r="BU25" s="428">
        <v>0.33464287704132478</v>
      </c>
      <c r="BV25" s="67">
        <f t="shared" si="23"/>
        <v>4076516.6109719714</v>
      </c>
      <c r="BW25" s="299"/>
      <c r="BX25" s="67">
        <v>29943000</v>
      </c>
      <c r="BY25" s="67">
        <v>13265884.231872084</v>
      </c>
      <c r="BZ25" s="67">
        <v>21948797.026056252</v>
      </c>
      <c r="CA25" s="67">
        <v>10422791.358106934</v>
      </c>
      <c r="CB25" s="67">
        <f t="shared" si="24"/>
        <v>-456176.51696067891</v>
      </c>
      <c r="CC25" s="67">
        <f t="shared" si="25"/>
        <v>5.4007242522488887</v>
      </c>
      <c r="CD25" s="67">
        <f t="shared" si="26"/>
        <v>65.838975754152841</v>
      </c>
      <c r="CE25" s="67">
        <f t="shared" si="27"/>
        <v>60.438251501903949</v>
      </c>
      <c r="CF25" s="67">
        <f t="shared" si="28"/>
        <v>-45.438251501903949</v>
      </c>
      <c r="CG25" s="67">
        <f t="shared" si="29"/>
        <v>-30.438251501903949</v>
      </c>
      <c r="CH25" s="67">
        <f t="shared" si="30"/>
        <v>-15.438251501903949</v>
      </c>
      <c r="CI25" s="67">
        <f t="shared" si="31"/>
        <v>-0.43825150190394879</v>
      </c>
      <c r="CJ25" s="67">
        <f t="shared" si="32"/>
        <v>-216422.3919035685</v>
      </c>
      <c r="CK25" s="67">
        <f t="shared" si="33"/>
        <v>-144977.3919035685</v>
      </c>
      <c r="CL25" s="67">
        <f t="shared" si="34"/>
        <v>-73532.39190356851</v>
      </c>
      <c r="CM25" s="67">
        <f t="shared" si="35"/>
        <v>-2087.391903568508</v>
      </c>
      <c r="CN25" s="299"/>
      <c r="CO25" s="430">
        <v>19655.822002314242</v>
      </c>
      <c r="CP25" s="430">
        <v>1531.38726743744</v>
      </c>
      <c r="CQ25" s="430">
        <v>1230.7529999999999</v>
      </c>
      <c r="CR25" s="430">
        <v>6135966.9950370872</v>
      </c>
      <c r="CS25" s="430">
        <v>3670460.5823014863</v>
      </c>
      <c r="CT25" s="430">
        <v>2779334.0948246871</v>
      </c>
      <c r="CU25" s="430">
        <v>833349.76911275019</v>
      </c>
      <c r="CV25" s="430">
        <v>-212406</v>
      </c>
      <c r="CW25" s="430">
        <v>52743.814965603931</v>
      </c>
      <c r="CX25" s="430">
        <v>-399811.44</v>
      </c>
      <c r="CY25" s="430">
        <v>13726531.603878252</v>
      </c>
      <c r="CZ25" s="519"/>
      <c r="DA25" s="524">
        <v>19366.689200000001</v>
      </c>
      <c r="DB25" s="524">
        <v>1519.4127522766535</v>
      </c>
      <c r="DC25" s="520">
        <f t="shared" si="36"/>
        <v>-1</v>
      </c>
      <c r="DD25" s="440">
        <v>4847</v>
      </c>
      <c r="DE25" s="450">
        <v>13265884.231872084</v>
      </c>
      <c r="DF25" s="440">
        <v>8275124.887506933</v>
      </c>
      <c r="DG25" s="440">
        <v>1230938.7119999998</v>
      </c>
      <c r="DH25" s="440">
        <v>916727.75860000006</v>
      </c>
      <c r="DI25" s="440">
        <v>3662758.5979850711</v>
      </c>
      <c r="DJ25" s="440">
        <v>827783.08923652419</v>
      </c>
      <c r="DK25" s="440">
        <v>-455199.6460995652</v>
      </c>
      <c r="DL25" s="440">
        <v>-122335</v>
      </c>
      <c r="DM25" s="440">
        <v>-25000</v>
      </c>
      <c r="DN25" s="440">
        <v>51091.700689186247</v>
      </c>
      <c r="DO25" s="457">
        <f t="shared" si="37"/>
        <v>1096005.8680460658</v>
      </c>
      <c r="DP25" s="459">
        <f t="shared" si="38"/>
        <v>226.12045967527663</v>
      </c>
      <c r="DQ25" s="440"/>
      <c r="DR25" s="450">
        <v>29943000</v>
      </c>
      <c r="DS25" s="440">
        <v>19342766.676156253</v>
      </c>
      <c r="DT25" s="440">
        <v>1375091.6379</v>
      </c>
      <c r="DU25" s="440">
        <v>6128276.5050370852</v>
      </c>
      <c r="DV25" s="440">
        <v>2760768.4651834308</v>
      </c>
      <c r="DW25" s="440">
        <v>1083603.7119999998</v>
      </c>
      <c r="DX25" s="457">
        <f t="shared" si="39"/>
        <v>747506.99627676606</v>
      </c>
      <c r="DY25" s="459">
        <f t="shared" si="40"/>
        <v>154.22054802491564</v>
      </c>
      <c r="DZ25" s="440"/>
      <c r="EA25" s="457">
        <f t="shared" si="41"/>
        <v>348498.87176929973</v>
      </c>
      <c r="EB25" s="459">
        <f t="shared" si="42"/>
        <v>71.899911650360991</v>
      </c>
      <c r="ED25" s="457">
        <v>-328307.65188257984</v>
      </c>
      <c r="EE25" s="458">
        <v>-261883.17588047544</v>
      </c>
      <c r="EF25" s="458">
        <v>-194454.94303121508</v>
      </c>
      <c r="EG25" s="458">
        <v>-127519.03142546579</v>
      </c>
      <c r="EH25" s="459">
        <v>-59545.668738409222</v>
      </c>
    </row>
    <row r="26" spans="1:138" x14ac:dyDescent="0.2">
      <c r="A26" s="67">
        <v>19</v>
      </c>
      <c r="B26" s="67" t="s">
        <v>147</v>
      </c>
      <c r="C26" s="67">
        <v>2</v>
      </c>
      <c r="D26" s="67">
        <v>3965</v>
      </c>
      <c r="E26" s="82">
        <v>9036996.2116274219</v>
      </c>
      <c r="F26" s="67">
        <v>6464907.6245869622</v>
      </c>
      <c r="G26" s="67">
        <v>870962</v>
      </c>
      <c r="H26" s="67">
        <v>545828.73564908397</v>
      </c>
      <c r="I26" s="67">
        <v>3426794.5113304714</v>
      </c>
      <c r="J26" s="67">
        <v>673665.62463138299</v>
      </c>
      <c r="K26" s="67">
        <v>-204793.5876302844</v>
      </c>
      <c r="L26" s="67">
        <v>-728739</v>
      </c>
      <c r="M26" s="68">
        <v>51369.5</v>
      </c>
      <c r="N26" s="68">
        <v>39908.963060651862</v>
      </c>
      <c r="O26" s="68">
        <v>-115394.84783470417</v>
      </c>
      <c r="P26" s="168">
        <f t="shared" si="8"/>
        <v>1987513.3121661416</v>
      </c>
      <c r="Q26" s="169">
        <f t="shared" si="9"/>
        <v>501.26439146687051</v>
      </c>
      <c r="R26" s="67"/>
      <c r="S26" s="82">
        <v>22892679.430000003</v>
      </c>
      <c r="T26" s="67">
        <v>15168870.566704948</v>
      </c>
      <c r="U26" s="67">
        <v>820354.53866026306</v>
      </c>
      <c r="V26" s="67">
        <v>5991014.9217118435</v>
      </c>
      <c r="W26" s="67">
        <v>2246765.894040884</v>
      </c>
      <c r="X26" s="67">
        <v>193592.5</v>
      </c>
      <c r="Y26" s="168">
        <f t="shared" si="10"/>
        <v>1527918.9911179356</v>
      </c>
      <c r="Z26" s="169">
        <f t="shared" si="11"/>
        <v>385.3515740524428</v>
      </c>
      <c r="AA26" s="67"/>
      <c r="AB26" s="77">
        <f t="shared" si="12"/>
        <v>459594.32104820595</v>
      </c>
      <c r="AC26" s="123">
        <f t="shared" si="13"/>
        <v>115.91281741442774</v>
      </c>
      <c r="AE26" s="170"/>
      <c r="AF26" s="177">
        <v>-395566.99747853359</v>
      </c>
      <c r="AG26" s="177">
        <v>-346423.70341359283</v>
      </c>
      <c r="AH26" s="177">
        <v>-292987.39092417405</v>
      </c>
      <c r="AI26" s="178">
        <v>-240361.79431482486</v>
      </c>
      <c r="AK26" s="67">
        <f t="shared" si="14"/>
        <v>8703962.9421179853</v>
      </c>
      <c r="AL26" s="67">
        <f t="shared" si="15"/>
        <v>274525.80301117909</v>
      </c>
      <c r="AM26" s="67">
        <f t="shared" si="16"/>
        <v>2564220.4103813721</v>
      </c>
      <c r="AN26" s="67">
        <f t="shared" si="17"/>
        <v>13855683.218372582</v>
      </c>
      <c r="AO26" s="67">
        <f t="shared" si="18"/>
        <v>0</v>
      </c>
      <c r="AP26" s="67">
        <f t="shared" si="19"/>
        <v>-395566.99747853359</v>
      </c>
      <c r="AQ26" s="67">
        <f t="shared" si="20"/>
        <v>-346423.70341359283</v>
      </c>
      <c r="AR26" s="67">
        <f t="shared" si="21"/>
        <v>-292987.39092417405</v>
      </c>
      <c r="AS26" s="67">
        <f t="shared" si="22"/>
        <v>-240361.79431482486</v>
      </c>
      <c r="AT26" s="68">
        <v>884</v>
      </c>
      <c r="AU26" s="68"/>
      <c r="AV26" s="68"/>
      <c r="AW26" s="68">
        <v>14</v>
      </c>
      <c r="AX26" s="68">
        <v>2242.519507070821</v>
      </c>
      <c r="AY26" s="68">
        <v>-644.7661659385758</v>
      </c>
      <c r="AZ26" s="68">
        <v>1583.0557618236589</v>
      </c>
      <c r="BA26" s="299"/>
      <c r="BB26" s="67"/>
      <c r="BC26" s="67"/>
      <c r="BD26" s="67"/>
      <c r="BE26" s="67"/>
      <c r="BF26" s="67"/>
      <c r="BG26" s="67"/>
      <c r="BH26" s="67"/>
      <c r="BN26" s="299"/>
      <c r="BO26" s="67">
        <v>9257631.1951651331</v>
      </c>
      <c r="BP26" s="67">
        <v>12544570.08</v>
      </c>
      <c r="BQ26" s="67">
        <v>13612000</v>
      </c>
      <c r="BR26" s="67">
        <v>318414.58</v>
      </c>
      <c r="BS26" s="67">
        <v>326000</v>
      </c>
      <c r="BT26" s="428">
        <v>0.57380428581300102</v>
      </c>
      <c r="BU26" s="428">
        <v>0.33464287704132473</v>
      </c>
      <c r="BV26" s="67">
        <f t="shared" si="23"/>
        <v>3932527.0921605891</v>
      </c>
      <c r="BW26" s="299"/>
      <c r="BX26" s="67">
        <v>22477260</v>
      </c>
      <c r="BY26" s="67">
        <v>9257631.1951651331</v>
      </c>
      <c r="BZ26" s="67">
        <v>16424730.238591364</v>
      </c>
      <c r="CA26" s="67">
        <v>7785904.5095643811</v>
      </c>
      <c r="CB26" s="67">
        <f t="shared" si="24"/>
        <v>-91254.49311667672</v>
      </c>
      <c r="CC26" s="67">
        <f t="shared" si="25"/>
        <v>385.3515740524424</v>
      </c>
      <c r="CD26" s="67">
        <f t="shared" si="26"/>
        <v>559.00309067199328</v>
      </c>
      <c r="CE26" s="67">
        <f t="shared" si="27"/>
        <v>173.65151661955088</v>
      </c>
      <c r="CF26" s="67">
        <f t="shared" si="28"/>
        <v>-158.65151661955088</v>
      </c>
      <c r="CG26" s="67">
        <f t="shared" si="29"/>
        <v>-143.65151661955088</v>
      </c>
      <c r="CH26" s="67">
        <f t="shared" si="30"/>
        <v>-128.65151661955088</v>
      </c>
      <c r="CI26" s="67">
        <f t="shared" si="31"/>
        <v>-113.65151661955088</v>
      </c>
      <c r="CJ26" s="67">
        <f t="shared" si="32"/>
        <v>-629053.26339651924</v>
      </c>
      <c r="CK26" s="67">
        <f t="shared" si="33"/>
        <v>-569578.26339651924</v>
      </c>
      <c r="CL26" s="67">
        <f t="shared" si="34"/>
        <v>-510103.26339651924</v>
      </c>
      <c r="CM26" s="67">
        <f t="shared" si="35"/>
        <v>-450628.26339651924</v>
      </c>
      <c r="CN26" s="299"/>
      <c r="CO26" s="430">
        <v>15168.870566704947</v>
      </c>
      <c r="CP26" s="430">
        <v>820.35453866026307</v>
      </c>
      <c r="CQ26" s="430">
        <v>870.96199999999999</v>
      </c>
      <c r="CR26" s="430">
        <v>5991014.9217118435</v>
      </c>
      <c r="CS26" s="430">
        <v>3426794.5113304714</v>
      </c>
      <c r="CT26" s="430">
        <v>2246765.894040884</v>
      </c>
      <c r="CU26" s="430">
        <v>673665.62463138299</v>
      </c>
      <c r="CV26" s="430">
        <v>-728739</v>
      </c>
      <c r="CW26" s="430">
        <v>39908.963060651862</v>
      </c>
      <c r="CX26" s="430">
        <v>51369.5</v>
      </c>
      <c r="CY26" s="430">
        <v>9036996.2116274219</v>
      </c>
      <c r="CZ26" s="519"/>
      <c r="DA26" s="524">
        <v>14728.971019999999</v>
      </c>
      <c r="DB26" s="524">
        <v>813.94004042687277</v>
      </c>
      <c r="DC26" s="520">
        <f t="shared" si="36"/>
        <v>-1</v>
      </c>
      <c r="DD26" s="440">
        <v>3955</v>
      </c>
      <c r="DE26" s="450">
        <v>9257631.1951651331</v>
      </c>
      <c r="DF26" s="440">
        <v>6426445.8503643814</v>
      </c>
      <c r="DG26" s="440">
        <v>868373.35799999989</v>
      </c>
      <c r="DH26" s="440">
        <v>491085.30119999999</v>
      </c>
      <c r="DI26" s="440">
        <v>3420552.6420265287</v>
      </c>
      <c r="DJ26" s="440">
        <v>677928.97207726259</v>
      </c>
      <c r="DK26" s="440">
        <v>-90275.155369053187</v>
      </c>
      <c r="DL26" s="440">
        <v>-74210</v>
      </c>
      <c r="DM26" s="440">
        <v>175000</v>
      </c>
      <c r="DN26" s="440">
        <v>38293.604147777209</v>
      </c>
      <c r="DO26" s="457">
        <f t="shared" si="37"/>
        <v>2675563.3772817645</v>
      </c>
      <c r="DP26" s="459">
        <f t="shared" si="38"/>
        <v>676.50148603837283</v>
      </c>
      <c r="DQ26" s="440"/>
      <c r="DR26" s="450">
        <v>22477260</v>
      </c>
      <c r="DS26" s="440">
        <v>14819728.928791365</v>
      </c>
      <c r="DT26" s="440">
        <v>736627.95179999992</v>
      </c>
      <c r="DU26" s="440">
        <v>5984784.8917118423</v>
      </c>
      <c r="DV26" s="440">
        <v>2260984.7339009214</v>
      </c>
      <c r="DW26" s="440">
        <v>969163.35799999989</v>
      </c>
      <c r="DX26" s="457">
        <f t="shared" si="39"/>
        <v>2294029.8642041311</v>
      </c>
      <c r="DY26" s="459">
        <f t="shared" si="40"/>
        <v>580.03283544984356</v>
      </c>
      <c r="DZ26" s="440"/>
      <c r="EA26" s="457">
        <f t="shared" si="41"/>
        <v>381533.51307763346</v>
      </c>
      <c r="EB26" s="459">
        <f t="shared" si="42"/>
        <v>96.468650588529314</v>
      </c>
      <c r="ED26" s="457">
        <v>-365058.11083873117</v>
      </c>
      <c r="EE26" s="458">
        <v>-310857.8214662692</v>
      </c>
      <c r="EF26" s="458">
        <v>-255838.49798394516</v>
      </c>
      <c r="EG26" s="458">
        <v>-201220.89319732695</v>
      </c>
      <c r="EH26" s="459">
        <v>-145756.76086241697</v>
      </c>
    </row>
    <row r="27" spans="1:138" x14ac:dyDescent="0.2">
      <c r="A27" s="67">
        <v>46</v>
      </c>
      <c r="B27" s="67" t="s">
        <v>148</v>
      </c>
      <c r="C27" s="67">
        <v>10</v>
      </c>
      <c r="D27" s="67">
        <v>1341</v>
      </c>
      <c r="E27" s="82">
        <v>3240967.7510877233</v>
      </c>
      <c r="F27" s="67">
        <v>1516708.0922182028</v>
      </c>
      <c r="G27" s="67">
        <v>558187</v>
      </c>
      <c r="H27" s="67">
        <v>510382.95262102206</v>
      </c>
      <c r="I27" s="67">
        <v>1086001.4055628912</v>
      </c>
      <c r="J27" s="67">
        <v>300546.13706906768</v>
      </c>
      <c r="K27" s="67">
        <v>418671.06360504171</v>
      </c>
      <c r="L27" s="67">
        <v>-336729</v>
      </c>
      <c r="M27" s="68">
        <v>92254.61</v>
      </c>
      <c r="N27" s="68">
        <v>10554.059344146375</v>
      </c>
      <c r="O27" s="68">
        <v>-39027.614362254302</v>
      </c>
      <c r="P27" s="168">
        <f t="shared" si="8"/>
        <v>876580.9549703938</v>
      </c>
      <c r="Q27" s="169">
        <f t="shared" si="9"/>
        <v>653.67707305771353</v>
      </c>
      <c r="R27" s="67"/>
      <c r="S27" s="82">
        <v>9887841.2699999977</v>
      </c>
      <c r="T27" s="67">
        <v>3634401.3356495192</v>
      </c>
      <c r="U27" s="67">
        <v>767081.21850635321</v>
      </c>
      <c r="V27" s="67">
        <v>5378947.5417952109</v>
      </c>
      <c r="W27" s="67">
        <v>1002361.9814681885</v>
      </c>
      <c r="X27" s="67">
        <v>313712.61</v>
      </c>
      <c r="Y27" s="168">
        <f t="shared" si="10"/>
        <v>1208663.4174192753</v>
      </c>
      <c r="Z27" s="169">
        <f t="shared" si="11"/>
        <v>901.31500180408295</v>
      </c>
      <c r="AA27" s="67"/>
      <c r="AB27" s="77">
        <f t="shared" si="12"/>
        <v>-332082.46244888147</v>
      </c>
      <c r="AC27" s="123">
        <f t="shared" si="13"/>
        <v>-247.63792874636948</v>
      </c>
      <c r="AE27" s="170"/>
      <c r="AF27" s="177">
        <v>313507.10076084116</v>
      </c>
      <c r="AG27" s="177">
        <v>289897.82140172028</v>
      </c>
      <c r="AH27" s="177">
        <v>267740.48093471158</v>
      </c>
      <c r="AI27" s="178">
        <v>245308.94879174494</v>
      </c>
      <c r="AK27" s="67">
        <f t="shared" si="14"/>
        <v>2117693.2434313167</v>
      </c>
      <c r="AL27" s="67">
        <f t="shared" si="15"/>
        <v>256698.26588533114</v>
      </c>
      <c r="AM27" s="67">
        <f t="shared" si="16"/>
        <v>4292946.1362323202</v>
      </c>
      <c r="AN27" s="67">
        <f t="shared" si="17"/>
        <v>6646873.5189122744</v>
      </c>
      <c r="AO27" s="67">
        <f t="shared" si="18"/>
        <v>0</v>
      </c>
      <c r="AP27" s="67">
        <f t="shared" si="19"/>
        <v>313507.10076084116</v>
      </c>
      <c r="AQ27" s="67">
        <f t="shared" si="20"/>
        <v>289897.82140172028</v>
      </c>
      <c r="AR27" s="67">
        <f t="shared" si="21"/>
        <v>267740.48093471158</v>
      </c>
      <c r="AS27" s="67">
        <f t="shared" si="22"/>
        <v>245308.94879174494</v>
      </c>
      <c r="AT27" s="68">
        <v>568</v>
      </c>
      <c r="AU27" s="68"/>
      <c r="AV27" s="68"/>
      <c r="AW27" s="68">
        <v>0</v>
      </c>
      <c r="AX27" s="68">
        <v>3568.8178934533498</v>
      </c>
      <c r="AY27" s="68">
        <v>-671.15982273345287</v>
      </c>
      <c r="AZ27" s="68">
        <v>703.50352336309118</v>
      </c>
      <c r="BA27" s="299"/>
      <c r="BB27" s="67"/>
      <c r="BC27" s="67"/>
      <c r="BD27" s="67"/>
      <c r="BE27" s="67"/>
      <c r="BF27" s="67"/>
      <c r="BG27" s="67"/>
      <c r="BH27" s="67"/>
      <c r="BJ27" s="333"/>
      <c r="BK27" s="333"/>
      <c r="BL27" s="333"/>
      <c r="BM27" s="333"/>
      <c r="BN27" s="299"/>
      <c r="BO27" s="67">
        <v>4234677.6560602374</v>
      </c>
      <c r="BP27" s="67">
        <v>5984633.4899999984</v>
      </c>
      <c r="BQ27" s="67">
        <v>6580000</v>
      </c>
      <c r="BR27" s="67">
        <v>136428.15</v>
      </c>
      <c r="BS27" s="67">
        <v>156000</v>
      </c>
      <c r="BT27" s="428">
        <v>0.58268007516370091</v>
      </c>
      <c r="BU27" s="428">
        <v>0.33464287704132478</v>
      </c>
      <c r="BV27" s="67">
        <f t="shared" si="23"/>
        <v>5413433.0442364831</v>
      </c>
      <c r="BW27" s="299"/>
      <c r="BX27" s="67">
        <v>10780038</v>
      </c>
      <c r="BY27" s="67">
        <v>4234677.6560602374</v>
      </c>
      <c r="BZ27" s="67">
        <v>4872978.1252751881</v>
      </c>
      <c r="CA27" s="67">
        <v>2554958.1619536825</v>
      </c>
      <c r="CB27" s="67">
        <f t="shared" si="24"/>
        <v>423003.00351982907</v>
      </c>
      <c r="CC27" s="67">
        <f t="shared" si="25"/>
        <v>901.31500180408193</v>
      </c>
      <c r="CD27" s="67">
        <f t="shared" si="26"/>
        <v>686.01081972217435</v>
      </c>
      <c r="CE27" s="67">
        <f t="shared" si="27"/>
        <v>-215.30418208190758</v>
      </c>
      <c r="CF27" s="67">
        <f t="shared" si="28"/>
        <v>200.30418208190758</v>
      </c>
      <c r="CG27" s="67">
        <f t="shared" si="29"/>
        <v>185.30418208190758</v>
      </c>
      <c r="CH27" s="67">
        <f t="shared" si="30"/>
        <v>170.30418208190758</v>
      </c>
      <c r="CI27" s="67">
        <f t="shared" si="31"/>
        <v>155.30418208190758</v>
      </c>
      <c r="CJ27" s="67">
        <f t="shared" si="32"/>
        <v>268607.90817183809</v>
      </c>
      <c r="CK27" s="67">
        <f t="shared" si="33"/>
        <v>248492.90817183806</v>
      </c>
      <c r="CL27" s="67">
        <f t="shared" si="34"/>
        <v>228377.90817183806</v>
      </c>
      <c r="CM27" s="67">
        <f t="shared" si="35"/>
        <v>208262.90817183806</v>
      </c>
      <c r="CN27" s="299"/>
      <c r="CO27" s="430">
        <v>3634.4013356495193</v>
      </c>
      <c r="CP27" s="430">
        <v>767.08121850635325</v>
      </c>
      <c r="CQ27" s="430">
        <v>558.18700000000001</v>
      </c>
      <c r="CR27" s="430">
        <v>5378947.5417952109</v>
      </c>
      <c r="CS27" s="430">
        <v>1086001.4055628912</v>
      </c>
      <c r="CT27" s="430">
        <v>1002361.9814681885</v>
      </c>
      <c r="CU27" s="430">
        <v>300546.13706906768</v>
      </c>
      <c r="CV27" s="430">
        <v>-336729</v>
      </c>
      <c r="CW27" s="430">
        <v>10554.059344146375</v>
      </c>
      <c r="CX27" s="430">
        <v>92254.61</v>
      </c>
      <c r="CY27" s="430">
        <v>3240967.7510877233</v>
      </c>
      <c r="CZ27" s="519"/>
      <c r="DA27" s="524">
        <v>3658.39176</v>
      </c>
      <c r="DB27" s="524">
        <v>761.08228906665056</v>
      </c>
      <c r="DC27" s="520">
        <f t="shared" si="36"/>
        <v>-1</v>
      </c>
      <c r="DD27" s="440">
        <v>1362</v>
      </c>
      <c r="DE27" s="450">
        <v>4234677.6560602374</v>
      </c>
      <c r="DF27" s="440">
        <v>1533796.8057536825</v>
      </c>
      <c r="DG27" s="440">
        <v>561966.83299999998</v>
      </c>
      <c r="DH27" s="440">
        <v>459194.5232</v>
      </c>
      <c r="DI27" s="440">
        <v>1083852.992540132</v>
      </c>
      <c r="DJ27" s="440">
        <v>301268.86995873181</v>
      </c>
      <c r="DK27" s="440">
        <v>423169.38777901919</v>
      </c>
      <c r="DL27" s="440">
        <v>-336729</v>
      </c>
      <c r="DM27" s="440">
        <v>122010</v>
      </c>
      <c r="DN27" s="440">
        <v>10275.162581856683</v>
      </c>
      <c r="DO27" s="457">
        <f t="shared" si="37"/>
        <v>-75872.081246815622</v>
      </c>
      <c r="DP27" s="459">
        <f t="shared" si="38"/>
        <v>-55.706373896340395</v>
      </c>
      <c r="DQ27" s="440"/>
      <c r="DR27" s="450">
        <v>10780038</v>
      </c>
      <c r="DS27" s="440">
        <v>3622219.5074751889</v>
      </c>
      <c r="DT27" s="440">
        <v>688791.78480000002</v>
      </c>
      <c r="DU27" s="440">
        <v>5376806.5017952109</v>
      </c>
      <c r="DV27" s="440">
        <v>1004772.393321823</v>
      </c>
      <c r="DW27" s="440">
        <v>347247.83299999998</v>
      </c>
      <c r="DX27" s="457">
        <f t="shared" si="39"/>
        <v>259800.02039222419</v>
      </c>
      <c r="DY27" s="459">
        <f t="shared" si="40"/>
        <v>190.74891365067856</v>
      </c>
      <c r="DZ27" s="440"/>
      <c r="EA27" s="457">
        <f t="shared" si="41"/>
        <v>-335672.10163903981</v>
      </c>
      <c r="EB27" s="459">
        <f t="shared" si="42"/>
        <v>-246.45528754701894</v>
      </c>
      <c r="ED27" s="457">
        <v>341345.80526720313</v>
      </c>
      <c r="EE27" s="458">
        <v>319150.98709407874</v>
      </c>
      <c r="EF27" s="458">
        <v>297238.22314538731</v>
      </c>
      <c r="EG27" s="458">
        <v>275187.11763827584</v>
      </c>
      <c r="EH27" s="459">
        <v>253427.53438673282</v>
      </c>
    </row>
    <row r="28" spans="1:138" x14ac:dyDescent="0.2">
      <c r="A28" s="67">
        <v>47</v>
      </c>
      <c r="B28" s="67" t="s">
        <v>149</v>
      </c>
      <c r="C28" s="67">
        <v>19</v>
      </c>
      <c r="D28" s="67">
        <v>1811</v>
      </c>
      <c r="E28" s="82">
        <v>7131946.4547619019</v>
      </c>
      <c r="F28" s="67">
        <v>2258435.3271762617</v>
      </c>
      <c r="G28" s="67">
        <v>882814</v>
      </c>
      <c r="H28" s="67">
        <v>556592.32522197487</v>
      </c>
      <c r="I28" s="67">
        <v>2766703.5280555827</v>
      </c>
      <c r="J28" s="67">
        <v>386736.84316276363</v>
      </c>
      <c r="K28" s="67">
        <v>-248811.4273356249</v>
      </c>
      <c r="L28" s="67">
        <v>-86561</v>
      </c>
      <c r="M28" s="68">
        <v>2185801.13</v>
      </c>
      <c r="N28" s="68">
        <v>14910.878841353444</v>
      </c>
      <c r="O28" s="68">
        <v>-52706.196577212926</v>
      </c>
      <c r="P28" s="168">
        <f t="shared" si="8"/>
        <v>1531968.9537831962</v>
      </c>
      <c r="Q28" s="169">
        <f t="shared" si="9"/>
        <v>845.92432566714308</v>
      </c>
      <c r="R28" s="67"/>
      <c r="S28" s="82">
        <v>17048390.959999997</v>
      </c>
      <c r="T28" s="67">
        <v>5333059.6290049702</v>
      </c>
      <c r="U28" s="67">
        <v>836531.70006950444</v>
      </c>
      <c r="V28" s="67">
        <v>8660525.5418423675</v>
      </c>
      <c r="W28" s="67">
        <v>1289819.6336833797</v>
      </c>
      <c r="X28" s="67">
        <v>2982054.13</v>
      </c>
      <c r="Y28" s="168">
        <f t="shared" si="10"/>
        <v>2053599.6746002249</v>
      </c>
      <c r="Z28" s="169">
        <f t="shared" si="11"/>
        <v>1133.9589589178493</v>
      </c>
      <c r="AA28" s="67"/>
      <c r="AB28" s="77">
        <f t="shared" si="12"/>
        <v>-521630.72081702878</v>
      </c>
      <c r="AC28" s="123">
        <f t="shared" si="13"/>
        <v>-288.03463325070612</v>
      </c>
      <c r="AE28" s="170"/>
      <c r="AF28" s="177">
        <v>496544.9788207282</v>
      </c>
      <c r="AG28" s="177">
        <v>464661.00796363055</v>
      </c>
      <c r="AH28" s="177">
        <v>434737.85838439659</v>
      </c>
      <c r="AI28" s="178">
        <v>404444.4171383768</v>
      </c>
      <c r="AK28" s="67">
        <f t="shared" si="14"/>
        <v>3074624.3018287085</v>
      </c>
      <c r="AL28" s="67">
        <f t="shared" si="15"/>
        <v>279939.37484752957</v>
      </c>
      <c r="AM28" s="67">
        <f t="shared" si="16"/>
        <v>5893822.0137867853</v>
      </c>
      <c r="AN28" s="67">
        <f t="shared" si="17"/>
        <v>9916444.5052380953</v>
      </c>
      <c r="AO28" s="67">
        <f t="shared" si="18"/>
        <v>0</v>
      </c>
      <c r="AP28" s="67">
        <f t="shared" si="19"/>
        <v>496544.9788207282</v>
      </c>
      <c r="AQ28" s="67">
        <f t="shared" si="20"/>
        <v>464661.00796363055</v>
      </c>
      <c r="AR28" s="67">
        <f t="shared" si="21"/>
        <v>434737.85838439659</v>
      </c>
      <c r="AS28" s="67">
        <f t="shared" si="22"/>
        <v>404444.4171383768</v>
      </c>
      <c r="AT28" s="68">
        <v>468</v>
      </c>
      <c r="AU28" s="68"/>
      <c r="AV28" s="68"/>
      <c r="AW28" s="68">
        <v>44</v>
      </c>
      <c r="AX28" s="68">
        <v>4376.1270890675678</v>
      </c>
      <c r="AY28" s="68">
        <v>-830.18991901177378</v>
      </c>
      <c r="AZ28" s="68">
        <v>902.6860463063706</v>
      </c>
      <c r="BA28" s="299"/>
      <c r="BB28" s="67"/>
      <c r="BC28" s="67"/>
      <c r="BD28" s="67"/>
      <c r="BE28" s="67"/>
      <c r="BF28" s="67"/>
      <c r="BG28" s="67"/>
      <c r="BH28" s="67"/>
      <c r="BN28" s="299"/>
      <c r="BO28" s="67">
        <v>7579563.3612110261</v>
      </c>
      <c r="BP28" s="67">
        <v>8903430.0800000001</v>
      </c>
      <c r="BQ28" s="67">
        <v>9572000</v>
      </c>
      <c r="BR28" s="67">
        <v>333251.82</v>
      </c>
      <c r="BS28" s="67">
        <v>372000</v>
      </c>
      <c r="BT28" s="428">
        <v>0.57652164343085821</v>
      </c>
      <c r="BU28" s="428">
        <v>0.33464287704132478</v>
      </c>
      <c r="BV28" s="67">
        <f t="shared" si="23"/>
        <v>6548093.3769717766</v>
      </c>
      <c r="BW28" s="299"/>
      <c r="BX28" s="67">
        <v>17086763.119999997</v>
      </c>
      <c r="BY28" s="67">
        <v>7579563.3612110261</v>
      </c>
      <c r="BZ28" s="67">
        <v>7066420.9211664861</v>
      </c>
      <c r="CA28" s="67">
        <v>3719503.409118359</v>
      </c>
      <c r="CB28" s="67">
        <f t="shared" si="24"/>
        <v>-40185.464833742066</v>
      </c>
      <c r="CC28" s="67">
        <f t="shared" si="25"/>
        <v>1133.9589589178488</v>
      </c>
      <c r="CD28" s="67">
        <f t="shared" si="26"/>
        <v>990.22700875885823</v>
      </c>
      <c r="CE28" s="67">
        <f t="shared" si="27"/>
        <v>-143.73195015899057</v>
      </c>
      <c r="CF28" s="67">
        <f t="shared" si="28"/>
        <v>128.73195015899057</v>
      </c>
      <c r="CG28" s="67">
        <f t="shared" si="29"/>
        <v>113.73195015899057</v>
      </c>
      <c r="CH28" s="67">
        <f t="shared" si="30"/>
        <v>98.731950158990571</v>
      </c>
      <c r="CI28" s="67">
        <f t="shared" si="31"/>
        <v>83.731950158990571</v>
      </c>
      <c r="CJ28" s="67">
        <f t="shared" si="32"/>
        <v>233133.56173793192</v>
      </c>
      <c r="CK28" s="67">
        <f t="shared" si="33"/>
        <v>205968.56173793192</v>
      </c>
      <c r="CL28" s="67">
        <f t="shared" si="34"/>
        <v>178803.56173793192</v>
      </c>
      <c r="CM28" s="67">
        <f t="shared" si="35"/>
        <v>151638.56173793192</v>
      </c>
      <c r="CN28" s="299"/>
      <c r="CO28" s="430">
        <v>5333.0596290049698</v>
      </c>
      <c r="CP28" s="430">
        <v>836.5317000695045</v>
      </c>
      <c r="CQ28" s="430">
        <v>882.81399999999996</v>
      </c>
      <c r="CR28" s="430">
        <v>8660525.5418423675</v>
      </c>
      <c r="CS28" s="430">
        <v>2766703.5280555827</v>
      </c>
      <c r="CT28" s="430">
        <v>1289819.6336833797</v>
      </c>
      <c r="CU28" s="430">
        <v>386736.84316276363</v>
      </c>
      <c r="CV28" s="430">
        <v>-86561</v>
      </c>
      <c r="CW28" s="430">
        <v>14910.878841353444</v>
      </c>
      <c r="CX28" s="430">
        <v>2185801.13</v>
      </c>
      <c r="CY28" s="430">
        <v>7131946.4547619019</v>
      </c>
      <c r="CZ28" s="519"/>
      <c r="DA28" s="524">
        <v>5650.4948800000002</v>
      </c>
      <c r="DB28" s="524">
        <v>829.99059757873613</v>
      </c>
      <c r="DC28" s="520">
        <f t="shared" si="36"/>
        <v>-1</v>
      </c>
      <c r="DD28" s="440">
        <v>1789</v>
      </c>
      <c r="DE28" s="450">
        <v>7579563.3612110261</v>
      </c>
      <c r="DF28" s="440">
        <v>2330290.0387183591</v>
      </c>
      <c r="DG28" s="440">
        <v>888444.00479999988</v>
      </c>
      <c r="DH28" s="440">
        <v>500769.36559999996</v>
      </c>
      <c r="DI28" s="440">
        <v>2763863.7464286303</v>
      </c>
      <c r="DJ28" s="440">
        <v>386566.9411265715</v>
      </c>
      <c r="DK28" s="440">
        <v>-40129.627860742439</v>
      </c>
      <c r="DL28" s="440">
        <v>-36544</v>
      </c>
      <c r="DM28" s="440">
        <v>565737</v>
      </c>
      <c r="DN28" s="440">
        <v>14835.99025397518</v>
      </c>
      <c r="DO28" s="457">
        <f t="shared" si="37"/>
        <v>-205729.90214423276</v>
      </c>
      <c r="DP28" s="459">
        <f t="shared" si="38"/>
        <v>-114.99715044395347</v>
      </c>
      <c r="DQ28" s="440"/>
      <c r="DR28" s="450">
        <v>17086763.119999997</v>
      </c>
      <c r="DS28" s="440">
        <v>5426822.8679664861</v>
      </c>
      <c r="DT28" s="440">
        <v>751154.04839999997</v>
      </c>
      <c r="DU28" s="440">
        <v>8657694.1818423644</v>
      </c>
      <c r="DV28" s="440">
        <v>1289252.987432942</v>
      </c>
      <c r="DW28" s="440">
        <v>1417637.0047999998</v>
      </c>
      <c r="DX28" s="457">
        <f t="shared" si="39"/>
        <v>455797.97044179589</v>
      </c>
      <c r="DY28" s="459">
        <f t="shared" si="40"/>
        <v>254.77807179530234</v>
      </c>
      <c r="DZ28" s="440"/>
      <c r="EA28" s="457">
        <f t="shared" si="41"/>
        <v>-661527.87258602865</v>
      </c>
      <c r="EB28" s="459">
        <f t="shared" si="42"/>
        <v>-369.77522223925581</v>
      </c>
      <c r="ED28" s="457">
        <v>668980.33645591396</v>
      </c>
      <c r="EE28" s="458">
        <v>639827.23094070144</v>
      </c>
      <c r="EF28" s="458">
        <v>611044.60634142905</v>
      </c>
      <c r="EG28" s="458">
        <v>582080.26878473116</v>
      </c>
      <c r="EH28" s="459">
        <v>553498.84849324042</v>
      </c>
    </row>
    <row r="29" spans="1:138" x14ac:dyDescent="0.2">
      <c r="A29" s="67">
        <v>49</v>
      </c>
      <c r="B29" s="67" t="s">
        <v>150</v>
      </c>
      <c r="C29" s="67">
        <v>33</v>
      </c>
      <c r="D29" s="67">
        <v>305274</v>
      </c>
      <c r="E29" s="82">
        <v>965182838.20434892</v>
      </c>
      <c r="F29" s="67">
        <v>441879498.23163378</v>
      </c>
      <c r="G29" s="67">
        <v>140504728</v>
      </c>
      <c r="H29" s="67">
        <v>135555748.99523157</v>
      </c>
      <c r="I29" s="67">
        <v>201590315.59047353</v>
      </c>
      <c r="J29" s="67">
        <v>29327458.985829175</v>
      </c>
      <c r="K29" s="67">
        <v>114000022.89051713</v>
      </c>
      <c r="L29" s="67">
        <v>1373865</v>
      </c>
      <c r="M29" s="68">
        <v>-15645303.539999999</v>
      </c>
      <c r="N29" s="68">
        <v>4947633.5079898816</v>
      </c>
      <c r="O29" s="68">
        <v>-8884501.0789133627</v>
      </c>
      <c r="P29" s="168">
        <f t="shared" si="8"/>
        <v>79466628.378412813</v>
      </c>
      <c r="Q29" s="169">
        <f t="shared" si="9"/>
        <v>260.3124680726587</v>
      </c>
      <c r="R29" s="67"/>
      <c r="S29" s="82">
        <v>1855153588.1700001</v>
      </c>
      <c r="T29" s="67">
        <v>1486791528.2844548</v>
      </c>
      <c r="U29" s="67">
        <v>203733821.00795639</v>
      </c>
      <c r="V29" s="67">
        <v>68242353.171724796</v>
      </c>
      <c r="W29" s="67">
        <v>97811038.88787359</v>
      </c>
      <c r="X29" s="67">
        <v>126233289.46000001</v>
      </c>
      <c r="Y29" s="168">
        <f t="shared" si="10"/>
        <v>127658442.6420095</v>
      </c>
      <c r="Z29" s="169">
        <f t="shared" si="11"/>
        <v>418.1765975550145</v>
      </c>
      <c r="AA29" s="67"/>
      <c r="AB29" s="77">
        <f t="shared" si="12"/>
        <v>-48191814.263596684</v>
      </c>
      <c r="AC29" s="123">
        <f t="shared" si="13"/>
        <v>-157.86412948235579</v>
      </c>
      <c r="AE29" s="170"/>
      <c r="AF29" s="177">
        <v>43963197.586524382</v>
      </c>
      <c r="AG29" s="177">
        <v>38588627.007049158</v>
      </c>
      <c r="AH29" s="177">
        <v>33544585.281675845</v>
      </c>
      <c r="AI29" s="178">
        <v>28438124.772047214</v>
      </c>
      <c r="AK29" s="67">
        <f t="shared" si="14"/>
        <v>1044912030.052821</v>
      </c>
      <c r="AL29" s="67">
        <f t="shared" si="15"/>
        <v>68178072.012724817</v>
      </c>
      <c r="AM29" s="67">
        <f t="shared" si="16"/>
        <v>-133347962.41874874</v>
      </c>
      <c r="AN29" s="67">
        <f t="shared" si="17"/>
        <v>889970749.96565115</v>
      </c>
      <c r="AO29" s="67">
        <f t="shared" si="18"/>
        <v>0</v>
      </c>
      <c r="AP29" s="67">
        <f t="shared" si="19"/>
        <v>43963197.586524382</v>
      </c>
      <c r="AQ29" s="67">
        <f t="shared" si="20"/>
        <v>38588627.007049158</v>
      </c>
      <c r="AR29" s="67">
        <f t="shared" si="21"/>
        <v>33544585.281675845</v>
      </c>
      <c r="AS29" s="67">
        <f t="shared" si="22"/>
        <v>28438124.772047214</v>
      </c>
      <c r="AT29" s="68">
        <v>190164</v>
      </c>
      <c r="AU29" s="68"/>
      <c r="AV29" s="68"/>
      <c r="AW29" s="68">
        <v>1942</v>
      </c>
      <c r="AX29" s="68">
        <v>26844.831942121775</v>
      </c>
      <c r="AY29" s="68">
        <v>132384.59336412215</v>
      </c>
      <c r="AZ29" s="68">
        <v>68214.935910467873</v>
      </c>
      <c r="BA29" s="299"/>
      <c r="BB29" s="67"/>
      <c r="BC29" s="67"/>
      <c r="BD29" s="67"/>
      <c r="BE29" s="67"/>
      <c r="BF29" s="67"/>
      <c r="BG29" s="67"/>
      <c r="BH29" s="67"/>
      <c r="BN29" s="299"/>
      <c r="BO29" s="67">
        <v>997168948.67332685</v>
      </c>
      <c r="BP29" s="67">
        <v>811132334.48000002</v>
      </c>
      <c r="BQ29" s="67">
        <v>867107000</v>
      </c>
      <c r="BR29" s="67">
        <v>21524130.320000004</v>
      </c>
      <c r="BS29" s="67">
        <v>21698000</v>
      </c>
      <c r="BT29" s="428">
        <v>0.70279659937160144</v>
      </c>
      <c r="BU29" s="428">
        <v>0.33464287704132478</v>
      </c>
      <c r="BV29" s="67">
        <f t="shared" si="23"/>
        <v>49135640.37381281</v>
      </c>
      <c r="BW29" s="299"/>
      <c r="BX29" s="67">
        <v>1871879259.46</v>
      </c>
      <c r="BY29" s="67">
        <v>997168948.67332685</v>
      </c>
      <c r="BZ29" s="67">
        <v>1753458828.6016128</v>
      </c>
      <c r="CA29" s="67">
        <v>693840650.23067307</v>
      </c>
      <c r="CB29" s="67">
        <f t="shared" si="24"/>
        <v>85501779.144923657</v>
      </c>
      <c r="CC29" s="67">
        <f t="shared" si="25"/>
        <v>418.17659755501461</v>
      </c>
      <c r="CD29" s="67">
        <f t="shared" si="26"/>
        <v>196.062834410178</v>
      </c>
      <c r="CE29" s="67">
        <f t="shared" si="27"/>
        <v>-222.11376314483661</v>
      </c>
      <c r="CF29" s="67">
        <f t="shared" si="28"/>
        <v>207.11376314483661</v>
      </c>
      <c r="CG29" s="67">
        <f t="shared" si="29"/>
        <v>192.11376314483661</v>
      </c>
      <c r="CH29" s="67">
        <f t="shared" si="30"/>
        <v>177.11376314483661</v>
      </c>
      <c r="CI29" s="67">
        <f t="shared" si="31"/>
        <v>162.11376314483661</v>
      </c>
      <c r="CJ29" s="67">
        <f t="shared" si="32"/>
        <v>63226446.930276848</v>
      </c>
      <c r="CK29" s="67">
        <f t="shared" si="33"/>
        <v>58647336.930276848</v>
      </c>
      <c r="CL29" s="67">
        <f t="shared" si="34"/>
        <v>54068226.930276848</v>
      </c>
      <c r="CM29" s="67">
        <f t="shared" si="35"/>
        <v>49489116.930276848</v>
      </c>
      <c r="CN29" s="299"/>
      <c r="CO29" s="430">
        <v>1486791.5282844547</v>
      </c>
      <c r="CP29" s="430">
        <v>203733.82100795637</v>
      </c>
      <c r="CQ29" s="430">
        <v>140504.728</v>
      </c>
      <c r="CR29" s="430">
        <v>68242353.171724796</v>
      </c>
      <c r="CS29" s="430">
        <v>201590315.59047353</v>
      </c>
      <c r="CT29" s="430">
        <v>97811038.88787359</v>
      </c>
      <c r="CU29" s="430">
        <v>29327458.985829175</v>
      </c>
      <c r="CV29" s="430">
        <v>1373865</v>
      </c>
      <c r="CW29" s="430">
        <v>4947633.5079898816</v>
      </c>
      <c r="CX29" s="430">
        <v>-15645303.539999999</v>
      </c>
      <c r="CY29" s="430">
        <v>965182838.20434892</v>
      </c>
      <c r="CZ29" s="519"/>
      <c r="DA29" s="524">
        <v>1492668.5601999999</v>
      </c>
      <c r="DB29" s="524">
        <v>202140.61385807561</v>
      </c>
      <c r="DC29" s="520">
        <f t="shared" si="36"/>
        <v>-1</v>
      </c>
      <c r="DD29" s="440">
        <v>297132</v>
      </c>
      <c r="DE29" s="450">
        <v>997168948.67332685</v>
      </c>
      <c r="DF29" s="440">
        <v>429934882.04677296</v>
      </c>
      <c r="DG29" s="440">
        <v>141945469.14330003</v>
      </c>
      <c r="DH29" s="440">
        <v>121960299.0406</v>
      </c>
      <c r="DI29" s="440">
        <v>201128757.86385483</v>
      </c>
      <c r="DJ29" s="440">
        <v>29212414.683880985</v>
      </c>
      <c r="DK29" s="440">
        <v>85654835.328998104</v>
      </c>
      <c r="DL29" s="440">
        <v>-77253</v>
      </c>
      <c r="DM29" s="440">
        <v>21455850</v>
      </c>
      <c r="DN29" s="440">
        <v>4697004.007614797</v>
      </c>
      <c r="DO29" s="457">
        <f t="shared" si="37"/>
        <v>38743310.441694856</v>
      </c>
      <c r="DP29" s="459">
        <f t="shared" si="38"/>
        <v>130.39090519262433</v>
      </c>
      <c r="DQ29" s="440"/>
      <c r="DR29" s="450">
        <v>1871879259.46</v>
      </c>
      <c r="DS29" s="440">
        <v>1428572910.8974128</v>
      </c>
      <c r="DT29" s="440">
        <v>182940448.5609</v>
      </c>
      <c r="DU29" s="440">
        <v>67781680.961724758</v>
      </c>
      <c r="DV29" s="440">
        <v>97427350.594348863</v>
      </c>
      <c r="DW29" s="440">
        <v>163324066.14330003</v>
      </c>
      <c r="DX29" s="457">
        <f t="shared" si="39"/>
        <v>68167197.697686434</v>
      </c>
      <c r="DY29" s="459">
        <f t="shared" si="40"/>
        <v>229.41722095797974</v>
      </c>
      <c r="DZ29" s="440"/>
      <c r="EA29" s="457">
        <f t="shared" si="41"/>
        <v>-29423887.255991578</v>
      </c>
      <c r="EB29" s="459">
        <f t="shared" si="42"/>
        <v>-99.026315765355392</v>
      </c>
      <c r="ED29" s="457">
        <v>30661654.441339031</v>
      </c>
      <c r="EE29" s="458">
        <v>25819664.196539629</v>
      </c>
      <c r="EF29" s="458">
        <v>21039206.503733031</v>
      </c>
      <c r="EG29" s="458">
        <v>16228568.411560452</v>
      </c>
      <c r="EH29" s="459">
        <v>11481528.40370621</v>
      </c>
    </row>
    <row r="30" spans="1:138" x14ac:dyDescent="0.2">
      <c r="A30" s="67">
        <v>50</v>
      </c>
      <c r="B30" s="67" t="s">
        <v>151</v>
      </c>
      <c r="C30" s="67">
        <v>4</v>
      </c>
      <c r="D30" s="67">
        <v>11276</v>
      </c>
      <c r="E30" s="82">
        <v>30037502.756535843</v>
      </c>
      <c r="F30" s="67">
        <v>16909305.164441939</v>
      </c>
      <c r="G30" s="67">
        <v>3230145</v>
      </c>
      <c r="H30" s="67">
        <v>2190757.703442127</v>
      </c>
      <c r="I30" s="67">
        <v>5658653.5395459738</v>
      </c>
      <c r="J30" s="67">
        <v>2047598.9509427883</v>
      </c>
      <c r="K30" s="67">
        <v>-892683.85432614351</v>
      </c>
      <c r="L30" s="67">
        <v>-1334392</v>
      </c>
      <c r="M30" s="68">
        <v>-5594.46</v>
      </c>
      <c r="N30" s="68">
        <v>112852.14535516301</v>
      </c>
      <c r="O30" s="68">
        <v>-328169.55969334784</v>
      </c>
      <c r="P30" s="168">
        <f t="shared" si="8"/>
        <v>-2449030.1268273406</v>
      </c>
      <c r="Q30" s="169">
        <f t="shared" si="9"/>
        <v>-217.18961749089576</v>
      </c>
      <c r="R30" s="67"/>
      <c r="S30" s="82">
        <v>78317266.099999994</v>
      </c>
      <c r="T30" s="67">
        <v>41196284.547491185</v>
      </c>
      <c r="U30" s="67">
        <v>3292604.2689681901</v>
      </c>
      <c r="V30" s="67">
        <v>22011237.615159743</v>
      </c>
      <c r="W30" s="67">
        <v>6829019.20395514</v>
      </c>
      <c r="X30" s="67">
        <v>1890158.54</v>
      </c>
      <c r="Y30" s="168">
        <f t="shared" si="10"/>
        <v>-3097961.9244257361</v>
      </c>
      <c r="Z30" s="169">
        <f t="shared" si="11"/>
        <v>-274.73943991005109</v>
      </c>
      <c r="AA30" s="67"/>
      <c r="AB30" s="77">
        <f t="shared" si="12"/>
        <v>648931.7975983955</v>
      </c>
      <c r="AC30" s="123">
        <f t="shared" si="13"/>
        <v>57.549822419155326</v>
      </c>
      <c r="AE30" s="170"/>
      <c r="AF30" s="177">
        <v>-466845.51750466775</v>
      </c>
      <c r="AG30" s="177">
        <v>-327087.69054974412</v>
      </c>
      <c r="AH30" s="177">
        <v>-175121.01725070601</v>
      </c>
      <c r="AI30" s="178">
        <v>-53088.12826088749</v>
      </c>
      <c r="AK30" s="67">
        <f t="shared" si="14"/>
        <v>24286979.383049246</v>
      </c>
      <c r="AL30" s="67">
        <f t="shared" si="15"/>
        <v>1101846.5655260631</v>
      </c>
      <c r="AM30" s="67">
        <f t="shared" si="16"/>
        <v>16352584.075613769</v>
      </c>
      <c r="AN30" s="67">
        <f t="shared" si="17"/>
        <v>48279763.343464151</v>
      </c>
      <c r="AO30" s="67">
        <f t="shared" si="18"/>
        <v>0</v>
      </c>
      <c r="AP30" s="67">
        <f t="shared" si="19"/>
        <v>-466845.51750466775</v>
      </c>
      <c r="AQ30" s="67">
        <f t="shared" si="20"/>
        <v>-327087.69054974412</v>
      </c>
      <c r="AR30" s="67">
        <f t="shared" si="21"/>
        <v>-175121.01725070601</v>
      </c>
      <c r="AS30" s="67">
        <f t="shared" si="22"/>
        <v>-53088.12826088749</v>
      </c>
      <c r="AT30" s="68">
        <v>3798</v>
      </c>
      <c r="AU30" s="68"/>
      <c r="AV30" s="68"/>
      <c r="AW30" s="68">
        <v>9</v>
      </c>
      <c r="AX30" s="68">
        <v>14978.303982425445</v>
      </c>
      <c r="AY30" s="68">
        <v>-1428.0893212359774</v>
      </c>
      <c r="AZ30" s="68">
        <v>4803.4224492984567</v>
      </c>
      <c r="BA30" s="299"/>
      <c r="BB30" s="67"/>
      <c r="BC30" s="67"/>
      <c r="BD30" s="67"/>
      <c r="BE30" s="67"/>
      <c r="BF30" s="67"/>
      <c r="BG30" s="67"/>
      <c r="BH30" s="67"/>
      <c r="BN30" s="299"/>
      <c r="BO30" s="67">
        <v>27821895.371319167</v>
      </c>
      <c r="BP30" s="67">
        <v>43836768.089999981</v>
      </c>
      <c r="BQ30" s="67">
        <v>46816000</v>
      </c>
      <c r="BR30" s="67">
        <v>1335255.3500000001</v>
      </c>
      <c r="BS30" s="67">
        <v>1398000</v>
      </c>
      <c r="BT30" s="428">
        <v>0.58954295635692955</v>
      </c>
      <c r="BU30" s="428">
        <v>0.33464287704132478</v>
      </c>
      <c r="BV30" s="67">
        <f t="shared" si="23"/>
        <v>20241320.474299975</v>
      </c>
      <c r="BW30" s="299"/>
      <c r="BX30" s="67">
        <v>74882222</v>
      </c>
      <c r="BY30" s="67">
        <v>27821895.371319167</v>
      </c>
      <c r="BZ30" s="67">
        <v>49066840.397338584</v>
      </c>
      <c r="CA30" s="67">
        <v>22941661.882758774</v>
      </c>
      <c r="CB30" s="67">
        <f t="shared" si="24"/>
        <v>94154.036147307663</v>
      </c>
      <c r="CC30" s="67">
        <f t="shared" si="25"/>
        <v>-274.73943991005132</v>
      </c>
      <c r="CD30" s="67">
        <f t="shared" si="26"/>
        <v>-100.56958821040656</v>
      </c>
      <c r="CE30" s="67">
        <f t="shared" si="27"/>
        <v>174.16985169964477</v>
      </c>
      <c r="CF30" s="67">
        <f t="shared" si="28"/>
        <v>-159.16985169964477</v>
      </c>
      <c r="CG30" s="67">
        <f t="shared" si="29"/>
        <v>-144.16985169964477</v>
      </c>
      <c r="CH30" s="67">
        <f t="shared" si="30"/>
        <v>-129.16985169964477</v>
      </c>
      <c r="CI30" s="67">
        <f t="shared" si="31"/>
        <v>-114.16985169964477</v>
      </c>
      <c r="CJ30" s="67">
        <f t="shared" si="32"/>
        <v>-1794799.2477651944</v>
      </c>
      <c r="CK30" s="67">
        <f t="shared" si="33"/>
        <v>-1625659.2477651944</v>
      </c>
      <c r="CL30" s="67">
        <f t="shared" si="34"/>
        <v>-1456519.2477651944</v>
      </c>
      <c r="CM30" s="67">
        <f t="shared" si="35"/>
        <v>-1287379.2477651944</v>
      </c>
      <c r="CN30" s="299"/>
      <c r="CO30" s="430">
        <v>41196.284547491188</v>
      </c>
      <c r="CP30" s="430">
        <v>3292.6042689681899</v>
      </c>
      <c r="CQ30" s="430">
        <v>3230.145</v>
      </c>
      <c r="CR30" s="430">
        <v>22011237.615159743</v>
      </c>
      <c r="CS30" s="430">
        <v>5658653.5395459738</v>
      </c>
      <c r="CT30" s="430">
        <v>6829019.20395514</v>
      </c>
      <c r="CU30" s="430">
        <v>2047598.9509427883</v>
      </c>
      <c r="CV30" s="430">
        <v>-1334392</v>
      </c>
      <c r="CW30" s="430">
        <v>112852.14535516301</v>
      </c>
      <c r="CX30" s="430">
        <v>-5594.46</v>
      </c>
      <c r="CY30" s="430">
        <v>30037502.756535843</v>
      </c>
      <c r="CZ30" s="519"/>
      <c r="DA30" s="524">
        <v>41686.331560000006</v>
      </c>
      <c r="DB30" s="524">
        <v>3266.8573781529194</v>
      </c>
      <c r="DC30" s="520">
        <f t="shared" si="36"/>
        <v>-1</v>
      </c>
      <c r="DD30" s="440">
        <v>11417</v>
      </c>
      <c r="DE30" s="450">
        <v>27821895.371319167</v>
      </c>
      <c r="DF30" s="440">
        <v>17705905.043558773</v>
      </c>
      <c r="DG30" s="440">
        <v>3264719.3390000002</v>
      </c>
      <c r="DH30" s="440">
        <v>1971037.5002000001</v>
      </c>
      <c r="DI30" s="440">
        <v>5640596.2427046876</v>
      </c>
      <c r="DJ30" s="440">
        <v>2057021.1877782783</v>
      </c>
      <c r="DK30" s="440">
        <v>92375.646514763721</v>
      </c>
      <c r="DL30" s="440">
        <v>-1324551</v>
      </c>
      <c r="DM30" s="440">
        <v>61000</v>
      </c>
      <c r="DN30" s="440">
        <v>115805.92961446565</v>
      </c>
      <c r="DO30" s="457">
        <f t="shared" si="37"/>
        <v>1762014.5180518031</v>
      </c>
      <c r="DP30" s="459">
        <f t="shared" si="38"/>
        <v>154.33253201820119</v>
      </c>
      <c r="DQ30" s="440"/>
      <c r="DR30" s="450">
        <v>74882222</v>
      </c>
      <c r="DS30" s="440">
        <v>42845564.808038585</v>
      </c>
      <c r="DT30" s="440">
        <v>2956556.2503000004</v>
      </c>
      <c r="DU30" s="440">
        <v>21993229.815159716</v>
      </c>
      <c r="DV30" s="440">
        <v>6860443.6370767346</v>
      </c>
      <c r="DW30" s="440">
        <v>2001168.3390000002</v>
      </c>
      <c r="DX30" s="457">
        <f t="shared" si="39"/>
        <v>1774740.8495750427</v>
      </c>
      <c r="DY30" s="459">
        <f t="shared" si="40"/>
        <v>155.44721464264191</v>
      </c>
      <c r="DZ30" s="440"/>
      <c r="EA30" s="457">
        <f t="shared" si="41"/>
        <v>-12726.331523239613</v>
      </c>
      <c r="EB30" s="459">
        <f t="shared" si="42"/>
        <v>-1.1146826244407124</v>
      </c>
      <c r="ED30" s="457">
        <v>60286.297986327452</v>
      </c>
      <c r="EE30" s="458">
        <v>32766.332775466239</v>
      </c>
      <c r="EF30" s="458">
        <v>20337.025872228285</v>
      </c>
      <c r="EG30" s="458">
        <v>6748.0673005013286</v>
      </c>
      <c r="EH30" s="459">
        <v>-4397.1984725283983</v>
      </c>
    </row>
    <row r="31" spans="1:138" x14ac:dyDescent="0.2">
      <c r="A31" s="67">
        <v>51</v>
      </c>
      <c r="B31" s="67" t="s">
        <v>152</v>
      </c>
      <c r="C31" s="67">
        <v>4</v>
      </c>
      <c r="D31" s="67">
        <v>9211</v>
      </c>
      <c r="E31" s="82">
        <v>30460635.227913417</v>
      </c>
      <c r="F31" s="67">
        <v>9958097.0170554016</v>
      </c>
      <c r="G31" s="67">
        <v>4357985</v>
      </c>
      <c r="H31" s="67">
        <v>1999701.899951787</v>
      </c>
      <c r="I31" s="67">
        <v>3619217.8778597903</v>
      </c>
      <c r="J31" s="67">
        <v>1747238.2124922844</v>
      </c>
      <c r="K31" s="67">
        <v>-4254472.7727590241</v>
      </c>
      <c r="L31" s="67">
        <v>-971299</v>
      </c>
      <c r="M31" s="68">
        <v>174508.79</v>
      </c>
      <c r="N31" s="68">
        <v>104308.93466779462</v>
      </c>
      <c r="O31" s="68">
        <v>-268071.10804677429</v>
      </c>
      <c r="P31" s="168">
        <f t="shared" si="8"/>
        <v>-13993420.376692157</v>
      </c>
      <c r="Q31" s="169">
        <f t="shared" si="9"/>
        <v>-1519.2075102260512</v>
      </c>
      <c r="R31" s="67"/>
      <c r="S31" s="82">
        <v>72846316.680000007</v>
      </c>
      <c r="T31" s="67">
        <v>32419165.99526019</v>
      </c>
      <c r="U31" s="67">
        <v>3005456.514930835</v>
      </c>
      <c r="V31" s="67">
        <v>9331531.4070571288</v>
      </c>
      <c r="W31" s="67">
        <v>5827275.55193373</v>
      </c>
      <c r="X31" s="67">
        <v>3561194.79</v>
      </c>
      <c r="Y31" s="168">
        <f t="shared" si="10"/>
        <v>-18701692.42081812</v>
      </c>
      <c r="Z31" s="169">
        <f t="shared" si="11"/>
        <v>-2030.3650440579872</v>
      </c>
      <c r="AA31" s="67"/>
      <c r="AB31" s="77">
        <f t="shared" si="12"/>
        <v>4708272.044125963</v>
      </c>
      <c r="AC31" s="123">
        <f t="shared" si="13"/>
        <v>511.15753383193606</v>
      </c>
      <c r="AE31" s="170"/>
      <c r="AF31" s="177">
        <v>-4559531.6462948872</v>
      </c>
      <c r="AG31" s="177">
        <v>-4445367.9939286401</v>
      </c>
      <c r="AH31" s="177">
        <v>-4321231.3295301432</v>
      </c>
      <c r="AI31" s="178">
        <v>-4198978.0204838095</v>
      </c>
      <c r="AK31" s="67">
        <f t="shared" si="14"/>
        <v>22461068.978204787</v>
      </c>
      <c r="AL31" s="67">
        <f t="shared" si="15"/>
        <v>1005754.614979048</v>
      </c>
      <c r="AM31" s="67">
        <f t="shared" si="16"/>
        <v>5712313.529197339</v>
      </c>
      <c r="AN31" s="67">
        <f t="shared" si="17"/>
        <v>42385681.45208659</v>
      </c>
      <c r="AO31" s="67">
        <f t="shared" si="18"/>
        <v>0</v>
      </c>
      <c r="AP31" s="67">
        <f t="shared" si="19"/>
        <v>-4559531.6462948872</v>
      </c>
      <c r="AQ31" s="67">
        <f t="shared" si="20"/>
        <v>-4445367.9939286401</v>
      </c>
      <c r="AR31" s="67">
        <f t="shared" si="21"/>
        <v>-4321231.3295301432</v>
      </c>
      <c r="AS31" s="67">
        <f t="shared" si="22"/>
        <v>-4198978.0204838095</v>
      </c>
      <c r="AT31" s="68">
        <v>4659</v>
      </c>
      <c r="AU31" s="68"/>
      <c r="AV31" s="68"/>
      <c r="AW31" s="68">
        <v>728</v>
      </c>
      <c r="AX31" s="68">
        <v>7915.1159378175716</v>
      </c>
      <c r="AY31" s="68">
        <v>330.84554633360574</v>
      </c>
      <c r="AZ31" s="68">
        <v>4100.9841627243586</v>
      </c>
      <c r="BA31" s="299"/>
      <c r="BB31" s="67"/>
      <c r="BC31" s="67"/>
      <c r="BD31" s="67"/>
      <c r="BE31" s="67"/>
      <c r="BF31" s="67"/>
      <c r="BG31" s="67"/>
      <c r="BH31" s="67"/>
      <c r="BN31" s="299"/>
      <c r="BO31" s="67">
        <v>30527100.644907445</v>
      </c>
      <c r="BP31" s="67">
        <v>37281412.149999999</v>
      </c>
      <c r="BQ31" s="67">
        <v>42824000</v>
      </c>
      <c r="BR31" s="67">
        <v>916257.93</v>
      </c>
      <c r="BS31" s="67">
        <v>965000</v>
      </c>
      <c r="BT31" s="428">
        <v>0.69283302912507627</v>
      </c>
      <c r="BU31" s="428">
        <v>0.33464287704132484</v>
      </c>
      <c r="BV31" s="67">
        <f t="shared" si="23"/>
        <v>5537878.0958797596</v>
      </c>
      <c r="BW31" s="299"/>
      <c r="BX31" s="67">
        <v>71163291</v>
      </c>
      <c r="BY31" s="67">
        <v>30527100.644907445</v>
      </c>
      <c r="BZ31" s="67">
        <v>58716079.078613594</v>
      </c>
      <c r="CA31" s="67">
        <v>36270768.230756626</v>
      </c>
      <c r="CB31" s="67">
        <f t="shared" si="24"/>
        <v>-3968358.0516170911</v>
      </c>
      <c r="CC31" s="67">
        <f t="shared" si="25"/>
        <v>-2030.3650440579872</v>
      </c>
      <c r="CD31" s="67">
        <f t="shared" si="26"/>
        <v>-1459.0418572905714</v>
      </c>
      <c r="CE31" s="67">
        <f t="shared" si="27"/>
        <v>571.32318676741579</v>
      </c>
      <c r="CF31" s="67">
        <f t="shared" si="28"/>
        <v>-556.32318676741579</v>
      </c>
      <c r="CG31" s="67">
        <f t="shared" si="29"/>
        <v>-541.32318676741579</v>
      </c>
      <c r="CH31" s="67">
        <f t="shared" si="30"/>
        <v>-526.32318676741579</v>
      </c>
      <c r="CI31" s="67">
        <f t="shared" si="31"/>
        <v>-511.32318676741579</v>
      </c>
      <c r="CJ31" s="67">
        <f t="shared" si="32"/>
        <v>-5124292.8733146666</v>
      </c>
      <c r="CK31" s="67">
        <f t="shared" si="33"/>
        <v>-4986127.8733146666</v>
      </c>
      <c r="CL31" s="67">
        <f t="shared" si="34"/>
        <v>-4847962.8733146666</v>
      </c>
      <c r="CM31" s="67">
        <f t="shared" si="35"/>
        <v>-4709797.8733146666</v>
      </c>
      <c r="CN31" s="299"/>
      <c r="CO31" s="430">
        <v>32419.165995260191</v>
      </c>
      <c r="CP31" s="430">
        <v>3005.4565149308351</v>
      </c>
      <c r="CQ31" s="430">
        <v>4357.9849999999997</v>
      </c>
      <c r="CR31" s="430">
        <v>9331531.4070571288</v>
      </c>
      <c r="CS31" s="430">
        <v>3619217.8778597903</v>
      </c>
      <c r="CT31" s="430">
        <v>5827275.55193373</v>
      </c>
      <c r="CU31" s="430">
        <v>1747238.2124922844</v>
      </c>
      <c r="CV31" s="430">
        <v>-971299</v>
      </c>
      <c r="CW31" s="430">
        <v>104308.93466779462</v>
      </c>
      <c r="CX31" s="430">
        <v>174508.79</v>
      </c>
      <c r="CY31" s="430">
        <v>30460635.227913417</v>
      </c>
      <c r="CZ31" s="519"/>
      <c r="DA31" s="524">
        <v>31428.378489999999</v>
      </c>
      <c r="DB31" s="524">
        <v>2981.9557909609834</v>
      </c>
      <c r="DC31" s="520">
        <f t="shared" si="36"/>
        <v>-1</v>
      </c>
      <c r="DD31" s="440">
        <v>9334</v>
      </c>
      <c r="DE31" s="450">
        <v>30527100.644907445</v>
      </c>
      <c r="DF31" s="440">
        <v>9760612.7167566195</v>
      </c>
      <c r="DG31" s="440">
        <v>24711012.036000002</v>
      </c>
      <c r="DH31" s="440">
        <v>1799143.4780000001</v>
      </c>
      <c r="DI31" s="440">
        <v>3604325.8613204472</v>
      </c>
      <c r="DJ31" s="440">
        <v>1756208.4956111293</v>
      </c>
      <c r="DK31" s="440">
        <v>-3965481.1848943904</v>
      </c>
      <c r="DL31" s="440">
        <v>-914679</v>
      </c>
      <c r="DM31" s="440">
        <v>236900</v>
      </c>
      <c r="DN31" s="440">
        <v>99494.060366750127</v>
      </c>
      <c r="DO31" s="457">
        <f t="shared" si="37"/>
        <v>6560435.8182531148</v>
      </c>
      <c r="DP31" s="459">
        <f t="shared" si="38"/>
        <v>702.85363383898812</v>
      </c>
      <c r="DQ31" s="440"/>
      <c r="DR31" s="450">
        <v>71163291</v>
      </c>
      <c r="DS31" s="440">
        <v>31306351.825613596</v>
      </c>
      <c r="DT31" s="440">
        <v>2698715.2170000002</v>
      </c>
      <c r="DU31" s="440">
        <v>9316671.2470571287</v>
      </c>
      <c r="DV31" s="440">
        <v>5857192.6583354883</v>
      </c>
      <c r="DW31" s="440">
        <v>24033233.036000002</v>
      </c>
      <c r="DX31" s="457">
        <f t="shared" si="39"/>
        <v>2048872.9840062112</v>
      </c>
      <c r="DY31" s="459">
        <f t="shared" si="40"/>
        <v>219.50642639877987</v>
      </c>
      <c r="DZ31" s="440"/>
      <c r="EA31" s="457">
        <f t="shared" si="41"/>
        <v>4511562.8342469037</v>
      </c>
      <c r="EB31" s="459">
        <f t="shared" si="42"/>
        <v>483.34720744020825</v>
      </c>
      <c r="ED31" s="457">
        <v>-4472680.0518201264</v>
      </c>
      <c r="EE31" s="458">
        <v>-4344764.6280520959</v>
      </c>
      <c r="EF31" s="458">
        <v>-4214916.2423671372</v>
      </c>
      <c r="EG31" s="458">
        <v>-4086015.933118517</v>
      </c>
      <c r="EH31" s="459">
        <v>-3955117.7760479604</v>
      </c>
    </row>
    <row r="32" spans="1:138" x14ac:dyDescent="0.2">
      <c r="A32" s="67">
        <v>52</v>
      </c>
      <c r="B32" s="67" t="s">
        <v>153</v>
      </c>
      <c r="C32" s="67">
        <v>14</v>
      </c>
      <c r="D32" s="67">
        <v>2346</v>
      </c>
      <c r="E32" s="82">
        <v>7744052.2700940948</v>
      </c>
      <c r="F32" s="67">
        <v>3302283.086371344</v>
      </c>
      <c r="G32" s="67">
        <v>767263</v>
      </c>
      <c r="H32" s="67">
        <v>621922.66095529147</v>
      </c>
      <c r="I32" s="67">
        <v>2025624.5865524355</v>
      </c>
      <c r="J32" s="67">
        <v>545732.37184325233</v>
      </c>
      <c r="K32" s="67">
        <v>450335.43291289854</v>
      </c>
      <c r="L32" s="67">
        <v>89163</v>
      </c>
      <c r="M32" s="68">
        <v>-152784.19</v>
      </c>
      <c r="N32" s="68">
        <v>18457.147769664836</v>
      </c>
      <c r="O32" s="68">
        <v>-68276.497609133919</v>
      </c>
      <c r="P32" s="168">
        <f t="shared" si="8"/>
        <v>-144331.67129834284</v>
      </c>
      <c r="Q32" s="169">
        <f t="shared" si="9"/>
        <v>-61.52245153382048</v>
      </c>
      <c r="R32" s="67"/>
      <c r="S32" s="82">
        <v>18730176.099999998</v>
      </c>
      <c r="T32" s="67">
        <v>7141868.5142560946</v>
      </c>
      <c r="U32" s="67">
        <v>934720.07662555459</v>
      </c>
      <c r="V32" s="67">
        <v>8176930.3209515754</v>
      </c>
      <c r="W32" s="67">
        <v>1820091.2077150643</v>
      </c>
      <c r="X32" s="67">
        <v>703641.81</v>
      </c>
      <c r="Y32" s="168">
        <f t="shared" si="10"/>
        <v>47075.829548291862</v>
      </c>
      <c r="Z32" s="169">
        <f t="shared" si="11"/>
        <v>20.066423507370786</v>
      </c>
      <c r="AA32" s="67"/>
      <c r="AB32" s="77">
        <f t="shared" si="12"/>
        <v>-191407.50084663471</v>
      </c>
      <c r="AC32" s="123">
        <f t="shared" si="13"/>
        <v>-81.588875041191258</v>
      </c>
      <c r="AE32" s="170"/>
      <c r="AF32" s="177">
        <v>158911.00679731465</v>
      </c>
      <c r="AG32" s="177">
        <v>117607.97221379666</v>
      </c>
      <c r="AH32" s="177">
        <v>78845.018645114789</v>
      </c>
      <c r="AI32" s="178">
        <v>39602.382994555694</v>
      </c>
      <c r="AK32" s="67">
        <f t="shared" si="14"/>
        <v>3839585.4278847505</v>
      </c>
      <c r="AL32" s="67">
        <f t="shared" si="15"/>
        <v>312797.41567026312</v>
      </c>
      <c r="AM32" s="67">
        <f t="shared" si="16"/>
        <v>6151305.7343991399</v>
      </c>
      <c r="AN32" s="67">
        <f t="shared" si="17"/>
        <v>10986123.829905903</v>
      </c>
      <c r="AO32" s="67">
        <f t="shared" si="18"/>
        <v>0</v>
      </c>
      <c r="AP32" s="67">
        <f t="shared" si="19"/>
        <v>158911.00679731465</v>
      </c>
      <c r="AQ32" s="67">
        <f t="shared" si="20"/>
        <v>117607.97221379666</v>
      </c>
      <c r="AR32" s="67">
        <f t="shared" si="21"/>
        <v>78845.018645114789</v>
      </c>
      <c r="AS32" s="67">
        <f t="shared" si="22"/>
        <v>39602.382994555694</v>
      </c>
      <c r="AT32" s="68">
        <v>839</v>
      </c>
      <c r="AU32" s="68"/>
      <c r="AV32" s="68"/>
      <c r="AW32" s="68">
        <v>20</v>
      </c>
      <c r="AX32" s="68">
        <v>5083.8547315053365</v>
      </c>
      <c r="AY32" s="68">
        <v>-1176.2671239891081</v>
      </c>
      <c r="AZ32" s="68">
        <v>1278.0129181458665</v>
      </c>
      <c r="BA32" s="299"/>
      <c r="BB32" s="67"/>
      <c r="BC32" s="67"/>
      <c r="BD32" s="67"/>
      <c r="BE32" s="67"/>
      <c r="BF32" s="67"/>
      <c r="BG32" s="67"/>
      <c r="BH32" s="67"/>
      <c r="BN32" s="299"/>
      <c r="BO32" s="67">
        <v>7880010.1645515691</v>
      </c>
      <c r="BP32" s="67">
        <v>10315227.800000001</v>
      </c>
      <c r="BQ32" s="67">
        <v>10436000</v>
      </c>
      <c r="BR32" s="67">
        <v>253212.59999999998</v>
      </c>
      <c r="BS32" s="67">
        <v>246000</v>
      </c>
      <c r="BT32" s="428">
        <v>0.53761637031267673</v>
      </c>
      <c r="BU32" s="428">
        <v>0.33464287704132473</v>
      </c>
      <c r="BV32" s="67">
        <f t="shared" si="23"/>
        <v>7876000.0031838501</v>
      </c>
      <c r="BW32" s="299"/>
      <c r="BX32" s="67">
        <v>18641900</v>
      </c>
      <c r="BY32" s="67">
        <v>7880010.1645515691</v>
      </c>
      <c r="BZ32" s="67">
        <v>9083135.1575155333</v>
      </c>
      <c r="CA32" s="67">
        <v>4861686.4975971654</v>
      </c>
      <c r="CB32" s="67">
        <f t="shared" si="24"/>
        <v>586931.18202997814</v>
      </c>
      <c r="CC32" s="67">
        <f t="shared" si="25"/>
        <v>20.066423507369791</v>
      </c>
      <c r="CD32" s="67">
        <f t="shared" si="26"/>
        <v>25.805871878887835</v>
      </c>
      <c r="CE32" s="67">
        <f t="shared" si="27"/>
        <v>5.7394483715180442</v>
      </c>
      <c r="CF32" s="67">
        <f t="shared" si="28"/>
        <v>0</v>
      </c>
      <c r="CG32" s="67">
        <f t="shared" si="29"/>
        <v>0</v>
      </c>
      <c r="CH32" s="67">
        <f t="shared" si="30"/>
        <v>0</v>
      </c>
      <c r="CI32" s="67">
        <f t="shared" si="31"/>
        <v>0</v>
      </c>
      <c r="CJ32" s="67">
        <f t="shared" si="32"/>
        <v>0</v>
      </c>
      <c r="CK32" s="67">
        <f t="shared" si="33"/>
        <v>0</v>
      </c>
      <c r="CL32" s="67">
        <f t="shared" si="34"/>
        <v>0</v>
      </c>
      <c r="CM32" s="67">
        <f t="shared" si="35"/>
        <v>0</v>
      </c>
      <c r="CN32" s="299"/>
      <c r="CO32" s="430">
        <v>7141.8685142560944</v>
      </c>
      <c r="CP32" s="430">
        <v>934.72007662555461</v>
      </c>
      <c r="CQ32" s="430">
        <v>767.26300000000003</v>
      </c>
      <c r="CR32" s="430">
        <v>8176930.3209515754</v>
      </c>
      <c r="CS32" s="430">
        <v>2025624.5865524355</v>
      </c>
      <c r="CT32" s="430">
        <v>1820091.2077150643</v>
      </c>
      <c r="CU32" s="430">
        <v>545732.37184325233</v>
      </c>
      <c r="CV32" s="430">
        <v>89163</v>
      </c>
      <c r="CW32" s="430">
        <v>18457.147769664836</v>
      </c>
      <c r="CX32" s="430">
        <v>-152784.19</v>
      </c>
      <c r="CY32" s="430">
        <v>7744052.2700940948</v>
      </c>
      <c r="CZ32" s="519"/>
      <c r="DA32" s="524">
        <v>7263.43307</v>
      </c>
      <c r="DB32" s="524">
        <v>927.41054102204487</v>
      </c>
      <c r="DC32" s="520">
        <f t="shared" si="36"/>
        <v>-1</v>
      </c>
      <c r="DD32" s="440">
        <v>2404</v>
      </c>
      <c r="DE32" s="450">
        <v>7880010.1645515691</v>
      </c>
      <c r="DF32" s="440">
        <v>3456938.6438971655</v>
      </c>
      <c r="DG32" s="440">
        <v>845200.40350000001</v>
      </c>
      <c r="DH32" s="440">
        <v>559547.45019999996</v>
      </c>
      <c r="DI32" s="440">
        <v>2021828.3739765112</v>
      </c>
      <c r="DJ32" s="440">
        <v>547297.19874302251</v>
      </c>
      <c r="DK32" s="440">
        <v>586767.76662889076</v>
      </c>
      <c r="DL32" s="440">
        <v>148576</v>
      </c>
      <c r="DM32" s="440">
        <v>129580</v>
      </c>
      <c r="DN32" s="440">
        <v>18712.552953801307</v>
      </c>
      <c r="DO32" s="457">
        <f t="shared" si="37"/>
        <v>434438.2253478216</v>
      </c>
      <c r="DP32" s="459">
        <f t="shared" si="38"/>
        <v>180.71473600158967</v>
      </c>
      <c r="DQ32" s="440"/>
      <c r="DR32" s="450">
        <v>18641900</v>
      </c>
      <c r="DS32" s="440">
        <v>7398613.5787155339</v>
      </c>
      <c r="DT32" s="440">
        <v>839321.1753</v>
      </c>
      <c r="DU32" s="440">
        <v>8173141.9309515739</v>
      </c>
      <c r="DV32" s="440">
        <v>1825310.1168888889</v>
      </c>
      <c r="DW32" s="440">
        <v>1123356.4035</v>
      </c>
      <c r="DX32" s="457">
        <f t="shared" si="39"/>
        <v>717843.20535599813</v>
      </c>
      <c r="DY32" s="459">
        <f t="shared" si="40"/>
        <v>298.60366279367645</v>
      </c>
      <c r="DZ32" s="440"/>
      <c r="EA32" s="457">
        <f t="shared" si="41"/>
        <v>-283404.98000817653</v>
      </c>
      <c r="EB32" s="459">
        <f t="shared" si="42"/>
        <v>-117.88892679208674</v>
      </c>
      <c r="ED32" s="457">
        <v>293419.35851192148</v>
      </c>
      <c r="EE32" s="458">
        <v>254244.36373351404</v>
      </c>
      <c r="EF32" s="458">
        <v>215567.20915740961</v>
      </c>
      <c r="EG32" s="458">
        <v>176645.87462062834</v>
      </c>
      <c r="EH32" s="459">
        <v>138239.09184771398</v>
      </c>
    </row>
    <row r="33" spans="1:138" x14ac:dyDescent="0.2">
      <c r="A33" s="67">
        <v>61</v>
      </c>
      <c r="B33" s="67" t="s">
        <v>154</v>
      </c>
      <c r="C33" s="67">
        <v>5</v>
      </c>
      <c r="D33" s="67">
        <v>16459</v>
      </c>
      <c r="E33" s="82">
        <v>38935479.219435006</v>
      </c>
      <c r="F33" s="67">
        <v>21862659.594901167</v>
      </c>
      <c r="G33" s="67">
        <v>5195742</v>
      </c>
      <c r="H33" s="67">
        <v>4151043.7183163902</v>
      </c>
      <c r="I33" s="67">
        <v>4771253.3414778411</v>
      </c>
      <c r="J33" s="67">
        <v>2928809.5708765574</v>
      </c>
      <c r="K33" s="67">
        <v>806002.26223323366</v>
      </c>
      <c r="L33" s="67">
        <v>924358</v>
      </c>
      <c r="M33" s="68">
        <v>-255216.7</v>
      </c>
      <c r="N33" s="68">
        <v>157549.43956408437</v>
      </c>
      <c r="O33" s="68">
        <v>-479012.30782128521</v>
      </c>
      <c r="P33" s="168">
        <f t="shared" si="8"/>
        <v>1127709.7001129871</v>
      </c>
      <c r="Q33" s="169">
        <f t="shared" si="9"/>
        <v>68.516295043015191</v>
      </c>
      <c r="R33" s="67"/>
      <c r="S33" s="82">
        <v>113961102.21000001</v>
      </c>
      <c r="T33" s="67">
        <v>55219448.591387056</v>
      </c>
      <c r="U33" s="67">
        <v>6238820.589847669</v>
      </c>
      <c r="V33" s="67">
        <v>39560391.261655383</v>
      </c>
      <c r="W33" s="67">
        <v>9767975.7039504685</v>
      </c>
      <c r="X33" s="67">
        <v>5864883.2999999998</v>
      </c>
      <c r="Y33" s="168">
        <f t="shared" si="10"/>
        <v>2690417.2368405759</v>
      </c>
      <c r="Z33" s="169">
        <f t="shared" si="11"/>
        <v>163.46176783769221</v>
      </c>
      <c r="AA33" s="67"/>
      <c r="AB33" s="77">
        <f t="shared" si="12"/>
        <v>-1562707.5367275889</v>
      </c>
      <c r="AC33" s="123">
        <f t="shared" si="13"/>
        <v>-94.945472794677002</v>
      </c>
      <c r="AE33" s="170"/>
      <c r="AF33" s="177">
        <v>1334719.5590814746</v>
      </c>
      <c r="AG33" s="177">
        <v>1044946.9051129654</v>
      </c>
      <c r="AH33" s="177">
        <v>772994.87920208101</v>
      </c>
      <c r="AI33" s="178">
        <v>497677.5133996291</v>
      </c>
      <c r="AK33" s="67">
        <f t="shared" si="14"/>
        <v>33356788.996485889</v>
      </c>
      <c r="AL33" s="67">
        <f t="shared" si="15"/>
        <v>2087776.8715312788</v>
      </c>
      <c r="AM33" s="67">
        <f t="shared" si="16"/>
        <v>34789137.920177542</v>
      </c>
      <c r="AN33" s="67">
        <f t="shared" si="17"/>
        <v>75025622.990565002</v>
      </c>
      <c r="AO33" s="67">
        <f t="shared" si="18"/>
        <v>0</v>
      </c>
      <c r="AP33" s="67">
        <f t="shared" si="19"/>
        <v>1334719.5590814746</v>
      </c>
      <c r="AQ33" s="67">
        <f t="shared" si="20"/>
        <v>1044946.9051129654</v>
      </c>
      <c r="AR33" s="67">
        <f t="shared" si="21"/>
        <v>772994.87920208101</v>
      </c>
      <c r="AS33" s="67">
        <f t="shared" si="22"/>
        <v>497677.5133996291</v>
      </c>
      <c r="AT33" s="68">
        <v>6124</v>
      </c>
      <c r="AU33" s="68"/>
      <c r="AV33" s="68"/>
      <c r="AW33" s="68">
        <v>3</v>
      </c>
      <c r="AX33" s="68">
        <v>29360.643818721361</v>
      </c>
      <c r="AY33" s="68">
        <v>-4403.1214062174267</v>
      </c>
      <c r="AZ33" s="68">
        <v>6842.4450295858542</v>
      </c>
      <c r="BA33" s="299"/>
      <c r="BB33" s="67"/>
      <c r="BC33" s="67"/>
      <c r="BD33" s="67"/>
      <c r="BE33" s="67"/>
      <c r="BF33" s="67"/>
      <c r="BG33" s="67"/>
      <c r="BH33" s="67"/>
      <c r="BN33" s="299"/>
      <c r="BO33" s="67">
        <v>39866505.084700823</v>
      </c>
      <c r="BP33" s="67">
        <v>69213092.780000016</v>
      </c>
      <c r="BQ33" s="67">
        <v>72698000</v>
      </c>
      <c r="BR33" s="67">
        <v>1568368.49</v>
      </c>
      <c r="BS33" s="67">
        <v>1643000</v>
      </c>
      <c r="BT33" s="428">
        <v>0.60407682161622978</v>
      </c>
      <c r="BU33" s="428">
        <v>0.33464287704132478</v>
      </c>
      <c r="BV33" s="67">
        <f t="shared" si="23"/>
        <v>42434306.315484695</v>
      </c>
      <c r="BW33" s="299"/>
      <c r="BX33" s="67">
        <v>113371102</v>
      </c>
      <c r="BY33" s="67">
        <v>39866505.084700823</v>
      </c>
      <c r="BZ33" s="67">
        <v>66603283.552838944</v>
      </c>
      <c r="CA33" s="67">
        <v>31313375.570906591</v>
      </c>
      <c r="CB33" s="67">
        <f t="shared" si="24"/>
        <v>1336098.6802512261</v>
      </c>
      <c r="CC33" s="67">
        <f t="shared" si="25"/>
        <v>163.4617678376917</v>
      </c>
      <c r="CD33" s="67">
        <f t="shared" si="26"/>
        <v>129.82674682254446</v>
      </c>
      <c r="CE33" s="67">
        <f t="shared" si="27"/>
        <v>-33.635021015147231</v>
      </c>
      <c r="CF33" s="67">
        <f t="shared" si="28"/>
        <v>18.635021015147231</v>
      </c>
      <c r="CG33" s="67">
        <f t="shared" si="29"/>
        <v>3.6350210151472311</v>
      </c>
      <c r="CH33" s="67">
        <f t="shared" si="30"/>
        <v>0</v>
      </c>
      <c r="CI33" s="67">
        <f t="shared" si="31"/>
        <v>0</v>
      </c>
      <c r="CJ33" s="67">
        <f t="shared" si="32"/>
        <v>306713.81088830828</v>
      </c>
      <c r="CK33" s="67">
        <f t="shared" si="33"/>
        <v>59828.810888308275</v>
      </c>
      <c r="CL33" s="67">
        <f t="shared" si="34"/>
        <v>0</v>
      </c>
      <c r="CM33" s="67">
        <f t="shared" si="35"/>
        <v>0</v>
      </c>
      <c r="CN33" s="299"/>
      <c r="CO33" s="430">
        <v>55219.448591387059</v>
      </c>
      <c r="CP33" s="430">
        <v>6238.820589847669</v>
      </c>
      <c r="CQ33" s="430">
        <v>5195.7420000000002</v>
      </c>
      <c r="CR33" s="430">
        <v>39560391.261655383</v>
      </c>
      <c r="CS33" s="430">
        <v>4771253.3414778411</v>
      </c>
      <c r="CT33" s="430">
        <v>9767975.7039504685</v>
      </c>
      <c r="CU33" s="430">
        <v>2928809.5708765574</v>
      </c>
      <c r="CV33" s="430">
        <v>924358</v>
      </c>
      <c r="CW33" s="430">
        <v>157549.43956408437</v>
      </c>
      <c r="CX33" s="430">
        <v>-255216.7</v>
      </c>
      <c r="CY33" s="430">
        <v>38935479.219435006</v>
      </c>
      <c r="CZ33" s="519"/>
      <c r="DA33" s="524">
        <v>54887.418420000002</v>
      </c>
      <c r="DB33" s="524">
        <v>6190.0379494958561</v>
      </c>
      <c r="DC33" s="520">
        <f t="shared" si="36"/>
        <v>-1</v>
      </c>
      <c r="DD33" s="440">
        <v>16573</v>
      </c>
      <c r="DE33" s="450">
        <v>39866505.084700823</v>
      </c>
      <c r="DF33" s="440">
        <v>22330040.37260659</v>
      </c>
      <c r="DG33" s="440">
        <v>5248616.9221000001</v>
      </c>
      <c r="DH33" s="440">
        <v>3734718.2762000002</v>
      </c>
      <c r="DI33" s="440">
        <v>4744918.4014833206</v>
      </c>
      <c r="DJ33" s="440">
        <v>2930213.7279476514</v>
      </c>
      <c r="DK33" s="440">
        <v>1336798.4277311836</v>
      </c>
      <c r="DL33" s="440">
        <v>966312</v>
      </c>
      <c r="DM33" s="440">
        <v>-549000</v>
      </c>
      <c r="DN33" s="440">
        <v>156430.72439010884</v>
      </c>
      <c r="DO33" s="457">
        <f t="shared" si="37"/>
        <v>1032543.7677580342</v>
      </c>
      <c r="DP33" s="459">
        <f t="shared" si="38"/>
        <v>62.302767619503662</v>
      </c>
      <c r="DQ33" s="440"/>
      <c r="DR33" s="450">
        <v>113371102</v>
      </c>
      <c r="DS33" s="440">
        <v>55752589.216438942</v>
      </c>
      <c r="DT33" s="440">
        <v>5602077.4143000003</v>
      </c>
      <c r="DU33" s="440">
        <v>39534152.20165538</v>
      </c>
      <c r="DV33" s="440">
        <v>9772658.7575335056</v>
      </c>
      <c r="DW33" s="440">
        <v>5665928.9221000001</v>
      </c>
      <c r="DX33" s="457">
        <f t="shared" si="39"/>
        <v>2956304.5120278299</v>
      </c>
      <c r="DY33" s="459">
        <f t="shared" si="40"/>
        <v>178.38077065273819</v>
      </c>
      <c r="DZ33" s="440"/>
      <c r="EA33" s="457">
        <f t="shared" si="41"/>
        <v>-1923760.7442697957</v>
      </c>
      <c r="EB33" s="459">
        <f t="shared" si="42"/>
        <v>-116.07800303323452</v>
      </c>
      <c r="ED33" s="457">
        <v>1992799.136508818</v>
      </c>
      <c r="EE33" s="458">
        <v>1722729.5905593394</v>
      </c>
      <c r="EF33" s="458">
        <v>1456092.1185170021</v>
      </c>
      <c r="EG33" s="458">
        <v>1187771.2877024948</v>
      </c>
      <c r="EH33" s="459">
        <v>922997.73907707469</v>
      </c>
    </row>
    <row r="34" spans="1:138" x14ac:dyDescent="0.2">
      <c r="A34" s="67">
        <v>69</v>
      </c>
      <c r="B34" s="67" t="s">
        <v>155</v>
      </c>
      <c r="C34" s="67">
        <v>17</v>
      </c>
      <c r="D34" s="67">
        <v>6687</v>
      </c>
      <c r="E34" s="82">
        <v>20231119.232068121</v>
      </c>
      <c r="F34" s="67">
        <v>9907980.655266311</v>
      </c>
      <c r="G34" s="67">
        <v>2826386</v>
      </c>
      <c r="H34" s="67">
        <v>1279411.6972424344</v>
      </c>
      <c r="I34" s="67">
        <v>7645672.4368340746</v>
      </c>
      <c r="J34" s="67">
        <v>1332954.2240305352</v>
      </c>
      <c r="K34" s="67">
        <v>-1172314.6410448321</v>
      </c>
      <c r="L34" s="67">
        <v>838447</v>
      </c>
      <c r="M34" s="68">
        <v>-1216271.6299999999</v>
      </c>
      <c r="N34" s="68">
        <v>54886.016601582305</v>
      </c>
      <c r="O34" s="68">
        <v>-194614.211215805</v>
      </c>
      <c r="P34" s="168">
        <f t="shared" si="8"/>
        <v>1071418.3156461793</v>
      </c>
      <c r="Q34" s="169">
        <f t="shared" si="9"/>
        <v>160.22406395187366</v>
      </c>
      <c r="R34" s="67"/>
      <c r="S34" s="82">
        <v>52824274.769999996</v>
      </c>
      <c r="T34" s="67">
        <v>21612437.659361329</v>
      </c>
      <c r="U34" s="67">
        <v>1922894.7178820504</v>
      </c>
      <c r="V34" s="67">
        <v>21932003.561005007</v>
      </c>
      <c r="W34" s="67">
        <v>4445582.4660910312</v>
      </c>
      <c r="X34" s="67">
        <v>2448561.37</v>
      </c>
      <c r="Y34" s="168">
        <f t="shared" si="10"/>
        <v>-462794.99566057324</v>
      </c>
      <c r="Z34" s="169">
        <f t="shared" si="11"/>
        <v>-69.208164447521042</v>
      </c>
      <c r="AA34" s="67"/>
      <c r="AB34" s="77">
        <f t="shared" si="12"/>
        <v>1534213.3113067525</v>
      </c>
      <c r="AC34" s="123">
        <f t="shared" si="13"/>
        <v>229.43222839939472</v>
      </c>
      <c r="AE34" s="170"/>
      <c r="AF34" s="177">
        <v>-1426230.7860330183</v>
      </c>
      <c r="AG34" s="177">
        <v>-1343350.2797499769</v>
      </c>
      <c r="AH34" s="177">
        <v>-1253229.5681190202</v>
      </c>
      <c r="AI34" s="178">
        <v>-1164476.1344426726</v>
      </c>
      <c r="AK34" s="67">
        <f t="shared" si="14"/>
        <v>11704457.004095018</v>
      </c>
      <c r="AL34" s="67">
        <f t="shared" si="15"/>
        <v>643483.02063961606</v>
      </c>
      <c r="AM34" s="67">
        <f t="shared" si="16"/>
        <v>14286331.124170933</v>
      </c>
      <c r="AN34" s="67">
        <f t="shared" si="17"/>
        <v>32593155.537931874</v>
      </c>
      <c r="AO34" s="67">
        <f t="shared" si="18"/>
        <v>0</v>
      </c>
      <c r="AP34" s="67">
        <f t="shared" si="19"/>
        <v>-1426230.7860330183</v>
      </c>
      <c r="AQ34" s="67">
        <f t="shared" si="20"/>
        <v>-1343350.2797499769</v>
      </c>
      <c r="AR34" s="67">
        <f t="shared" si="21"/>
        <v>-1253229.5681190202</v>
      </c>
      <c r="AS34" s="67">
        <f t="shared" si="22"/>
        <v>-1164476.1344426726</v>
      </c>
      <c r="AT34" s="68">
        <v>6063</v>
      </c>
      <c r="AU34" s="68"/>
      <c r="AV34" s="68"/>
      <c r="AW34" s="68">
        <v>1</v>
      </c>
      <c r="AX34" s="68">
        <v>11617.939346811287</v>
      </c>
      <c r="AY34" s="68">
        <v>-3421.0619946365237</v>
      </c>
      <c r="AZ34" s="68">
        <v>3126.1222131854183</v>
      </c>
      <c r="BA34" s="299"/>
      <c r="BB34" s="67"/>
      <c r="BC34" s="67"/>
      <c r="BD34" s="67"/>
      <c r="BE34" s="67"/>
      <c r="BF34" s="67"/>
      <c r="BG34" s="67"/>
      <c r="BH34" s="67"/>
      <c r="BN34" s="299"/>
      <c r="BO34" s="67">
        <v>20299215.709354077</v>
      </c>
      <c r="BP34" s="67">
        <v>31028320.499999996</v>
      </c>
      <c r="BQ34" s="67">
        <v>30249000</v>
      </c>
      <c r="BR34" s="67">
        <v>879801.45</v>
      </c>
      <c r="BS34" s="67">
        <v>887000</v>
      </c>
      <c r="BT34" s="428">
        <v>0.54156116901627183</v>
      </c>
      <c r="BU34" s="428">
        <v>0.33464287704132484</v>
      </c>
      <c r="BV34" s="67">
        <f t="shared" si="23"/>
        <v>16226644.725186598</v>
      </c>
      <c r="BW34" s="299"/>
      <c r="BX34" s="67">
        <v>52960871</v>
      </c>
      <c r="BY34" s="67">
        <v>20299215.709354077</v>
      </c>
      <c r="BZ34" s="67">
        <v>25949200.807863694</v>
      </c>
      <c r="CA34" s="67">
        <v>13638727.924572933</v>
      </c>
      <c r="CB34" s="67">
        <f t="shared" si="24"/>
        <v>-1346307.6171704179</v>
      </c>
      <c r="CC34" s="67">
        <f t="shared" si="25"/>
        <v>-69.208164447521469</v>
      </c>
      <c r="CD34" s="67">
        <f t="shared" si="26"/>
        <v>163.30784368721365</v>
      </c>
      <c r="CE34" s="67">
        <f t="shared" si="27"/>
        <v>232.5160081347351</v>
      </c>
      <c r="CF34" s="67">
        <f t="shared" si="28"/>
        <v>-217.5160081347351</v>
      </c>
      <c r="CG34" s="67">
        <f t="shared" si="29"/>
        <v>-202.5160081347351</v>
      </c>
      <c r="CH34" s="67">
        <f t="shared" si="30"/>
        <v>-187.5160081347351</v>
      </c>
      <c r="CI34" s="67">
        <f t="shared" si="31"/>
        <v>-172.5160081347351</v>
      </c>
      <c r="CJ34" s="67">
        <f t="shared" si="32"/>
        <v>-1454529.5463969735</v>
      </c>
      <c r="CK34" s="67">
        <f t="shared" si="33"/>
        <v>-1354224.5463969735</v>
      </c>
      <c r="CL34" s="67">
        <f t="shared" si="34"/>
        <v>-1253919.5463969735</v>
      </c>
      <c r="CM34" s="67">
        <f t="shared" si="35"/>
        <v>-1153614.5463969735</v>
      </c>
      <c r="CN34" s="299"/>
      <c r="CO34" s="430">
        <v>21612.437659361331</v>
      </c>
      <c r="CP34" s="430">
        <v>1922.8947178820504</v>
      </c>
      <c r="CQ34" s="430">
        <v>2826.386</v>
      </c>
      <c r="CR34" s="430">
        <v>21932003.561005007</v>
      </c>
      <c r="CS34" s="430">
        <v>7645672.4368340746</v>
      </c>
      <c r="CT34" s="430">
        <v>4445582.4660910312</v>
      </c>
      <c r="CU34" s="430">
        <v>1332954.2240305352</v>
      </c>
      <c r="CV34" s="430">
        <v>838447</v>
      </c>
      <c r="CW34" s="430">
        <v>54886.016601582305</v>
      </c>
      <c r="CX34" s="430">
        <v>-1216271.6299999999</v>
      </c>
      <c r="CY34" s="430">
        <v>20231119.232068121</v>
      </c>
      <c r="CZ34" s="519"/>
      <c r="DA34" s="524">
        <v>21787.11924</v>
      </c>
      <c r="DB34" s="524">
        <v>1907.8578469749491</v>
      </c>
      <c r="DC34" s="520">
        <f t="shared" si="36"/>
        <v>-1</v>
      </c>
      <c r="DD34" s="440">
        <v>6802</v>
      </c>
      <c r="DE34" s="450">
        <v>20299215.709354077</v>
      </c>
      <c r="DF34" s="440">
        <v>10099523.227572933</v>
      </c>
      <c r="DG34" s="440">
        <v>2388110.5210000002</v>
      </c>
      <c r="DH34" s="440">
        <v>1151094.176</v>
      </c>
      <c r="DI34" s="440">
        <v>7634806.3327659909</v>
      </c>
      <c r="DJ34" s="440">
        <v>1338732.8922206098</v>
      </c>
      <c r="DK34" s="440">
        <v>-1346132.7263176125</v>
      </c>
      <c r="DL34" s="440">
        <v>834691</v>
      </c>
      <c r="DM34" s="440">
        <v>857500</v>
      </c>
      <c r="DN34" s="440">
        <v>54569.034062199862</v>
      </c>
      <c r="DO34" s="457">
        <f t="shared" si="37"/>
        <v>2713678.7479500435</v>
      </c>
      <c r="DP34" s="459">
        <f t="shared" si="38"/>
        <v>398.95306497354358</v>
      </c>
      <c r="DQ34" s="440"/>
      <c r="DR34" s="450">
        <v>52960871</v>
      </c>
      <c r="DS34" s="440">
        <v>21834449.022863694</v>
      </c>
      <c r="DT34" s="440">
        <v>1726641.264</v>
      </c>
      <c r="DU34" s="440">
        <v>21921160.861004997</v>
      </c>
      <c r="DV34" s="440">
        <v>4464855.1054060282</v>
      </c>
      <c r="DW34" s="440">
        <v>4080301.5210000002</v>
      </c>
      <c r="DX34" s="457">
        <f t="shared" si="39"/>
        <v>1066536.7742747217</v>
      </c>
      <c r="DY34" s="459">
        <f t="shared" si="40"/>
        <v>156.79752635617785</v>
      </c>
      <c r="DZ34" s="440"/>
      <c r="EA34" s="457">
        <f t="shared" si="41"/>
        <v>1647141.9736753218</v>
      </c>
      <c r="EB34" s="459">
        <f t="shared" si="42"/>
        <v>242.15553861736575</v>
      </c>
      <c r="ED34" s="457">
        <v>-1618806.7812533171</v>
      </c>
      <c r="EE34" s="458">
        <v>-1525590.5060797429</v>
      </c>
      <c r="EF34" s="458">
        <v>-1430965.6164901683</v>
      </c>
      <c r="EG34" s="458">
        <v>-1337031.6221137897</v>
      </c>
      <c r="EH34" s="459">
        <v>-1241641.7287782505</v>
      </c>
    </row>
    <row r="35" spans="1:138" x14ac:dyDescent="0.2">
      <c r="A35" s="67">
        <v>71</v>
      </c>
      <c r="B35" s="67" t="s">
        <v>156</v>
      </c>
      <c r="C35" s="67">
        <v>17</v>
      </c>
      <c r="D35" s="67">
        <v>6591</v>
      </c>
      <c r="E35" s="82">
        <v>21978680.474575046</v>
      </c>
      <c r="F35" s="67">
        <v>8653470.0987780746</v>
      </c>
      <c r="G35" s="67">
        <v>1713332</v>
      </c>
      <c r="H35" s="67">
        <v>1192213.2911672317</v>
      </c>
      <c r="I35" s="67">
        <v>8691965.3808050454</v>
      </c>
      <c r="J35" s="67">
        <v>1309081.9202592717</v>
      </c>
      <c r="K35" s="67">
        <v>-112666.08009607189</v>
      </c>
      <c r="L35" s="67">
        <v>475944</v>
      </c>
      <c r="M35" s="68">
        <v>-577630.51</v>
      </c>
      <c r="N35" s="68">
        <v>50251.995508250438</v>
      </c>
      <c r="O35" s="68">
        <v>-191820.28803998366</v>
      </c>
      <c r="P35" s="168">
        <f t="shared" si="8"/>
        <v>-774538.66619322961</v>
      </c>
      <c r="Q35" s="169">
        <f t="shared" si="9"/>
        <v>-117.51459053151716</v>
      </c>
      <c r="R35" s="67"/>
      <c r="S35" s="82">
        <v>52358590.990000002</v>
      </c>
      <c r="T35" s="67">
        <v>19359248.352822177</v>
      </c>
      <c r="U35" s="67">
        <v>1791839.6753096445</v>
      </c>
      <c r="V35" s="67">
        <v>23701585.89712885</v>
      </c>
      <c r="W35" s="67">
        <v>4365965.1070268713</v>
      </c>
      <c r="X35" s="67">
        <v>1611645.49</v>
      </c>
      <c r="Y35" s="168">
        <f t="shared" si="10"/>
        <v>-1528306.4677124619</v>
      </c>
      <c r="Z35" s="169">
        <f t="shared" si="11"/>
        <v>-231.87778299384948</v>
      </c>
      <c r="AA35" s="67"/>
      <c r="AB35" s="77">
        <f t="shared" si="12"/>
        <v>753767.80151923234</v>
      </c>
      <c r="AC35" s="123">
        <f t="shared" si="13"/>
        <v>114.36319246233232</v>
      </c>
      <c r="AE35" s="170"/>
      <c r="AF35" s="177">
        <v>-647335.49643784377</v>
      </c>
      <c r="AG35" s="177">
        <v>-565644.84040202422</v>
      </c>
      <c r="AH35" s="177">
        <v>-476817.92095240019</v>
      </c>
      <c r="AI35" s="178">
        <v>-389338.65052308858</v>
      </c>
      <c r="AK35" s="67">
        <f t="shared" si="14"/>
        <v>10705778.254044103</v>
      </c>
      <c r="AL35" s="67">
        <f t="shared" si="15"/>
        <v>599626.3841424128</v>
      </c>
      <c r="AM35" s="67">
        <f t="shared" si="16"/>
        <v>15009620.516323805</v>
      </c>
      <c r="AN35" s="67">
        <f t="shared" si="17"/>
        <v>30379910.515424956</v>
      </c>
      <c r="AO35" s="67">
        <f t="shared" si="18"/>
        <v>0</v>
      </c>
      <c r="AP35" s="67">
        <f t="shared" si="19"/>
        <v>-647335.49643784377</v>
      </c>
      <c r="AQ35" s="67">
        <f t="shared" si="20"/>
        <v>-565644.84040202422</v>
      </c>
      <c r="AR35" s="67">
        <f t="shared" si="21"/>
        <v>-476817.92095240019</v>
      </c>
      <c r="AS35" s="67">
        <f t="shared" si="22"/>
        <v>-389338.65052308858</v>
      </c>
      <c r="AT35" s="68">
        <v>1165</v>
      </c>
      <c r="AU35" s="68"/>
      <c r="AV35" s="68"/>
      <c r="AW35" s="68">
        <v>130</v>
      </c>
      <c r="AX35" s="68">
        <v>11993.128498569369</v>
      </c>
      <c r="AY35" s="68">
        <v>-3695.1490992096305</v>
      </c>
      <c r="AZ35" s="68">
        <v>3065.1950412485107</v>
      </c>
      <c r="BA35" s="299"/>
      <c r="BB35" s="67"/>
      <c r="BC35" s="67"/>
      <c r="BD35" s="67"/>
      <c r="BE35" s="67"/>
      <c r="BF35" s="67"/>
      <c r="BG35" s="67"/>
      <c r="BH35" s="67"/>
      <c r="BN35" s="299"/>
      <c r="BO35" s="67">
        <v>21723128.00190885</v>
      </c>
      <c r="BP35" s="67">
        <v>27650953.670000006</v>
      </c>
      <c r="BQ35" s="67">
        <v>29260000</v>
      </c>
      <c r="BR35" s="67">
        <v>855597.52</v>
      </c>
      <c r="BS35" s="67">
        <v>996000</v>
      </c>
      <c r="BT35" s="428">
        <v>0.55300588426427322</v>
      </c>
      <c r="BU35" s="428">
        <v>0.33464287704132484</v>
      </c>
      <c r="BV35" s="67">
        <f t="shared" si="23"/>
        <v>17953837.622995332</v>
      </c>
      <c r="BW35" s="299"/>
      <c r="BX35" s="67">
        <v>51554996</v>
      </c>
      <c r="BY35" s="67">
        <v>21723128.00190885</v>
      </c>
      <c r="BZ35" s="67">
        <v>23022703.633160874</v>
      </c>
      <c r="CA35" s="67">
        <v>11697594.797803441</v>
      </c>
      <c r="CB35" s="67">
        <f t="shared" si="24"/>
        <v>116161.18269243512</v>
      </c>
      <c r="CC35" s="67">
        <f t="shared" si="25"/>
        <v>-231.87778299384922</v>
      </c>
      <c r="CD35" s="67">
        <f t="shared" si="26"/>
        <v>-53.69308380590774</v>
      </c>
      <c r="CE35" s="67">
        <f t="shared" si="27"/>
        <v>178.18469918794148</v>
      </c>
      <c r="CF35" s="67">
        <f t="shared" si="28"/>
        <v>-163.18469918794148</v>
      </c>
      <c r="CG35" s="67">
        <f t="shared" si="29"/>
        <v>-148.18469918794148</v>
      </c>
      <c r="CH35" s="67">
        <f t="shared" si="30"/>
        <v>-133.18469918794148</v>
      </c>
      <c r="CI35" s="67">
        <f t="shared" si="31"/>
        <v>-118.18469918794148</v>
      </c>
      <c r="CJ35" s="67">
        <f t="shared" si="32"/>
        <v>-1075550.3523477223</v>
      </c>
      <c r="CK35" s="67">
        <f t="shared" si="33"/>
        <v>-976685.35234772228</v>
      </c>
      <c r="CL35" s="67">
        <f t="shared" si="34"/>
        <v>-877820.35234772228</v>
      </c>
      <c r="CM35" s="67">
        <f t="shared" si="35"/>
        <v>-778955.35234772228</v>
      </c>
      <c r="CN35" s="299"/>
      <c r="CO35" s="430">
        <v>19359.248352822178</v>
      </c>
      <c r="CP35" s="430">
        <v>1791.8396753096445</v>
      </c>
      <c r="CQ35" s="430">
        <v>1713.3320000000001</v>
      </c>
      <c r="CR35" s="430">
        <v>23701585.89712885</v>
      </c>
      <c r="CS35" s="430">
        <v>8691965.3808050454</v>
      </c>
      <c r="CT35" s="430">
        <v>4365965.1070268713</v>
      </c>
      <c r="CU35" s="430">
        <v>1309081.9202592717</v>
      </c>
      <c r="CV35" s="430">
        <v>475944</v>
      </c>
      <c r="CW35" s="430">
        <v>50251.995508250438</v>
      </c>
      <c r="CX35" s="430">
        <v>-577630.51</v>
      </c>
      <c r="CY35" s="430">
        <v>21978680.474575046</v>
      </c>
      <c r="CZ35" s="519"/>
      <c r="DA35" s="524">
        <v>19788.613539999998</v>
      </c>
      <c r="DB35" s="524">
        <v>1777.8279140399754</v>
      </c>
      <c r="DC35" s="520">
        <f t="shared" si="36"/>
        <v>-1</v>
      </c>
      <c r="DD35" s="440">
        <v>6613</v>
      </c>
      <c r="DE35" s="450">
        <v>21723128.00190885</v>
      </c>
      <c r="DF35" s="440">
        <v>8916128.5010034405</v>
      </c>
      <c r="DG35" s="440">
        <v>1708825.0359999998</v>
      </c>
      <c r="DH35" s="440">
        <v>1072641.2608</v>
      </c>
      <c r="DI35" s="440">
        <v>8681440.0573491212</v>
      </c>
      <c r="DJ35" s="440">
        <v>1312641.39497911</v>
      </c>
      <c r="DK35" s="440">
        <v>116196.85905073934</v>
      </c>
      <c r="DL35" s="440">
        <v>398312</v>
      </c>
      <c r="DM35" s="440">
        <v>-86400</v>
      </c>
      <c r="DN35" s="440">
        <v>50201.178756793663</v>
      </c>
      <c r="DO35" s="457">
        <f t="shared" si="37"/>
        <v>446858.28603035584</v>
      </c>
      <c r="DP35" s="459">
        <f t="shared" si="38"/>
        <v>67.572703165031882</v>
      </c>
      <c r="DQ35" s="440"/>
      <c r="DR35" s="450">
        <v>51554996</v>
      </c>
      <c r="DS35" s="440">
        <v>19704916.705960877</v>
      </c>
      <c r="DT35" s="440">
        <v>1608961.8912</v>
      </c>
      <c r="DU35" s="440">
        <v>23691077.637128849</v>
      </c>
      <c r="DV35" s="440">
        <v>4377836.4362276206</v>
      </c>
      <c r="DW35" s="440">
        <v>2020737.0359999998</v>
      </c>
      <c r="DX35" s="457">
        <f t="shared" si="39"/>
        <v>-151466.2934826538</v>
      </c>
      <c r="DY35" s="459">
        <f t="shared" si="40"/>
        <v>-22.904323829223316</v>
      </c>
      <c r="DZ35" s="440"/>
      <c r="EA35" s="457">
        <f t="shared" si="41"/>
        <v>598324.57951300964</v>
      </c>
      <c r="EB35" s="459">
        <f t="shared" si="42"/>
        <v>90.477026994255198</v>
      </c>
      <c r="ED35" s="457">
        <v>-570776.70719800459</v>
      </c>
      <c r="EE35" s="458">
        <v>-480150.53434842412</v>
      </c>
      <c r="EF35" s="458">
        <v>-388154.88676596928</v>
      </c>
      <c r="EG35" s="458">
        <v>-296830.93722010171</v>
      </c>
      <c r="EH35" s="459">
        <v>-204091.54224392984</v>
      </c>
    </row>
    <row r="36" spans="1:138" x14ac:dyDescent="0.2">
      <c r="A36" s="67">
        <v>72</v>
      </c>
      <c r="B36" s="67" t="s">
        <v>157</v>
      </c>
      <c r="C36" s="67">
        <v>17</v>
      </c>
      <c r="D36" s="67">
        <v>960</v>
      </c>
      <c r="E36" s="82">
        <v>3143922.1768147908</v>
      </c>
      <c r="F36" s="67">
        <v>1348725.2332400877</v>
      </c>
      <c r="G36" s="67">
        <v>348060</v>
      </c>
      <c r="H36" s="67">
        <v>106888.55035226051</v>
      </c>
      <c r="I36" s="67">
        <v>1554014.8738862311</v>
      </c>
      <c r="J36" s="67">
        <v>167654.63214319746</v>
      </c>
      <c r="K36" s="67">
        <v>-54578.08487792324</v>
      </c>
      <c r="L36" s="67">
        <v>-235405</v>
      </c>
      <c r="M36" s="68">
        <v>-10538.93</v>
      </c>
      <c r="N36" s="68">
        <v>9637.8332243280474</v>
      </c>
      <c r="O36" s="68">
        <v>-27939.231758213369</v>
      </c>
      <c r="P36" s="168">
        <f t="shared" si="8"/>
        <v>62597.699395177187</v>
      </c>
      <c r="Q36" s="169">
        <f t="shared" si="9"/>
        <v>65.205936869976242</v>
      </c>
      <c r="R36" s="67"/>
      <c r="S36" s="82">
        <v>7901955.1600000011</v>
      </c>
      <c r="T36" s="67">
        <v>3463229.6257176669</v>
      </c>
      <c r="U36" s="67">
        <v>160648.38966020852</v>
      </c>
      <c r="V36" s="67">
        <v>3671169.3484625835</v>
      </c>
      <c r="W36" s="67">
        <v>559150.85422893451</v>
      </c>
      <c r="X36" s="67">
        <v>102116.07</v>
      </c>
      <c r="Y36" s="168">
        <f t="shared" si="10"/>
        <v>54359.128069392405</v>
      </c>
      <c r="Z36" s="169">
        <f t="shared" si="11"/>
        <v>56.624091738950419</v>
      </c>
      <c r="AA36" s="67"/>
      <c r="AB36" s="77">
        <f t="shared" si="12"/>
        <v>8238.5713257847819</v>
      </c>
      <c r="AC36" s="123">
        <f t="shared" si="13"/>
        <v>8.5818451310258137</v>
      </c>
      <c r="AE36" s="170"/>
      <c r="AF36" s="177">
        <v>1102.2019235519358</v>
      </c>
      <c r="AG36" s="177">
        <v>-1399.2956042303745</v>
      </c>
      <c r="AH36" s="177">
        <v>-2861.3737909032566</v>
      </c>
      <c r="AI36" s="178">
        <v>-4519.7413205438088</v>
      </c>
      <c r="AK36" s="67">
        <f t="shared" si="14"/>
        <v>2114504.3924775794</v>
      </c>
      <c r="AL36" s="67">
        <f t="shared" si="15"/>
        <v>53759.839307948001</v>
      </c>
      <c r="AM36" s="67">
        <f t="shared" si="16"/>
        <v>2117154.4745763522</v>
      </c>
      <c r="AN36" s="67">
        <f t="shared" si="17"/>
        <v>4758032.9831852103</v>
      </c>
      <c r="AO36" s="67">
        <f t="shared" si="18"/>
        <v>0</v>
      </c>
      <c r="AP36" s="67">
        <f t="shared" si="19"/>
        <v>1102.2019235519358</v>
      </c>
      <c r="AQ36" s="67">
        <f t="shared" si="20"/>
        <v>-1399.2956042303745</v>
      </c>
      <c r="AR36" s="67">
        <f t="shared" si="21"/>
        <v>-2861.3737909032566</v>
      </c>
      <c r="AS36" s="67">
        <f t="shared" si="22"/>
        <v>-4519.7413205438088</v>
      </c>
      <c r="AT36" s="68">
        <v>509</v>
      </c>
      <c r="AU36" s="68"/>
      <c r="AV36" s="68"/>
      <c r="AW36" s="68">
        <v>9</v>
      </c>
      <c r="AX36" s="68">
        <v>1904.5452628569979</v>
      </c>
      <c r="AY36" s="68">
        <v>-184.46239312652546</v>
      </c>
      <c r="AZ36" s="68">
        <v>391.25593749637045</v>
      </c>
      <c r="BA36" s="299"/>
      <c r="BB36" s="67"/>
      <c r="BC36" s="67"/>
      <c r="BD36" s="67"/>
      <c r="BE36" s="67"/>
      <c r="BF36" s="67"/>
      <c r="BG36" s="67"/>
      <c r="BH36" s="67"/>
      <c r="BN36" s="299"/>
      <c r="BO36" s="67">
        <v>3142464.7410840513</v>
      </c>
      <c r="BP36" s="67">
        <v>4310935.78</v>
      </c>
      <c r="BQ36" s="67">
        <v>4759000</v>
      </c>
      <c r="BR36" s="67">
        <v>66739.320000000007</v>
      </c>
      <c r="BS36" s="67">
        <v>67000</v>
      </c>
      <c r="BT36" s="428">
        <v>0.61055853090867507</v>
      </c>
      <c r="BU36" s="428">
        <v>0.33464287704132484</v>
      </c>
      <c r="BV36" s="67">
        <f t="shared" si="23"/>
        <v>2454072.6117841662</v>
      </c>
      <c r="BW36" s="299"/>
      <c r="BX36" s="67">
        <v>7721792</v>
      </c>
      <c r="BY36" s="67">
        <v>3142464.7410840513</v>
      </c>
      <c r="BZ36" s="67">
        <v>3859181.9565680623</v>
      </c>
      <c r="CA36" s="67">
        <v>1781406.9307648588</v>
      </c>
      <c r="CB36" s="67">
        <f t="shared" si="24"/>
        <v>-18805.781688474981</v>
      </c>
      <c r="CC36" s="67">
        <f t="shared" si="25"/>
        <v>56.624091738950362</v>
      </c>
      <c r="CD36" s="67">
        <f t="shared" si="26"/>
        <v>131.572119107124</v>
      </c>
      <c r="CE36" s="67">
        <f t="shared" si="27"/>
        <v>74.948027368173626</v>
      </c>
      <c r="CF36" s="67">
        <f t="shared" si="28"/>
        <v>-59.948027368173626</v>
      </c>
      <c r="CG36" s="67">
        <f t="shared" si="29"/>
        <v>-44.948027368173626</v>
      </c>
      <c r="CH36" s="67">
        <f t="shared" si="30"/>
        <v>-29.948027368173626</v>
      </c>
      <c r="CI36" s="67">
        <f t="shared" si="31"/>
        <v>-14.948027368173626</v>
      </c>
      <c r="CJ36" s="67">
        <f t="shared" si="32"/>
        <v>-57550.106273446683</v>
      </c>
      <c r="CK36" s="67">
        <f t="shared" si="33"/>
        <v>-43150.106273446683</v>
      </c>
      <c r="CL36" s="67">
        <f t="shared" si="34"/>
        <v>-28750.106273446683</v>
      </c>
      <c r="CM36" s="67">
        <f t="shared" si="35"/>
        <v>-14350.106273446681</v>
      </c>
      <c r="CN36" s="299"/>
      <c r="CO36" s="430">
        <v>3463.2296257176667</v>
      </c>
      <c r="CP36" s="430">
        <v>160.64838966020852</v>
      </c>
      <c r="CQ36" s="430">
        <v>348.06</v>
      </c>
      <c r="CR36" s="430">
        <v>3671169.3484625835</v>
      </c>
      <c r="CS36" s="430">
        <v>1554014.8738862311</v>
      </c>
      <c r="CT36" s="430">
        <v>559150.85422893451</v>
      </c>
      <c r="CU36" s="430">
        <v>167654.63214319746</v>
      </c>
      <c r="CV36" s="430">
        <v>-235405</v>
      </c>
      <c r="CW36" s="430">
        <v>9637.8332243280474</v>
      </c>
      <c r="CX36" s="430">
        <v>-10538.93</v>
      </c>
      <c r="CY36" s="430">
        <v>3143922.1768147908</v>
      </c>
      <c r="CZ36" s="519"/>
      <c r="DA36" s="524">
        <v>3469.9738600000001</v>
      </c>
      <c r="DB36" s="524">
        <v>159.39195003230978</v>
      </c>
      <c r="DC36" s="520">
        <f t="shared" si="36"/>
        <v>-1</v>
      </c>
      <c r="DD36" s="440">
        <v>950</v>
      </c>
      <c r="DE36" s="450">
        <v>3142464.7410840513</v>
      </c>
      <c r="DF36" s="440">
        <v>1320721.3494648589</v>
      </c>
      <c r="DG36" s="440">
        <v>364517.32829999999</v>
      </c>
      <c r="DH36" s="440">
        <v>96168.252999999997</v>
      </c>
      <c r="DI36" s="440">
        <v>1552525.7348386829</v>
      </c>
      <c r="DJ36" s="440">
        <v>167551.73249265895</v>
      </c>
      <c r="DK36" s="440">
        <v>-18543.602143970566</v>
      </c>
      <c r="DL36" s="440">
        <v>-235405</v>
      </c>
      <c r="DM36" s="440">
        <v>-25000</v>
      </c>
      <c r="DN36" s="440">
        <v>9210.2210233157639</v>
      </c>
      <c r="DO36" s="457">
        <f t="shared" si="37"/>
        <v>89281.275891494937</v>
      </c>
      <c r="DP36" s="459">
        <f t="shared" si="38"/>
        <v>93.980290412099933</v>
      </c>
      <c r="DQ36" s="440"/>
      <c r="DR36" s="450">
        <v>7721792</v>
      </c>
      <c r="DS36" s="440">
        <v>3350412.2487680623</v>
      </c>
      <c r="DT36" s="440">
        <v>144252.37949999998</v>
      </c>
      <c r="DU36" s="440">
        <v>3669685.1184625826</v>
      </c>
      <c r="DV36" s="440">
        <v>558807.66998902941</v>
      </c>
      <c r="DW36" s="440">
        <v>104112.32829999999</v>
      </c>
      <c r="DX36" s="457">
        <f t="shared" si="39"/>
        <v>105477.7450196743</v>
      </c>
      <c r="DY36" s="459">
        <f t="shared" si="40"/>
        <v>111.02920528386768</v>
      </c>
      <c r="DZ36" s="440"/>
      <c r="EA36" s="457">
        <f t="shared" si="41"/>
        <v>-16196.469128179364</v>
      </c>
      <c r="EB36" s="459">
        <f t="shared" si="42"/>
        <v>-17.048914871767753</v>
      </c>
      <c r="ED36" s="457">
        <v>20153.898237397858</v>
      </c>
      <c r="EE36" s="458">
        <v>4672.9310828691159</v>
      </c>
      <c r="EF36" s="458">
        <v>1692.2286571443349</v>
      </c>
      <c r="EG36" s="458">
        <v>561.50161473909623</v>
      </c>
      <c r="EH36" s="459">
        <v>-365.88758420793368</v>
      </c>
    </row>
    <row r="37" spans="1:138" x14ac:dyDescent="0.2">
      <c r="A37" s="67">
        <v>74</v>
      </c>
      <c r="B37" s="67" t="s">
        <v>158</v>
      </c>
      <c r="C37" s="67">
        <v>16</v>
      </c>
      <c r="D37" s="67">
        <v>1052</v>
      </c>
      <c r="E37" s="82">
        <v>3575162.545152545</v>
      </c>
      <c r="F37" s="67">
        <v>1525377.2455289562</v>
      </c>
      <c r="G37" s="67">
        <v>407726</v>
      </c>
      <c r="H37" s="67">
        <v>342167.58572933031</v>
      </c>
      <c r="I37" s="67">
        <v>988516.01703034877</v>
      </c>
      <c r="J37" s="67">
        <v>265714.88882086927</v>
      </c>
      <c r="K37" s="67">
        <v>139013.45934893729</v>
      </c>
      <c r="L37" s="67">
        <v>-308048</v>
      </c>
      <c r="M37" s="68">
        <v>68000.23</v>
      </c>
      <c r="N37" s="68">
        <v>7802.7501118524206</v>
      </c>
      <c r="O37" s="68">
        <v>-30616.741468375483</v>
      </c>
      <c r="P37" s="168">
        <f t="shared" si="8"/>
        <v>-169509.11005062604</v>
      </c>
      <c r="Q37" s="169">
        <f t="shared" si="9"/>
        <v>-161.13033274774338</v>
      </c>
      <c r="R37" s="67"/>
      <c r="S37" s="82">
        <v>9107000</v>
      </c>
      <c r="T37" s="67">
        <v>3108701.0787960533</v>
      </c>
      <c r="U37" s="67">
        <v>514261.55056069349</v>
      </c>
      <c r="V37" s="67">
        <v>4293252.6927847341</v>
      </c>
      <c r="W37" s="67">
        <v>886195.06163500762</v>
      </c>
      <c r="X37" s="67">
        <v>167678.22999999998</v>
      </c>
      <c r="Y37" s="168">
        <f t="shared" si="10"/>
        <v>-136911.38622351177</v>
      </c>
      <c r="Z37" s="169">
        <f t="shared" si="11"/>
        <v>-130.14390325428874</v>
      </c>
      <c r="AA37" s="67"/>
      <c r="AB37" s="77">
        <f t="shared" si="12"/>
        <v>-32597.723827114271</v>
      </c>
      <c r="AC37" s="123">
        <f t="shared" si="13"/>
        <v>-30.986429493454629</v>
      </c>
      <c r="AE37" s="170"/>
      <c r="AF37" s="177">
        <v>18025.553435006219</v>
      </c>
      <c r="AG37" s="177">
        <v>-495.67093918856318</v>
      </c>
      <c r="AH37" s="177">
        <v>-3135.5887791981518</v>
      </c>
      <c r="AI37" s="178">
        <v>-4952.8831970959236</v>
      </c>
      <c r="AK37" s="67">
        <f t="shared" si="14"/>
        <v>1583323.8332670971</v>
      </c>
      <c r="AL37" s="67">
        <f t="shared" si="15"/>
        <v>172093.96483136318</v>
      </c>
      <c r="AM37" s="67">
        <f t="shared" si="16"/>
        <v>3304736.6757543851</v>
      </c>
      <c r="AN37" s="67">
        <f t="shared" si="17"/>
        <v>5531837.454847455</v>
      </c>
      <c r="AO37" s="67">
        <f t="shared" si="18"/>
        <v>0</v>
      </c>
      <c r="AP37" s="67">
        <f t="shared" si="19"/>
        <v>18025.553435006219</v>
      </c>
      <c r="AQ37" s="67">
        <f t="shared" si="20"/>
        <v>-495.67093918856318</v>
      </c>
      <c r="AR37" s="67">
        <f t="shared" si="21"/>
        <v>-3135.5887791981518</v>
      </c>
      <c r="AS37" s="67">
        <f t="shared" si="22"/>
        <v>-4952.8831970959236</v>
      </c>
      <c r="AT37" s="68">
        <v>154</v>
      </c>
      <c r="AU37" s="68"/>
      <c r="AV37" s="68"/>
      <c r="AW37" s="68">
        <v>16</v>
      </c>
      <c r="AX37" s="68">
        <v>2729.0355246011145</v>
      </c>
      <c r="AY37" s="68">
        <v>-635.77906689211625</v>
      </c>
      <c r="AZ37" s="68">
        <v>620.73615011488801</v>
      </c>
      <c r="BA37" s="299"/>
      <c r="BB37" s="67"/>
      <c r="BC37" s="67"/>
      <c r="BD37" s="67"/>
      <c r="BE37" s="67"/>
      <c r="BF37" s="67"/>
      <c r="BG37" s="67"/>
      <c r="BH37" s="67"/>
      <c r="BN37" s="299"/>
      <c r="BO37" s="67">
        <v>3285571.2157675633</v>
      </c>
      <c r="BP37" s="67">
        <v>5235563.68</v>
      </c>
      <c r="BQ37" s="67">
        <v>5161000</v>
      </c>
      <c r="BR37" s="67">
        <v>146520.79</v>
      </c>
      <c r="BS37" s="67">
        <v>157000</v>
      </c>
      <c r="BT37" s="428">
        <v>0.50932006427594234</v>
      </c>
      <c r="BU37" s="428">
        <v>0.33464287704132478</v>
      </c>
      <c r="BV37" s="67">
        <f t="shared" si="23"/>
        <v>4064230.3079174617</v>
      </c>
      <c r="BW37" s="299"/>
      <c r="BX37" s="67">
        <v>8845943</v>
      </c>
      <c r="BY37" s="67">
        <v>3285571.2157675633</v>
      </c>
      <c r="BZ37" s="67">
        <v>4107337.5643538581</v>
      </c>
      <c r="CA37" s="67">
        <v>2315984.2210994302</v>
      </c>
      <c r="CB37" s="67">
        <f t="shared" si="24"/>
        <v>124963.88378092927</v>
      </c>
      <c r="CC37" s="67">
        <f t="shared" si="25"/>
        <v>-130.14390325428874</v>
      </c>
      <c r="CD37" s="67">
        <f t="shared" si="26"/>
        <v>-145.38207618845891</v>
      </c>
      <c r="CE37" s="67">
        <f t="shared" si="27"/>
        <v>-15.238172934170166</v>
      </c>
      <c r="CF37" s="67">
        <f t="shared" si="28"/>
        <v>0.23817293417016572</v>
      </c>
      <c r="CG37" s="67">
        <f t="shared" si="29"/>
        <v>0</v>
      </c>
      <c r="CH37" s="67">
        <f t="shared" si="30"/>
        <v>0</v>
      </c>
      <c r="CI37" s="67">
        <f t="shared" si="31"/>
        <v>0</v>
      </c>
      <c r="CJ37" s="67">
        <f t="shared" si="32"/>
        <v>250.55792674701433</v>
      </c>
      <c r="CK37" s="67">
        <f t="shared" si="33"/>
        <v>0</v>
      </c>
      <c r="CL37" s="67">
        <f t="shared" si="34"/>
        <v>0</v>
      </c>
      <c r="CM37" s="67">
        <f t="shared" si="35"/>
        <v>0</v>
      </c>
      <c r="CN37" s="299"/>
      <c r="CO37" s="430">
        <v>3108.7010787960535</v>
      </c>
      <c r="CP37" s="430">
        <v>514.26155056069354</v>
      </c>
      <c r="CQ37" s="430">
        <v>407.726</v>
      </c>
      <c r="CR37" s="430">
        <v>4293252.6927847341</v>
      </c>
      <c r="CS37" s="430">
        <v>988516.01703034877</v>
      </c>
      <c r="CT37" s="430">
        <v>886195.06163500762</v>
      </c>
      <c r="CU37" s="430">
        <v>265714.88882086927</v>
      </c>
      <c r="CV37" s="430">
        <v>-308048</v>
      </c>
      <c r="CW37" s="430">
        <v>7802.7501118524206</v>
      </c>
      <c r="CX37" s="430">
        <v>68000.23</v>
      </c>
      <c r="CY37" s="430">
        <v>3575162.545152545</v>
      </c>
      <c r="CZ37" s="519"/>
      <c r="DA37" s="524">
        <v>3294.2997999999998</v>
      </c>
      <c r="DB37" s="524">
        <v>510.23959091692245</v>
      </c>
      <c r="DC37" s="520">
        <f t="shared" si="36"/>
        <v>-1</v>
      </c>
      <c r="DD37" s="440">
        <v>1083</v>
      </c>
      <c r="DE37" s="450">
        <v>3285571.2157675633</v>
      </c>
      <c r="DF37" s="440">
        <v>1607377.8538994303</v>
      </c>
      <c r="DG37" s="440">
        <v>400756.19200000004</v>
      </c>
      <c r="DH37" s="440">
        <v>307850.1752</v>
      </c>
      <c r="DI37" s="440">
        <v>986785.84765281749</v>
      </c>
      <c r="DJ37" s="440">
        <v>265824.50872975576</v>
      </c>
      <c r="DK37" s="440">
        <v>124876.83825200844</v>
      </c>
      <c r="DL37" s="440">
        <v>-308048</v>
      </c>
      <c r="DM37" s="440">
        <v>-24570</v>
      </c>
      <c r="DN37" s="440">
        <v>7940.5903032504702</v>
      </c>
      <c r="DO37" s="457">
        <f t="shared" si="37"/>
        <v>83222.790269698948</v>
      </c>
      <c r="DP37" s="459">
        <f t="shared" si="38"/>
        <v>76.844681689472708</v>
      </c>
      <c r="DQ37" s="440"/>
      <c r="DR37" s="450">
        <v>8845943</v>
      </c>
      <c r="DS37" s="440">
        <v>3244806.1095538582</v>
      </c>
      <c r="DT37" s="440">
        <v>461775.26280000003</v>
      </c>
      <c r="DU37" s="440">
        <v>4291528.6327847335</v>
      </c>
      <c r="DV37" s="440">
        <v>886560.65884464374</v>
      </c>
      <c r="DW37" s="440">
        <v>68138.192000000039</v>
      </c>
      <c r="DX37" s="457">
        <f t="shared" si="39"/>
        <v>106865.85598323494</v>
      </c>
      <c r="DY37" s="459">
        <f t="shared" si="40"/>
        <v>98.675767297539196</v>
      </c>
      <c r="DZ37" s="440"/>
      <c r="EA37" s="457">
        <f t="shared" si="41"/>
        <v>-23643.065713535994</v>
      </c>
      <c r="EB37" s="459">
        <f t="shared" si="42"/>
        <v>-21.831085608066477</v>
      </c>
      <c r="ED37" s="457">
        <v>28154.534898044614</v>
      </c>
      <c r="EE37" s="458">
        <v>10506.232341881849</v>
      </c>
      <c r="EF37" s="458">
        <v>1929.1406691445418</v>
      </c>
      <c r="EG37" s="458">
        <v>640.11184080256976</v>
      </c>
      <c r="EH37" s="459">
        <v>-417.11184599704438</v>
      </c>
    </row>
    <row r="38" spans="1:138" x14ac:dyDescent="0.2">
      <c r="A38" s="67">
        <v>75</v>
      </c>
      <c r="B38" s="67" t="s">
        <v>159</v>
      </c>
      <c r="C38" s="67">
        <v>8</v>
      </c>
      <c r="D38" s="67">
        <v>19549</v>
      </c>
      <c r="E38" s="82">
        <v>48400506.188494429</v>
      </c>
      <c r="F38" s="67">
        <v>30697219.533380244</v>
      </c>
      <c r="G38" s="67">
        <v>7184036</v>
      </c>
      <c r="H38" s="67">
        <v>13375376.235448601</v>
      </c>
      <c r="I38" s="67">
        <v>1665398.683450778</v>
      </c>
      <c r="J38" s="67">
        <v>3214723.7788081961</v>
      </c>
      <c r="K38" s="67">
        <v>-3763542.0808853563</v>
      </c>
      <c r="L38" s="67">
        <v>-1695569</v>
      </c>
      <c r="M38" s="68">
        <v>482178.94</v>
      </c>
      <c r="N38" s="68">
        <v>229993.74852321358</v>
      </c>
      <c r="O38" s="68">
        <v>-568941.71004303452</v>
      </c>
      <c r="P38" s="168">
        <f t="shared" si="8"/>
        <v>2420367.9401882077</v>
      </c>
      <c r="Q38" s="169">
        <f t="shared" si="9"/>
        <v>123.81031971907554</v>
      </c>
      <c r="R38" s="67"/>
      <c r="S38" s="82">
        <v>144906706.88000003</v>
      </c>
      <c r="T38" s="67">
        <v>75712713.080299675</v>
      </c>
      <c r="U38" s="67">
        <v>20102552.109116498</v>
      </c>
      <c r="V38" s="67">
        <v>33882321.733184412</v>
      </c>
      <c r="W38" s="67">
        <v>10721538.22445761</v>
      </c>
      <c r="X38" s="67">
        <v>5970645.9400000004</v>
      </c>
      <c r="Y38" s="168">
        <f t="shared" si="10"/>
        <v>1483064.2070581615</v>
      </c>
      <c r="Z38" s="169">
        <f t="shared" si="11"/>
        <v>75.863942250660472</v>
      </c>
      <c r="AA38" s="67"/>
      <c r="AB38" s="77">
        <f t="shared" si="12"/>
        <v>937303.73313004617</v>
      </c>
      <c r="AC38" s="123">
        <f t="shared" si="13"/>
        <v>47.946377468415065</v>
      </c>
      <c r="AE38" s="170"/>
      <c r="AF38" s="177">
        <v>-621623.99833471526</v>
      </c>
      <c r="AG38" s="177">
        <v>-379328.34747077402</v>
      </c>
      <c r="AH38" s="177">
        <v>-115866.43754501169</v>
      </c>
      <c r="AI38" s="178">
        <v>-92037.940703448869</v>
      </c>
      <c r="AK38" s="67">
        <f t="shared" si="14"/>
        <v>45015493.546919435</v>
      </c>
      <c r="AL38" s="67">
        <f t="shared" si="15"/>
        <v>6727175.8736678977</v>
      </c>
      <c r="AM38" s="67">
        <f t="shared" si="16"/>
        <v>32216923.049733635</v>
      </c>
      <c r="AN38" s="67">
        <f t="shared" si="17"/>
        <v>96506200.691505596</v>
      </c>
      <c r="AO38" s="67">
        <f t="shared" si="18"/>
        <v>0</v>
      </c>
      <c r="AP38" s="67">
        <f t="shared" si="19"/>
        <v>-621623.99833471526</v>
      </c>
      <c r="AQ38" s="67">
        <f t="shared" si="20"/>
        <v>-379328.34747077402</v>
      </c>
      <c r="AR38" s="67">
        <f t="shared" si="21"/>
        <v>-115866.43754501169</v>
      </c>
      <c r="AS38" s="67">
        <f t="shared" si="22"/>
        <v>-92037.940703448869</v>
      </c>
      <c r="AT38" s="68">
        <v>9930</v>
      </c>
      <c r="AU38" s="68"/>
      <c r="AV38" s="68"/>
      <c r="AW38" s="68">
        <v>0</v>
      </c>
      <c r="AX38" s="68">
        <v>31910.027502460784</v>
      </c>
      <c r="AY38" s="68">
        <v>1264.8287735206393</v>
      </c>
      <c r="AZ38" s="68">
        <v>7521.4412112067766</v>
      </c>
      <c r="BA38" s="299"/>
      <c r="BB38" s="67"/>
      <c r="BC38" s="67"/>
      <c r="BD38" s="67"/>
      <c r="BE38" s="67"/>
      <c r="BF38" s="67"/>
      <c r="BG38" s="67"/>
      <c r="BH38" s="67"/>
      <c r="BN38" s="299"/>
      <c r="BO38" s="67">
        <v>44826443.580038905</v>
      </c>
      <c r="BP38" s="67">
        <v>88144369.130000025</v>
      </c>
      <c r="BQ38" s="67">
        <v>92686000</v>
      </c>
      <c r="BR38" s="67">
        <v>2650532.6800000002</v>
      </c>
      <c r="BS38" s="67">
        <v>3187000</v>
      </c>
      <c r="BT38" s="428">
        <v>0.59455660371299512</v>
      </c>
      <c r="BU38" s="428">
        <v>0.33464287704132484</v>
      </c>
      <c r="BV38" s="67">
        <f t="shared" si="23"/>
        <v>35960195.414497688</v>
      </c>
      <c r="BW38" s="299"/>
      <c r="BX38" s="67">
        <v>137012600</v>
      </c>
      <c r="BY38" s="67">
        <v>44826443.580038905</v>
      </c>
      <c r="BZ38" s="67">
        <v>104442091.65075496</v>
      </c>
      <c r="CA38" s="67">
        <v>51871231.20349516</v>
      </c>
      <c r="CB38" s="67">
        <f t="shared" si="24"/>
        <v>-1012278.676455927</v>
      </c>
      <c r="CC38" s="67">
        <f t="shared" si="25"/>
        <v>75.863942250660799</v>
      </c>
      <c r="CD38" s="67">
        <f t="shared" si="26"/>
        <v>293.65047085071751</v>
      </c>
      <c r="CE38" s="67">
        <f t="shared" si="27"/>
        <v>217.78652860005673</v>
      </c>
      <c r="CF38" s="67">
        <f t="shared" si="28"/>
        <v>-202.78652860005673</v>
      </c>
      <c r="CG38" s="67">
        <f t="shared" si="29"/>
        <v>-187.78652860005673</v>
      </c>
      <c r="CH38" s="67">
        <f t="shared" si="30"/>
        <v>-172.78652860005673</v>
      </c>
      <c r="CI38" s="67">
        <f t="shared" si="31"/>
        <v>-157.78652860005673</v>
      </c>
      <c r="CJ38" s="67">
        <f t="shared" si="32"/>
        <v>-3964273.847602509</v>
      </c>
      <c r="CK38" s="67">
        <f t="shared" si="33"/>
        <v>-3671038.847602509</v>
      </c>
      <c r="CL38" s="67">
        <f t="shared" si="34"/>
        <v>-3377803.847602509</v>
      </c>
      <c r="CM38" s="67">
        <f t="shared" si="35"/>
        <v>-3084568.847602509</v>
      </c>
      <c r="CN38" s="299"/>
      <c r="CO38" s="430">
        <v>75712.713080299669</v>
      </c>
      <c r="CP38" s="430">
        <v>20102.552109116499</v>
      </c>
      <c r="CQ38" s="430">
        <v>7184.0360000000001</v>
      </c>
      <c r="CR38" s="430">
        <v>33882321.733184412</v>
      </c>
      <c r="CS38" s="430">
        <v>1665398.683450778</v>
      </c>
      <c r="CT38" s="430">
        <v>10721538.22445761</v>
      </c>
      <c r="CU38" s="430">
        <v>3214723.7788081961</v>
      </c>
      <c r="CV38" s="430">
        <v>-1695569</v>
      </c>
      <c r="CW38" s="430">
        <v>229993.74852321358</v>
      </c>
      <c r="CX38" s="430">
        <v>482178.94</v>
      </c>
      <c r="CY38" s="430">
        <v>48400506.188494429</v>
      </c>
      <c r="CZ38" s="519"/>
      <c r="DA38" s="524">
        <v>76068.80313</v>
      </c>
      <c r="DB38" s="524">
        <v>19945.361907952254</v>
      </c>
      <c r="DC38" s="520">
        <f t="shared" si="36"/>
        <v>-1</v>
      </c>
      <c r="DD38" s="440">
        <v>19702</v>
      </c>
      <c r="DE38" s="450">
        <v>44826443.580038905</v>
      </c>
      <c r="DF38" s="440">
        <v>32402042.439395156</v>
      </c>
      <c r="DG38" s="440">
        <v>7435284.6504999995</v>
      </c>
      <c r="DH38" s="440">
        <v>12033904.113600001</v>
      </c>
      <c r="DI38" s="440">
        <v>1634205.9300941387</v>
      </c>
      <c r="DJ38" s="440">
        <v>3220987.5557251303</v>
      </c>
      <c r="DK38" s="440">
        <v>-1014078.494076492</v>
      </c>
      <c r="DL38" s="440">
        <v>-1667493</v>
      </c>
      <c r="DM38" s="440">
        <v>1156000</v>
      </c>
      <c r="DN38" s="440">
        <v>233032.56516810754</v>
      </c>
      <c r="DO38" s="457">
        <f t="shared" si="37"/>
        <v>10607442.180367135</v>
      </c>
      <c r="DP38" s="459">
        <f t="shared" si="38"/>
        <v>538.3941823351505</v>
      </c>
      <c r="DQ38" s="440"/>
      <c r="DR38" s="450">
        <v>137012600</v>
      </c>
      <c r="DS38" s="440">
        <v>78955950.82985495</v>
      </c>
      <c r="DT38" s="440">
        <v>18050856.170400001</v>
      </c>
      <c r="DU38" s="440">
        <v>33851232.353184395</v>
      </c>
      <c r="DV38" s="440">
        <v>10742428.766931906</v>
      </c>
      <c r="DW38" s="440">
        <v>6923791.6504999995</v>
      </c>
      <c r="DX38" s="457">
        <f t="shared" si="39"/>
        <v>11511659.770871252</v>
      </c>
      <c r="DY38" s="459">
        <f t="shared" si="40"/>
        <v>584.28889305000769</v>
      </c>
      <c r="DZ38" s="440"/>
      <c r="EA38" s="457">
        <f t="shared" si="41"/>
        <v>-904217.59050411731</v>
      </c>
      <c r="EB38" s="459">
        <f t="shared" si="42"/>
        <v>-45.89471071485724</v>
      </c>
      <c r="ED38" s="457">
        <v>986290.50451448513</v>
      </c>
      <c r="EE38" s="458">
        <v>665231.54148445849</v>
      </c>
      <c r="EF38" s="458">
        <v>348252.63155999553</v>
      </c>
      <c r="EG38" s="458">
        <v>29272.542939502891</v>
      </c>
      <c r="EH38" s="459">
        <v>-7588.123351647062</v>
      </c>
    </row>
    <row r="39" spans="1:138" x14ac:dyDescent="0.2">
      <c r="A39" s="67">
        <v>77</v>
      </c>
      <c r="B39" s="67" t="s">
        <v>160</v>
      </c>
      <c r="C39" s="67">
        <v>13</v>
      </c>
      <c r="D39" s="67">
        <v>4601</v>
      </c>
      <c r="E39" s="82">
        <v>12129815.166000761</v>
      </c>
      <c r="F39" s="67">
        <v>6035042.4574599527</v>
      </c>
      <c r="G39" s="67">
        <v>1460110</v>
      </c>
      <c r="H39" s="67">
        <v>875204.45643094019</v>
      </c>
      <c r="I39" s="67">
        <v>3433459.5079760635</v>
      </c>
      <c r="J39" s="67">
        <v>1053624.9341831249</v>
      </c>
      <c r="K39" s="67">
        <v>-447841.72305847821</v>
      </c>
      <c r="L39" s="67">
        <v>250012</v>
      </c>
      <c r="M39" s="68">
        <v>186038.13</v>
      </c>
      <c r="N39" s="68">
        <v>35472.426214418731</v>
      </c>
      <c r="O39" s="68">
        <v>-133904.58887452053</v>
      </c>
      <c r="P39" s="168">
        <f t="shared" si="8"/>
        <v>617402.43433074118</v>
      </c>
      <c r="Q39" s="169">
        <f t="shared" si="9"/>
        <v>134.18874903950035</v>
      </c>
      <c r="R39" s="67"/>
      <c r="S39" s="82">
        <v>36349752.630000003</v>
      </c>
      <c r="T39" s="67">
        <v>13575238.6146979</v>
      </c>
      <c r="U39" s="67">
        <v>1315390.526728153</v>
      </c>
      <c r="V39" s="67">
        <v>16348620.786406167</v>
      </c>
      <c r="W39" s="67">
        <v>3513981.5372485863</v>
      </c>
      <c r="X39" s="67">
        <v>1896160.13</v>
      </c>
      <c r="Y39" s="168">
        <f t="shared" si="10"/>
        <v>299638.96508080512</v>
      </c>
      <c r="Z39" s="169">
        <f t="shared" si="11"/>
        <v>65.124747898457969</v>
      </c>
      <c r="AA39" s="67"/>
      <c r="AB39" s="77">
        <f t="shared" si="12"/>
        <v>317763.46924993605</v>
      </c>
      <c r="AC39" s="123">
        <f t="shared" si="13"/>
        <v>69.064001141042397</v>
      </c>
      <c r="AE39" s="170"/>
      <c r="AF39" s="177">
        <v>-243465.93690591247</v>
      </c>
      <c r="AG39" s="177">
        <v>-186439.88495312748</v>
      </c>
      <c r="AH39" s="177">
        <v>-124432.19926237949</v>
      </c>
      <c r="AI39" s="178">
        <v>-63365.271141417186</v>
      </c>
      <c r="AK39" s="67">
        <f t="shared" si="14"/>
        <v>7540196.157237947</v>
      </c>
      <c r="AL39" s="67">
        <f t="shared" si="15"/>
        <v>440186.07029721281</v>
      </c>
      <c r="AM39" s="67">
        <f t="shared" si="16"/>
        <v>12915161.278430104</v>
      </c>
      <c r="AN39" s="67">
        <f t="shared" si="17"/>
        <v>24219937.463999242</v>
      </c>
      <c r="AO39" s="67">
        <f t="shared" si="18"/>
        <v>0</v>
      </c>
      <c r="AP39" s="67">
        <f t="shared" si="19"/>
        <v>-243465.93690591247</v>
      </c>
      <c r="AQ39" s="67">
        <f t="shared" si="20"/>
        <v>-186439.88495312748</v>
      </c>
      <c r="AR39" s="67">
        <f t="shared" si="21"/>
        <v>-124432.19926237949</v>
      </c>
      <c r="AS39" s="67">
        <f t="shared" si="22"/>
        <v>-63365.271141417186</v>
      </c>
      <c r="AT39" s="68">
        <v>1715</v>
      </c>
      <c r="AU39" s="68"/>
      <c r="AV39" s="68"/>
      <c r="AW39" s="68">
        <v>28</v>
      </c>
      <c r="AX39" s="68">
        <v>10287.979037627243</v>
      </c>
      <c r="AY39" s="68">
        <v>-2646.3845613471585</v>
      </c>
      <c r="AZ39" s="68">
        <v>2467.1006325658968</v>
      </c>
      <c r="BA39" s="299"/>
      <c r="BB39" s="67"/>
      <c r="BC39" s="67"/>
      <c r="BD39" s="67"/>
      <c r="BE39" s="67"/>
      <c r="BF39" s="67"/>
      <c r="BG39" s="67"/>
      <c r="BH39" s="67"/>
      <c r="BN39" s="299"/>
      <c r="BO39" s="67">
        <v>12071970.396950111</v>
      </c>
      <c r="BP39" s="67">
        <v>22380641.080000002</v>
      </c>
      <c r="BQ39" s="67">
        <v>23533000</v>
      </c>
      <c r="BR39" s="67">
        <v>463383.08</v>
      </c>
      <c r="BS39" s="67">
        <v>472000</v>
      </c>
      <c r="BT39" s="428">
        <v>0.55543746752813483</v>
      </c>
      <c r="BU39" s="428">
        <v>0.33464287704132484</v>
      </c>
      <c r="BV39" s="67">
        <f t="shared" si="23"/>
        <v>14927676.158437084</v>
      </c>
      <c r="BW39" s="299"/>
      <c r="BX39" s="67">
        <v>35439700</v>
      </c>
      <c r="BY39" s="67">
        <v>12071970.396950111</v>
      </c>
      <c r="BZ39" s="67">
        <v>16658114.244849648</v>
      </c>
      <c r="CA39" s="67">
        <v>8549495.9337599035</v>
      </c>
      <c r="CB39" s="67">
        <f t="shared" si="24"/>
        <v>62930.619916166048</v>
      </c>
      <c r="CC39" s="67">
        <f t="shared" si="25"/>
        <v>65.124747898457571</v>
      </c>
      <c r="CD39" s="67">
        <f t="shared" si="26"/>
        <v>274.30544798519992</v>
      </c>
      <c r="CE39" s="67">
        <f t="shared" si="27"/>
        <v>209.18070008674235</v>
      </c>
      <c r="CF39" s="67">
        <f t="shared" si="28"/>
        <v>-194.18070008674235</v>
      </c>
      <c r="CG39" s="67">
        <f t="shared" si="29"/>
        <v>-179.18070008674235</v>
      </c>
      <c r="CH39" s="67">
        <f t="shared" si="30"/>
        <v>-164.18070008674235</v>
      </c>
      <c r="CI39" s="67">
        <f t="shared" si="31"/>
        <v>-149.18070008674235</v>
      </c>
      <c r="CJ39" s="67">
        <f t="shared" si="32"/>
        <v>-893425.40109910152</v>
      </c>
      <c r="CK39" s="67">
        <f t="shared" si="33"/>
        <v>-824410.40109910152</v>
      </c>
      <c r="CL39" s="67">
        <f t="shared" si="34"/>
        <v>-755395.40109910152</v>
      </c>
      <c r="CM39" s="67">
        <f t="shared" si="35"/>
        <v>-686380.40109910152</v>
      </c>
      <c r="CN39" s="299"/>
      <c r="CO39" s="430">
        <v>13575.238614697899</v>
      </c>
      <c r="CP39" s="430">
        <v>1315.390526728153</v>
      </c>
      <c r="CQ39" s="430">
        <v>1460.11</v>
      </c>
      <c r="CR39" s="430">
        <v>16348620.786406167</v>
      </c>
      <c r="CS39" s="430">
        <v>3433459.5079760635</v>
      </c>
      <c r="CT39" s="430">
        <v>3513981.5372485863</v>
      </c>
      <c r="CU39" s="430">
        <v>1053624.9341831249</v>
      </c>
      <c r="CV39" s="430">
        <v>250012</v>
      </c>
      <c r="CW39" s="430">
        <v>35472.426214418731</v>
      </c>
      <c r="CX39" s="430">
        <v>186038.13</v>
      </c>
      <c r="CY39" s="430">
        <v>12129815.166000761</v>
      </c>
      <c r="CZ39" s="519"/>
      <c r="DA39" s="524">
        <v>13839.98986</v>
      </c>
      <c r="DB39" s="524">
        <v>1305.1037177659293</v>
      </c>
      <c r="DC39" s="520">
        <f t="shared" si="36"/>
        <v>-1</v>
      </c>
      <c r="DD39" s="440">
        <v>4683</v>
      </c>
      <c r="DE39" s="450">
        <v>12071970.396950111</v>
      </c>
      <c r="DF39" s="440">
        <v>6303677.8189599048</v>
      </c>
      <c r="DG39" s="440">
        <v>1458391.554</v>
      </c>
      <c r="DH39" s="440">
        <v>787426.56079999998</v>
      </c>
      <c r="DI39" s="440">
        <v>3425934.6568194907</v>
      </c>
      <c r="DJ39" s="440">
        <v>1056513.002371972</v>
      </c>
      <c r="DK39" s="440">
        <v>62638.926461373107</v>
      </c>
      <c r="DL39" s="440">
        <v>252765</v>
      </c>
      <c r="DM39" s="440">
        <v>76000</v>
      </c>
      <c r="DN39" s="440">
        <v>35943.336459139566</v>
      </c>
      <c r="DO39" s="457">
        <f t="shared" si="37"/>
        <v>1387320.4589217696</v>
      </c>
      <c r="DP39" s="459">
        <f t="shared" si="38"/>
        <v>296.24609415369838</v>
      </c>
      <c r="DQ39" s="440"/>
      <c r="DR39" s="450">
        <v>35439700</v>
      </c>
      <c r="DS39" s="440">
        <v>14018582.849649649</v>
      </c>
      <c r="DT39" s="440">
        <v>1181139.8411999999</v>
      </c>
      <c r="DU39" s="440">
        <v>16341115.58640616</v>
      </c>
      <c r="DV39" s="440">
        <v>3523613.6349378689</v>
      </c>
      <c r="DW39" s="440">
        <v>1787156.554</v>
      </c>
      <c r="DX39" s="457">
        <f t="shared" si="39"/>
        <v>1411908.466193676</v>
      </c>
      <c r="DY39" s="459">
        <f t="shared" si="40"/>
        <v>301.49657616777193</v>
      </c>
      <c r="DZ39" s="440"/>
      <c r="EA39" s="457">
        <f t="shared" si="41"/>
        <v>-24588.007271906361</v>
      </c>
      <c r="EB39" s="459">
        <f t="shared" si="42"/>
        <v>-5.2504820140735342</v>
      </c>
      <c r="ED39" s="457">
        <v>44096.049922929597</v>
      </c>
      <c r="EE39" s="458">
        <v>13440.022456644338</v>
      </c>
      <c r="EF39" s="458">
        <v>8341.7966330599156</v>
      </c>
      <c r="EG39" s="458">
        <v>2767.9074334980924</v>
      </c>
      <c r="EH39" s="459">
        <v>-1803.633217732372</v>
      </c>
    </row>
    <row r="40" spans="1:138" x14ac:dyDescent="0.2">
      <c r="A40" s="67">
        <v>78</v>
      </c>
      <c r="B40" s="67" t="s">
        <v>161</v>
      </c>
      <c r="C40" s="67">
        <v>33</v>
      </c>
      <c r="D40" s="67">
        <v>7832</v>
      </c>
      <c r="E40" s="82">
        <v>19329823.114646152</v>
      </c>
      <c r="F40" s="67">
        <v>14633908.78954835</v>
      </c>
      <c r="G40" s="67">
        <v>2921802</v>
      </c>
      <c r="H40" s="67">
        <v>3443998.5097682993</v>
      </c>
      <c r="I40" s="67">
        <v>1315750.2727497728</v>
      </c>
      <c r="J40" s="67">
        <v>1217291.2210451504</v>
      </c>
      <c r="K40" s="67">
        <v>-1912578.2623644122</v>
      </c>
      <c r="L40" s="67">
        <v>-539833</v>
      </c>
      <c r="M40" s="68">
        <v>1999652.08</v>
      </c>
      <c r="N40" s="68">
        <v>96248.863047216946</v>
      </c>
      <c r="O40" s="68">
        <v>-227937.5657607574</v>
      </c>
      <c r="P40" s="168">
        <f t="shared" si="8"/>
        <v>3618479.7933874694</v>
      </c>
      <c r="Q40" s="169">
        <f t="shared" si="9"/>
        <v>462.01223102495777</v>
      </c>
      <c r="R40" s="67"/>
      <c r="S40" s="82">
        <v>57267783.18999999</v>
      </c>
      <c r="T40" s="67">
        <v>34555256.995949514</v>
      </c>
      <c r="U40" s="67">
        <v>5176165.3868733039</v>
      </c>
      <c r="V40" s="67">
        <v>12082867.541490532</v>
      </c>
      <c r="W40" s="67">
        <v>4059830.720999233</v>
      </c>
      <c r="X40" s="67">
        <v>4381621.08</v>
      </c>
      <c r="Y40" s="168">
        <f t="shared" si="10"/>
        <v>2987958.535312593</v>
      </c>
      <c r="Z40" s="169">
        <f t="shared" si="11"/>
        <v>381.50645241478458</v>
      </c>
      <c r="AA40" s="67"/>
      <c r="AB40" s="77">
        <f t="shared" si="12"/>
        <v>630521.25807487639</v>
      </c>
      <c r="AC40" s="123">
        <f t="shared" si="13"/>
        <v>80.505778610173181</v>
      </c>
      <c r="AE40" s="170"/>
      <c r="AF40" s="177">
        <v>-504049.12738189817</v>
      </c>
      <c r="AG40" s="177">
        <v>-406977.17804605549</v>
      </c>
      <c r="AH40" s="177">
        <v>-301425.2992523284</v>
      </c>
      <c r="AI40" s="178">
        <v>-197474.81434831259</v>
      </c>
      <c r="AK40" s="67">
        <f t="shared" si="14"/>
        <v>19921348.206401162</v>
      </c>
      <c r="AL40" s="67">
        <f t="shared" si="15"/>
        <v>1732166.8771050046</v>
      </c>
      <c r="AM40" s="67">
        <f t="shared" si="16"/>
        <v>10767117.26874076</v>
      </c>
      <c r="AN40" s="67">
        <f t="shared" si="17"/>
        <v>37937960.075353839</v>
      </c>
      <c r="AO40" s="67">
        <f t="shared" si="18"/>
        <v>0</v>
      </c>
      <c r="AP40" s="67">
        <f t="shared" si="19"/>
        <v>-504049.12738189817</v>
      </c>
      <c r="AQ40" s="67">
        <f t="shared" si="20"/>
        <v>-406977.17804605549</v>
      </c>
      <c r="AR40" s="67">
        <f t="shared" si="21"/>
        <v>-301425.2992523284</v>
      </c>
      <c r="AS40" s="67">
        <f t="shared" si="22"/>
        <v>-197474.81434831259</v>
      </c>
      <c r="AT40" s="68">
        <v>3548</v>
      </c>
      <c r="AU40" s="68"/>
      <c r="AV40" s="68"/>
      <c r="AW40" s="68">
        <v>362</v>
      </c>
      <c r="AX40" s="68">
        <v>11097.765271144417</v>
      </c>
      <c r="AY40" s="68">
        <v>975.17891923836919</v>
      </c>
      <c r="AZ40" s="68">
        <v>2830.8590037886902</v>
      </c>
      <c r="BA40" s="299"/>
      <c r="BB40" s="67"/>
      <c r="BC40" s="67"/>
      <c r="BD40" s="67"/>
      <c r="BE40" s="67"/>
      <c r="BF40" s="67"/>
      <c r="BG40" s="67"/>
      <c r="BH40" s="67"/>
      <c r="BN40" s="299"/>
      <c r="BO40" s="67">
        <v>19919216.144596301</v>
      </c>
      <c r="BP40" s="67">
        <v>34960866.499999993</v>
      </c>
      <c r="BQ40" s="67">
        <v>37030000</v>
      </c>
      <c r="BR40" s="67">
        <v>747346.57000000007</v>
      </c>
      <c r="BS40" s="67">
        <v>646000</v>
      </c>
      <c r="BT40" s="428">
        <v>0.57650701914143754</v>
      </c>
      <c r="BU40" s="428">
        <v>0.33464287704132484</v>
      </c>
      <c r="BV40" s="67">
        <f t="shared" si="23"/>
        <v>11697078.506330431</v>
      </c>
      <c r="BW40" s="299"/>
      <c r="BX40" s="67">
        <v>57452328.810000002</v>
      </c>
      <c r="BY40" s="67">
        <v>19919216.144596301</v>
      </c>
      <c r="BZ40" s="67">
        <v>43471537.971043527</v>
      </c>
      <c r="CA40" s="67">
        <v>21362337.732888531</v>
      </c>
      <c r="CB40" s="67">
        <f t="shared" si="24"/>
        <v>-1542068.3117332938</v>
      </c>
      <c r="CC40" s="67">
        <f t="shared" si="25"/>
        <v>381.5064524147848</v>
      </c>
      <c r="CD40" s="67">
        <f t="shared" si="26"/>
        <v>538.42279236202046</v>
      </c>
      <c r="CE40" s="67">
        <f t="shared" si="27"/>
        <v>156.91633994723566</v>
      </c>
      <c r="CF40" s="67">
        <f t="shared" si="28"/>
        <v>-141.91633994723566</v>
      </c>
      <c r="CG40" s="67">
        <f t="shared" si="29"/>
        <v>-126.91633994723566</v>
      </c>
      <c r="CH40" s="67">
        <f t="shared" si="30"/>
        <v>-111.91633994723566</v>
      </c>
      <c r="CI40" s="67">
        <f t="shared" si="31"/>
        <v>-96.916339947235656</v>
      </c>
      <c r="CJ40" s="67">
        <f t="shared" si="32"/>
        <v>-1111488.7744667497</v>
      </c>
      <c r="CK40" s="67">
        <f t="shared" si="33"/>
        <v>-994008.77446674963</v>
      </c>
      <c r="CL40" s="67">
        <f t="shared" si="34"/>
        <v>-876528.77446674963</v>
      </c>
      <c r="CM40" s="67">
        <f t="shared" si="35"/>
        <v>-759048.77446674963</v>
      </c>
      <c r="CN40" s="299"/>
      <c r="CO40" s="430">
        <v>34555.256995949516</v>
      </c>
      <c r="CP40" s="430">
        <v>5176.1653868733038</v>
      </c>
      <c r="CQ40" s="430">
        <v>2921.8020000000001</v>
      </c>
      <c r="CR40" s="430">
        <v>12082867.541490532</v>
      </c>
      <c r="CS40" s="430">
        <v>1315750.2727497728</v>
      </c>
      <c r="CT40" s="430">
        <v>4059830.720999233</v>
      </c>
      <c r="CU40" s="430">
        <v>1217291.2210451504</v>
      </c>
      <c r="CV40" s="430">
        <v>-539833</v>
      </c>
      <c r="CW40" s="430">
        <v>96248.863047216946</v>
      </c>
      <c r="CX40" s="430">
        <v>1999652.08</v>
      </c>
      <c r="CY40" s="430">
        <v>19329823.114646152</v>
      </c>
      <c r="CZ40" s="519"/>
      <c r="DA40" s="524">
        <v>35147.42899</v>
      </c>
      <c r="DB40" s="524">
        <v>5135.6913500183518</v>
      </c>
      <c r="DC40" s="520">
        <f t="shared" si="36"/>
        <v>-1</v>
      </c>
      <c r="DD40" s="440">
        <v>7979</v>
      </c>
      <c r="DE40" s="450">
        <v>19919216.144596301</v>
      </c>
      <c r="DF40" s="440">
        <v>15297847.78608853</v>
      </c>
      <c r="DG40" s="440">
        <v>2965904.3739999998</v>
      </c>
      <c r="DH40" s="440">
        <v>3098585.5727999997</v>
      </c>
      <c r="DI40" s="440">
        <v>1303131.2114411183</v>
      </c>
      <c r="DJ40" s="440">
        <v>1212289.1567150666</v>
      </c>
      <c r="DK40" s="440">
        <v>-1543134.5041248978</v>
      </c>
      <c r="DL40" s="440">
        <v>-482933</v>
      </c>
      <c r="DM40" s="440">
        <v>1863000</v>
      </c>
      <c r="DN40" s="440">
        <v>98004.171921084577</v>
      </c>
      <c r="DO40" s="457">
        <f t="shared" si="37"/>
        <v>3893478.6242446005</v>
      </c>
      <c r="DP40" s="459">
        <f t="shared" si="38"/>
        <v>487.96573809306938</v>
      </c>
      <c r="DQ40" s="440"/>
      <c r="DR40" s="450">
        <v>57452328.810000002</v>
      </c>
      <c r="DS40" s="440">
        <v>35857755.237843528</v>
      </c>
      <c r="DT40" s="440">
        <v>4647878.3591999998</v>
      </c>
      <c r="DU40" s="440">
        <v>12070289.861490529</v>
      </c>
      <c r="DV40" s="440">
        <v>4043148.1605037567</v>
      </c>
      <c r="DW40" s="440">
        <v>4345971.3739999998</v>
      </c>
      <c r="DX40" s="457">
        <f t="shared" si="39"/>
        <v>3512714.18303781</v>
      </c>
      <c r="DY40" s="459">
        <f t="shared" si="40"/>
        <v>440.24491578365837</v>
      </c>
      <c r="DZ40" s="440"/>
      <c r="EA40" s="457">
        <f t="shared" si="41"/>
        <v>380764.44120679051</v>
      </c>
      <c r="EB40" s="459">
        <f t="shared" si="42"/>
        <v>47.72082230941102</v>
      </c>
      <c r="ED40" s="457">
        <v>-347526.20240419958</v>
      </c>
      <c r="EE40" s="458">
        <v>-238180.03074734152</v>
      </c>
      <c r="EF40" s="458">
        <v>-127181.50178009404</v>
      </c>
      <c r="EG40" s="458">
        <v>-16993.418697306053</v>
      </c>
      <c r="EH40" s="459">
        <v>-3073.0705625211608</v>
      </c>
    </row>
    <row r="41" spans="1:138" x14ac:dyDescent="0.2">
      <c r="A41" s="67">
        <v>79</v>
      </c>
      <c r="B41" s="67" t="s">
        <v>162</v>
      </c>
      <c r="C41" s="67">
        <v>4</v>
      </c>
      <c r="D41" s="67">
        <v>6753</v>
      </c>
      <c r="E41" s="82">
        <v>17942347.28497535</v>
      </c>
      <c r="F41" s="67">
        <v>10944482.202798039</v>
      </c>
      <c r="G41" s="67">
        <v>3011861</v>
      </c>
      <c r="H41" s="67">
        <v>7419094.7877870603</v>
      </c>
      <c r="I41" s="67">
        <v>185103.93618648016</v>
      </c>
      <c r="J41" s="67">
        <v>1082533.9452818162</v>
      </c>
      <c r="K41" s="67">
        <v>-1043467.953515631</v>
      </c>
      <c r="L41" s="67">
        <v>-419925</v>
      </c>
      <c r="M41" s="68">
        <v>-8640.0400000000009</v>
      </c>
      <c r="N41" s="68">
        <v>83768.207127165646</v>
      </c>
      <c r="O41" s="68">
        <v>-196535.03339918217</v>
      </c>
      <c r="P41" s="168">
        <f t="shared" si="8"/>
        <v>3115928.7672903957</v>
      </c>
      <c r="Q41" s="169">
        <f t="shared" si="9"/>
        <v>461.41400374506082</v>
      </c>
      <c r="R41" s="67"/>
      <c r="S41" s="82">
        <v>51723944.729999997</v>
      </c>
      <c r="T41" s="67">
        <v>26058720.587468971</v>
      </c>
      <c r="U41" s="67">
        <v>11150545.371478431</v>
      </c>
      <c r="V41" s="67">
        <v>10456594.554617725</v>
      </c>
      <c r="W41" s="67">
        <v>3610396.9958858434</v>
      </c>
      <c r="X41" s="67">
        <v>2583295.96</v>
      </c>
      <c r="Y41" s="168">
        <f t="shared" si="10"/>
        <v>2135608.7394509688</v>
      </c>
      <c r="Z41" s="169">
        <f t="shared" si="11"/>
        <v>316.24592617369598</v>
      </c>
      <c r="AA41" s="67"/>
      <c r="AB41" s="77">
        <f t="shared" si="12"/>
        <v>980320.02783942688</v>
      </c>
      <c r="AC41" s="123">
        <f t="shared" si="13"/>
        <v>145.16807757136485</v>
      </c>
      <c r="AE41" s="170"/>
      <c r="AF41" s="177">
        <v>-871271.72618343658</v>
      </c>
      <c r="AG41" s="177">
        <v>-787573.19785543031</v>
      </c>
      <c r="AH41" s="177">
        <v>-696563.00409980735</v>
      </c>
      <c r="AI41" s="178">
        <v>-606933.58319112251</v>
      </c>
      <c r="AK41" s="67">
        <f t="shared" si="14"/>
        <v>15114238.384670932</v>
      </c>
      <c r="AL41" s="67">
        <f t="shared" si="15"/>
        <v>3731450.5836913707</v>
      </c>
      <c r="AM41" s="67">
        <f t="shared" si="16"/>
        <v>10271490.618431246</v>
      </c>
      <c r="AN41" s="67">
        <f t="shared" si="17"/>
        <v>33781597.445024647</v>
      </c>
      <c r="AO41" s="67">
        <f t="shared" si="18"/>
        <v>0</v>
      </c>
      <c r="AP41" s="67">
        <f t="shared" si="19"/>
        <v>-871271.72618343658</v>
      </c>
      <c r="AQ41" s="67">
        <f t="shared" si="20"/>
        <v>-787573.19785543031</v>
      </c>
      <c r="AR41" s="67">
        <f t="shared" si="21"/>
        <v>-696563.00409980735</v>
      </c>
      <c r="AS41" s="67">
        <f t="shared" si="22"/>
        <v>-606933.58319112251</v>
      </c>
      <c r="AT41" s="68">
        <v>2785</v>
      </c>
      <c r="AU41" s="68"/>
      <c r="AV41" s="68"/>
      <c r="AW41" s="68">
        <v>0</v>
      </c>
      <c r="AX41" s="68">
        <v>11370.384976055355</v>
      </c>
      <c r="AY41" s="68">
        <v>814.21963212843298</v>
      </c>
      <c r="AZ41" s="68">
        <v>2534.9041482820003</v>
      </c>
      <c r="BA41" s="299"/>
      <c r="BB41" s="67"/>
      <c r="BC41" s="67"/>
      <c r="BD41" s="67"/>
      <c r="BE41" s="67"/>
      <c r="BF41" s="67"/>
      <c r="BG41" s="67"/>
      <c r="BH41" s="67"/>
      <c r="BN41" s="299"/>
      <c r="BO41" s="67">
        <v>17195054.191208117</v>
      </c>
      <c r="BP41" s="67">
        <v>31290049.360000007</v>
      </c>
      <c r="BQ41" s="67">
        <v>32599000</v>
      </c>
      <c r="BR41" s="67">
        <v>717850.42</v>
      </c>
      <c r="BS41" s="67">
        <v>737000</v>
      </c>
      <c r="BT41" s="428">
        <v>0.58000692451259539</v>
      </c>
      <c r="BU41" s="428">
        <v>0.33464287704132489</v>
      </c>
      <c r="BV41" s="67">
        <f t="shared" si="23"/>
        <v>11755885.715519642</v>
      </c>
      <c r="BW41" s="299"/>
      <c r="BX41" s="67">
        <v>50275471.079999998</v>
      </c>
      <c r="BY41" s="67">
        <v>17195054.191208117</v>
      </c>
      <c r="BZ41" s="67">
        <v>39554854.931442507</v>
      </c>
      <c r="CA41" s="67">
        <v>20930060.391254358</v>
      </c>
      <c r="CB41" s="67">
        <f t="shared" si="24"/>
        <v>-870750.51417521772</v>
      </c>
      <c r="CC41" s="67">
        <f t="shared" si="25"/>
        <v>316.24592617369666</v>
      </c>
      <c r="CD41" s="67">
        <f t="shared" si="26"/>
        <v>516.09377166148283</v>
      </c>
      <c r="CE41" s="67">
        <f t="shared" si="27"/>
        <v>199.84784548778617</v>
      </c>
      <c r="CF41" s="67">
        <f t="shared" si="28"/>
        <v>-184.84784548778617</v>
      </c>
      <c r="CG41" s="67">
        <f t="shared" si="29"/>
        <v>-169.84784548778617</v>
      </c>
      <c r="CH41" s="67">
        <f t="shared" si="30"/>
        <v>-154.84784548778617</v>
      </c>
      <c r="CI41" s="67">
        <f t="shared" si="31"/>
        <v>-139.84784548778617</v>
      </c>
      <c r="CJ41" s="67">
        <f t="shared" si="32"/>
        <v>-1248277.50057902</v>
      </c>
      <c r="CK41" s="67">
        <f t="shared" si="33"/>
        <v>-1146982.50057902</v>
      </c>
      <c r="CL41" s="67">
        <f t="shared" si="34"/>
        <v>-1045687.50057902</v>
      </c>
      <c r="CM41" s="67">
        <f t="shared" si="35"/>
        <v>-944392.50057902001</v>
      </c>
      <c r="CN41" s="299"/>
      <c r="CO41" s="430">
        <v>26058.720587468972</v>
      </c>
      <c r="CP41" s="430">
        <v>11150.545371478431</v>
      </c>
      <c r="CQ41" s="430">
        <v>3011.8609999999999</v>
      </c>
      <c r="CR41" s="430">
        <v>10456594.554617725</v>
      </c>
      <c r="CS41" s="430">
        <v>185103.93618648016</v>
      </c>
      <c r="CT41" s="430">
        <v>3610396.9958858434</v>
      </c>
      <c r="CU41" s="430">
        <v>1082533.9452818162</v>
      </c>
      <c r="CV41" s="430">
        <v>-419925</v>
      </c>
      <c r="CW41" s="430">
        <v>83768.207127165646</v>
      </c>
      <c r="CX41" s="430">
        <v>-8640.0400000000009</v>
      </c>
      <c r="CY41" s="430">
        <v>17942347.28497535</v>
      </c>
      <c r="CZ41" s="519"/>
      <c r="DA41" s="524">
        <v>26306.404129999999</v>
      </c>
      <c r="DB41" s="524">
        <v>11063.354715053889</v>
      </c>
      <c r="DC41" s="520">
        <f t="shared" si="36"/>
        <v>-1</v>
      </c>
      <c r="DD41" s="440">
        <v>6785</v>
      </c>
      <c r="DE41" s="450">
        <v>17195054.191208117</v>
      </c>
      <c r="DF41" s="440">
        <v>11219487.409054356</v>
      </c>
      <c r="DG41" s="440">
        <v>3035570.0728000002</v>
      </c>
      <c r="DH41" s="440">
        <v>6675002.9093999993</v>
      </c>
      <c r="DI41" s="440">
        <v>174320.1163343853</v>
      </c>
      <c r="DJ41" s="440">
        <v>1085549.2301670625</v>
      </c>
      <c r="DK41" s="440">
        <v>-870011.97962409223</v>
      </c>
      <c r="DL41" s="440">
        <v>-374540</v>
      </c>
      <c r="DM41" s="440">
        <v>28400</v>
      </c>
      <c r="DN41" s="440">
        <v>82558.733307840244</v>
      </c>
      <c r="DO41" s="457">
        <f t="shared" si="37"/>
        <v>3861282.3002314344</v>
      </c>
      <c r="DP41" s="459">
        <f t="shared" si="38"/>
        <v>569.09098013727851</v>
      </c>
      <c r="DQ41" s="440"/>
      <c r="DR41" s="450">
        <v>50275471.079999998</v>
      </c>
      <c r="DS41" s="440">
        <v>26506780.494542506</v>
      </c>
      <c r="DT41" s="440">
        <v>10012504.3641</v>
      </c>
      <c r="DU41" s="440">
        <v>10445845.524617717</v>
      </c>
      <c r="DV41" s="440">
        <v>3620453.3784490628</v>
      </c>
      <c r="DW41" s="440">
        <v>2689430.0728000002</v>
      </c>
      <c r="DX41" s="457">
        <f t="shared" si="39"/>
        <v>2999542.7545092851</v>
      </c>
      <c r="DY41" s="459">
        <f t="shared" si="40"/>
        <v>442.08441481345398</v>
      </c>
      <c r="DZ41" s="440"/>
      <c r="EA41" s="457">
        <f t="shared" si="41"/>
        <v>861739.54572214931</v>
      </c>
      <c r="EB41" s="459">
        <f t="shared" si="42"/>
        <v>127.00656532382452</v>
      </c>
      <c r="ED41" s="457">
        <v>-833475.17045262572</v>
      </c>
      <c r="EE41" s="458">
        <v>-740491.86744575994</v>
      </c>
      <c r="EF41" s="458">
        <v>-646103.47052349232</v>
      </c>
      <c r="EG41" s="458">
        <v>-552404.24208424974</v>
      </c>
      <c r="EH41" s="459">
        <v>-457252.75336304505</v>
      </c>
    </row>
    <row r="42" spans="1:138" x14ac:dyDescent="0.2">
      <c r="A42" s="67">
        <v>81</v>
      </c>
      <c r="B42" s="67" t="s">
        <v>163</v>
      </c>
      <c r="C42" s="67">
        <v>7</v>
      </c>
      <c r="D42" s="67">
        <v>2574</v>
      </c>
      <c r="E42" s="82">
        <v>6858247.6974729318</v>
      </c>
      <c r="F42" s="67">
        <v>3150905.7747394941</v>
      </c>
      <c r="G42" s="67">
        <v>1409638</v>
      </c>
      <c r="H42" s="67">
        <v>1102706.5595179824</v>
      </c>
      <c r="I42" s="67">
        <v>233124.38619369062</v>
      </c>
      <c r="J42" s="67">
        <v>634174.49522120482</v>
      </c>
      <c r="K42" s="67">
        <v>127888.75708395944</v>
      </c>
      <c r="L42" s="67">
        <v>-671936</v>
      </c>
      <c r="M42" s="68">
        <v>102627.22</v>
      </c>
      <c r="N42" s="68">
        <v>21103.100438831993</v>
      </c>
      <c r="O42" s="68">
        <v>-74912.065151709598</v>
      </c>
      <c r="P42" s="168">
        <f t="shared" si="8"/>
        <v>-822927.46942947758</v>
      </c>
      <c r="Q42" s="169">
        <f t="shared" si="9"/>
        <v>-319.7076415809936</v>
      </c>
      <c r="R42" s="67"/>
      <c r="S42" s="82">
        <v>20922995.110000003</v>
      </c>
      <c r="T42" s="67">
        <v>7343951.0464482354</v>
      </c>
      <c r="U42" s="67">
        <v>1657315.3295699682</v>
      </c>
      <c r="V42" s="67">
        <v>8435861.6542851869</v>
      </c>
      <c r="W42" s="67">
        <v>2115057.6408188301</v>
      </c>
      <c r="X42" s="67">
        <v>840329.22</v>
      </c>
      <c r="Y42" s="168">
        <f t="shared" si="10"/>
        <v>-530480.21887778118</v>
      </c>
      <c r="Z42" s="169">
        <f t="shared" si="11"/>
        <v>-206.09177112578911</v>
      </c>
      <c r="AA42" s="67"/>
      <c r="AB42" s="77">
        <f t="shared" si="12"/>
        <v>-292447.2505516964</v>
      </c>
      <c r="AC42" s="123">
        <f t="shared" si="13"/>
        <v>-113.6158704552045</v>
      </c>
      <c r="AE42" s="170"/>
      <c r="AF42" s="177">
        <v>256792.52945921491</v>
      </c>
      <c r="AG42" s="177">
        <v>211475.38921284859</v>
      </c>
      <c r="AH42" s="177">
        <v>168945.19207483192</v>
      </c>
      <c r="AI42" s="178">
        <v>125888.69413598321</v>
      </c>
      <c r="AK42" s="67">
        <f t="shared" si="14"/>
        <v>4193045.2717087413</v>
      </c>
      <c r="AL42" s="67">
        <f t="shared" si="15"/>
        <v>554608.77005198575</v>
      </c>
      <c r="AM42" s="67">
        <f t="shared" si="16"/>
        <v>8202737.2680914961</v>
      </c>
      <c r="AN42" s="67">
        <f t="shared" si="17"/>
        <v>14064747.412527071</v>
      </c>
      <c r="AO42" s="67">
        <f t="shared" si="18"/>
        <v>0</v>
      </c>
      <c r="AP42" s="67">
        <f t="shared" si="19"/>
        <v>256792.52945921491</v>
      </c>
      <c r="AQ42" s="67">
        <f t="shared" si="20"/>
        <v>211475.38921284859</v>
      </c>
      <c r="AR42" s="67">
        <f t="shared" si="21"/>
        <v>168945.19207483192</v>
      </c>
      <c r="AS42" s="67">
        <f t="shared" si="22"/>
        <v>125888.69413598321</v>
      </c>
      <c r="AT42" s="68">
        <v>954</v>
      </c>
      <c r="AU42" s="68"/>
      <c r="AV42" s="68"/>
      <c r="AW42" s="68">
        <v>0</v>
      </c>
      <c r="AX42" s="68">
        <v>6826.5857778755144</v>
      </c>
      <c r="AY42" s="68">
        <v>-1168.9634110535933</v>
      </c>
      <c r="AZ42" s="68">
        <v>1481.5408677605733</v>
      </c>
      <c r="BA42" s="299"/>
      <c r="BB42" s="67"/>
      <c r="BC42" s="67"/>
      <c r="BD42" s="67"/>
      <c r="BE42" s="67"/>
      <c r="BF42" s="67"/>
      <c r="BG42" s="67"/>
      <c r="BH42" s="67"/>
      <c r="BN42" s="299"/>
      <c r="BO42" s="67">
        <v>6430537.1632038672</v>
      </c>
      <c r="BP42" s="67">
        <v>12932876.599999998</v>
      </c>
      <c r="BQ42" s="67">
        <v>13701000</v>
      </c>
      <c r="BR42" s="67">
        <v>268719.94</v>
      </c>
      <c r="BS42" s="67">
        <v>303000</v>
      </c>
      <c r="BT42" s="428">
        <v>0.57095223609049373</v>
      </c>
      <c r="BU42" s="428">
        <v>0.33464287704132495</v>
      </c>
      <c r="BV42" s="67">
        <f t="shared" si="23"/>
        <v>9811509.1707730815</v>
      </c>
      <c r="BW42" s="299"/>
      <c r="BX42" s="67">
        <v>20186221</v>
      </c>
      <c r="BY42" s="67">
        <v>6430537.1632038672</v>
      </c>
      <c r="BZ42" s="67">
        <v>10439990.949241703</v>
      </c>
      <c r="CA42" s="67">
        <v>5655545.4820390679</v>
      </c>
      <c r="CB42" s="67">
        <f t="shared" si="24"/>
        <v>290179.11305117549</v>
      </c>
      <c r="CC42" s="67">
        <f t="shared" si="25"/>
        <v>-206.0917711257903</v>
      </c>
      <c r="CD42" s="67">
        <f t="shared" si="26"/>
        <v>-227.55440882305845</v>
      </c>
      <c r="CE42" s="67">
        <f t="shared" si="27"/>
        <v>-21.46263769726815</v>
      </c>
      <c r="CF42" s="67">
        <f t="shared" si="28"/>
        <v>6.4626376972681499</v>
      </c>
      <c r="CG42" s="67">
        <f t="shared" si="29"/>
        <v>0</v>
      </c>
      <c r="CH42" s="67">
        <f t="shared" si="30"/>
        <v>0</v>
      </c>
      <c r="CI42" s="67">
        <f t="shared" si="31"/>
        <v>0</v>
      </c>
      <c r="CJ42" s="67">
        <f t="shared" si="32"/>
        <v>16634.829432768216</v>
      </c>
      <c r="CK42" s="67">
        <f t="shared" si="33"/>
        <v>0</v>
      </c>
      <c r="CL42" s="67">
        <f t="shared" si="34"/>
        <v>0</v>
      </c>
      <c r="CM42" s="67">
        <f t="shared" si="35"/>
        <v>0</v>
      </c>
      <c r="CN42" s="299"/>
      <c r="CO42" s="430">
        <v>7343.9510464482355</v>
      </c>
      <c r="CP42" s="430">
        <v>1657.3153295699681</v>
      </c>
      <c r="CQ42" s="430">
        <v>1409.6379999999999</v>
      </c>
      <c r="CR42" s="430">
        <v>8435861.6542851869</v>
      </c>
      <c r="CS42" s="430">
        <v>233124.38619369062</v>
      </c>
      <c r="CT42" s="430">
        <v>2115057.6408188301</v>
      </c>
      <c r="CU42" s="430">
        <v>634174.49522120482</v>
      </c>
      <c r="CV42" s="430">
        <v>-671936</v>
      </c>
      <c r="CW42" s="430">
        <v>21103.100438831993</v>
      </c>
      <c r="CX42" s="430">
        <v>102627.22</v>
      </c>
      <c r="CY42" s="430">
        <v>6858247.6974729318</v>
      </c>
      <c r="CZ42" s="519"/>
      <c r="DA42" s="524">
        <v>7657.8587699999998</v>
      </c>
      <c r="DB42" s="524">
        <v>1644.354474976936</v>
      </c>
      <c r="DC42" s="520">
        <f t="shared" si="36"/>
        <v>-1</v>
      </c>
      <c r="DD42" s="440">
        <v>2621</v>
      </c>
      <c r="DE42" s="450">
        <v>6430537.1632038672</v>
      </c>
      <c r="DF42" s="440">
        <v>3281726.8294390682</v>
      </c>
      <c r="DG42" s="440">
        <v>1381707.1209999998</v>
      </c>
      <c r="DH42" s="440">
        <v>992111.53159999987</v>
      </c>
      <c r="DI42" s="440">
        <v>228979.61501575317</v>
      </c>
      <c r="DJ42" s="440">
        <v>634456.15864746901</v>
      </c>
      <c r="DK42" s="440">
        <v>290115.99736029241</v>
      </c>
      <c r="DL42" s="440">
        <v>-671936</v>
      </c>
      <c r="DM42" s="440">
        <v>-19248</v>
      </c>
      <c r="DN42" s="440">
        <v>21208.167236442296</v>
      </c>
      <c r="DO42" s="457">
        <f t="shared" si="37"/>
        <v>-291415.7429048419</v>
      </c>
      <c r="DP42" s="459">
        <f t="shared" si="38"/>
        <v>-111.18494578589923</v>
      </c>
      <c r="DQ42" s="440"/>
      <c r="DR42" s="450">
        <v>20186221</v>
      </c>
      <c r="DS42" s="440">
        <v>7570116.5308417045</v>
      </c>
      <c r="DT42" s="440">
        <v>1488167.2973999998</v>
      </c>
      <c r="DU42" s="440">
        <v>8431737.0642851871</v>
      </c>
      <c r="DV42" s="440">
        <v>2115997.0264080423</v>
      </c>
      <c r="DW42" s="440">
        <v>690523.12099999981</v>
      </c>
      <c r="DX42" s="457">
        <f t="shared" si="39"/>
        <v>110320.03993493319</v>
      </c>
      <c r="DY42" s="459">
        <f t="shared" si="40"/>
        <v>42.090820272771154</v>
      </c>
      <c r="DZ42" s="440"/>
      <c r="EA42" s="457">
        <f t="shared" si="41"/>
        <v>-401735.78283977509</v>
      </c>
      <c r="EB42" s="459">
        <f t="shared" si="42"/>
        <v>-153.2757660586704</v>
      </c>
      <c r="ED42" s="457">
        <v>412654.12146636535</v>
      </c>
      <c r="EE42" s="458">
        <v>369942.94787476555</v>
      </c>
      <c r="EF42" s="458">
        <v>327774.55264016922</v>
      </c>
      <c r="EG42" s="458">
        <v>285339.93624212273</v>
      </c>
      <c r="EH42" s="459">
        <v>243466.31825218574</v>
      </c>
    </row>
    <row r="43" spans="1:138" x14ac:dyDescent="0.2">
      <c r="A43" s="67">
        <v>82</v>
      </c>
      <c r="B43" s="67" t="s">
        <v>164</v>
      </c>
      <c r="C43" s="67">
        <v>5</v>
      </c>
      <c r="D43" s="67">
        <v>9359</v>
      </c>
      <c r="E43" s="82">
        <v>23759883.630920362</v>
      </c>
      <c r="F43" s="67">
        <v>15029569.00982414</v>
      </c>
      <c r="G43" s="67">
        <v>2687881</v>
      </c>
      <c r="H43" s="67">
        <v>1291621.1231563941</v>
      </c>
      <c r="I43" s="67">
        <v>5497378.0483513055</v>
      </c>
      <c r="J43" s="67">
        <v>1413509.6854242161</v>
      </c>
      <c r="K43" s="67">
        <v>471033.14276488253</v>
      </c>
      <c r="L43" s="67">
        <v>-1908600</v>
      </c>
      <c r="M43" s="68">
        <v>-12683.41</v>
      </c>
      <c r="N43" s="68">
        <v>103721.6819753185</v>
      </c>
      <c r="O43" s="68">
        <v>-272378.40627616551</v>
      </c>
      <c r="P43" s="168">
        <f t="shared" si="8"/>
        <v>541168.24429972935</v>
      </c>
      <c r="Q43" s="169">
        <f t="shared" si="9"/>
        <v>57.823297820251028</v>
      </c>
      <c r="R43" s="67"/>
      <c r="S43" s="82">
        <v>55603174.490000002</v>
      </c>
      <c r="T43" s="67">
        <v>37714652.094041981</v>
      </c>
      <c r="U43" s="67">
        <v>1941244.9023058189</v>
      </c>
      <c r="V43" s="67">
        <v>11144046.606069174</v>
      </c>
      <c r="W43" s="67">
        <v>4714245.8157121176</v>
      </c>
      <c r="X43" s="67">
        <v>766597.59</v>
      </c>
      <c r="Y43" s="168">
        <f t="shared" si="10"/>
        <v>677612.51812908798</v>
      </c>
      <c r="Z43" s="169">
        <f t="shared" si="11"/>
        <v>72.402235081642061</v>
      </c>
      <c r="AA43" s="67"/>
      <c r="AB43" s="77">
        <f t="shared" si="12"/>
        <v>-136444.27382935863</v>
      </c>
      <c r="AC43" s="123">
        <f t="shared" si="13"/>
        <v>-14.578937261391028</v>
      </c>
      <c r="AE43" s="170"/>
      <c r="AF43" s="177">
        <v>10745.320627627674</v>
      </c>
      <c r="AG43" s="177">
        <v>-13641.674541658411</v>
      </c>
      <c r="AH43" s="177">
        <v>-27895.413863607893</v>
      </c>
      <c r="AI43" s="178">
        <v>-44062.769811426566</v>
      </c>
      <c r="AK43" s="67">
        <f t="shared" si="14"/>
        <v>22685083.084217839</v>
      </c>
      <c r="AL43" s="67">
        <f t="shared" si="15"/>
        <v>649623.77914942475</v>
      </c>
      <c r="AM43" s="67">
        <f t="shared" si="16"/>
        <v>5646668.5577178681</v>
      </c>
      <c r="AN43" s="67">
        <f t="shared" si="17"/>
        <v>31843290.85907964</v>
      </c>
      <c r="AO43" s="67">
        <f t="shared" si="18"/>
        <v>0</v>
      </c>
      <c r="AP43" s="67">
        <f t="shared" si="19"/>
        <v>10745.320627627674</v>
      </c>
      <c r="AQ43" s="67">
        <f t="shared" si="20"/>
        <v>-13641.674541658411</v>
      </c>
      <c r="AR43" s="67">
        <f t="shared" si="21"/>
        <v>-27895.413863607893</v>
      </c>
      <c r="AS43" s="67">
        <f t="shared" si="22"/>
        <v>-44062.769811426566</v>
      </c>
      <c r="AT43" s="68">
        <v>2219</v>
      </c>
      <c r="AU43" s="68"/>
      <c r="AV43" s="68"/>
      <c r="AW43" s="68">
        <v>75</v>
      </c>
      <c r="AX43" s="68">
        <v>5793.4963318549844</v>
      </c>
      <c r="AY43" s="68">
        <v>-30.750047210129861</v>
      </c>
      <c r="AZ43" s="68">
        <v>3306.1485785207556</v>
      </c>
      <c r="BA43" s="299"/>
      <c r="BB43" s="67"/>
      <c r="BC43" s="67"/>
      <c r="BD43" s="67"/>
      <c r="BE43" s="67"/>
      <c r="BF43" s="67"/>
      <c r="BG43" s="67"/>
      <c r="BH43" s="67"/>
      <c r="BN43" s="299"/>
      <c r="BO43" s="67">
        <v>23069626.950111344</v>
      </c>
      <c r="BP43" s="67">
        <v>28083839.620000008</v>
      </c>
      <c r="BQ43" s="67">
        <v>32085000</v>
      </c>
      <c r="BR43" s="67">
        <v>708639.96</v>
      </c>
      <c r="BS43" s="67">
        <v>717000</v>
      </c>
      <c r="BT43" s="428">
        <v>0.60149257184322646</v>
      </c>
      <c r="BU43" s="428">
        <v>0.33464287704132484</v>
      </c>
      <c r="BV43" s="67">
        <f t="shared" si="23"/>
        <v>9418437.8307706509</v>
      </c>
      <c r="BW43" s="299"/>
      <c r="BX43" s="67">
        <v>54471985.770000003</v>
      </c>
      <c r="BY43" s="67">
        <v>23069626.950111344</v>
      </c>
      <c r="BZ43" s="67">
        <v>41925643.418205559</v>
      </c>
      <c r="CA43" s="67">
        <v>18967073.827237956</v>
      </c>
      <c r="CB43" s="67">
        <f t="shared" si="24"/>
        <v>347294.18307595531</v>
      </c>
      <c r="CC43" s="67">
        <f t="shared" si="25"/>
        <v>72.402235081642161</v>
      </c>
      <c r="CD43" s="67">
        <f t="shared" si="26"/>
        <v>73.705277367984564</v>
      </c>
      <c r="CE43" s="67">
        <f t="shared" si="27"/>
        <v>1.3030422863424036</v>
      </c>
      <c r="CF43" s="67">
        <f t="shared" si="28"/>
        <v>0</v>
      </c>
      <c r="CG43" s="67">
        <f t="shared" si="29"/>
        <v>0</v>
      </c>
      <c r="CH43" s="67">
        <f t="shared" si="30"/>
        <v>0</v>
      </c>
      <c r="CI43" s="67">
        <f t="shared" si="31"/>
        <v>0</v>
      </c>
      <c r="CJ43" s="67">
        <f t="shared" si="32"/>
        <v>0</v>
      </c>
      <c r="CK43" s="67">
        <f t="shared" si="33"/>
        <v>0</v>
      </c>
      <c r="CL43" s="67">
        <f t="shared" si="34"/>
        <v>0</v>
      </c>
      <c r="CM43" s="67">
        <f t="shared" si="35"/>
        <v>0</v>
      </c>
      <c r="CN43" s="299"/>
      <c r="CO43" s="430">
        <v>37714.65209404198</v>
      </c>
      <c r="CP43" s="430">
        <v>1941.2449023058189</v>
      </c>
      <c r="CQ43" s="430">
        <v>2687.8809999999999</v>
      </c>
      <c r="CR43" s="430">
        <v>11144046.606069174</v>
      </c>
      <c r="CS43" s="430">
        <v>5497378.0483513055</v>
      </c>
      <c r="CT43" s="430">
        <v>4714245.8157121176</v>
      </c>
      <c r="CU43" s="430">
        <v>1413509.6854242161</v>
      </c>
      <c r="CV43" s="430">
        <v>-1908600</v>
      </c>
      <c r="CW43" s="430">
        <v>103721.6819753185</v>
      </c>
      <c r="CX43" s="430">
        <v>-12683.41</v>
      </c>
      <c r="CY43" s="430">
        <v>23759883.630920362</v>
      </c>
      <c r="CZ43" s="519"/>
      <c r="DA43" s="524">
        <v>38193.388549999996</v>
      </c>
      <c r="DB43" s="524">
        <v>1926.064691644835</v>
      </c>
      <c r="DC43" s="520">
        <f t="shared" si="36"/>
        <v>-1</v>
      </c>
      <c r="DD43" s="440">
        <v>9405</v>
      </c>
      <c r="DE43" s="450">
        <v>23069626.950111344</v>
      </c>
      <c r="DF43" s="440">
        <v>15148144.723437956</v>
      </c>
      <c r="DG43" s="440">
        <v>2656850.0359999998</v>
      </c>
      <c r="DH43" s="440">
        <v>1162079.0677999998</v>
      </c>
      <c r="DI43" s="440">
        <v>5482583.8405636521</v>
      </c>
      <c r="DJ43" s="440">
        <v>1415827.516264678</v>
      </c>
      <c r="DK43" s="440">
        <v>348473.04083571001</v>
      </c>
      <c r="DL43" s="440">
        <v>-1911323</v>
      </c>
      <c r="DM43" s="440">
        <v>79000</v>
      </c>
      <c r="DN43" s="440">
        <v>101769.19911252012</v>
      </c>
      <c r="DO43" s="457">
        <f t="shared" si="37"/>
        <v>1413777.4739031717</v>
      </c>
      <c r="DP43" s="459">
        <f t="shared" si="38"/>
        <v>150.32190046817348</v>
      </c>
      <c r="DQ43" s="440"/>
      <c r="DR43" s="450">
        <v>54471985.770000003</v>
      </c>
      <c r="DS43" s="440">
        <v>37525674.78050556</v>
      </c>
      <c r="DT43" s="440">
        <v>1743118.6017</v>
      </c>
      <c r="DU43" s="440">
        <v>11129283.066069171</v>
      </c>
      <c r="DV43" s="440">
        <v>4721976.0947854333</v>
      </c>
      <c r="DW43" s="440">
        <v>824527.03599999985</v>
      </c>
      <c r="DX43" s="457">
        <f t="shared" si="39"/>
        <v>1472593.8090601638</v>
      </c>
      <c r="DY43" s="459">
        <f t="shared" si="40"/>
        <v>156.57563094738583</v>
      </c>
      <c r="DZ43" s="440"/>
      <c r="EA43" s="457">
        <f t="shared" si="41"/>
        <v>-58816.335156992078</v>
      </c>
      <c r="EB43" s="459">
        <f t="shared" si="42"/>
        <v>-6.2537304792123418</v>
      </c>
      <c r="ED43" s="457">
        <v>97994.883338258747</v>
      </c>
      <c r="EE43" s="458">
        <v>26991.973351428569</v>
      </c>
      <c r="EF43" s="458">
        <v>16753.063705728917</v>
      </c>
      <c r="EG43" s="458">
        <v>5558.865985917053</v>
      </c>
      <c r="EH43" s="459">
        <v>-3622.2870836585435</v>
      </c>
    </row>
    <row r="44" spans="1:138" x14ac:dyDescent="0.2">
      <c r="A44" s="67">
        <v>86</v>
      </c>
      <c r="B44" s="67" t="s">
        <v>165</v>
      </c>
      <c r="C44" s="67">
        <v>5</v>
      </c>
      <c r="D44" s="67">
        <v>8031</v>
      </c>
      <c r="E44" s="82">
        <v>21057170.040393617</v>
      </c>
      <c r="F44" s="67">
        <v>13505229.18109015</v>
      </c>
      <c r="G44" s="67">
        <v>1730766</v>
      </c>
      <c r="H44" s="67">
        <v>1052623.3407727014</v>
      </c>
      <c r="I44" s="67">
        <v>5454905.8184945025</v>
      </c>
      <c r="J44" s="67">
        <v>1430386.6615104051</v>
      </c>
      <c r="K44" s="67">
        <v>-52575.877478099334</v>
      </c>
      <c r="L44" s="67">
        <v>-1217000</v>
      </c>
      <c r="M44" s="68">
        <v>-155288</v>
      </c>
      <c r="N44" s="68">
        <v>84191.091956710006</v>
      </c>
      <c r="O44" s="68">
        <v>-233729.13567730371</v>
      </c>
      <c r="P44" s="168">
        <f t="shared" si="8"/>
        <v>542339.04027544754</v>
      </c>
      <c r="Q44" s="169">
        <f t="shared" si="9"/>
        <v>67.530698577443346</v>
      </c>
      <c r="R44" s="67"/>
      <c r="S44" s="82">
        <v>51236910.939999998</v>
      </c>
      <c r="T44" s="67">
        <v>31916637.042398803</v>
      </c>
      <c r="U44" s="67">
        <v>1582042.6421407366</v>
      </c>
      <c r="V44" s="67">
        <v>12869453.773326267</v>
      </c>
      <c r="W44" s="67">
        <v>4770532.8116320018</v>
      </c>
      <c r="X44" s="67">
        <v>358478</v>
      </c>
      <c r="Y44" s="168">
        <f t="shared" si="10"/>
        <v>260233.32949781418</v>
      </c>
      <c r="Z44" s="169">
        <f t="shared" si="11"/>
        <v>32.403602228590984</v>
      </c>
      <c r="AA44" s="67"/>
      <c r="AB44" s="77">
        <f t="shared" si="12"/>
        <v>282105.71077763336</v>
      </c>
      <c r="AC44" s="123">
        <f t="shared" si="13"/>
        <v>35.127096348852369</v>
      </c>
      <c r="AE44" s="170"/>
      <c r="AF44" s="177">
        <v>-152420.10281092618</v>
      </c>
      <c r="AG44" s="177">
        <v>-52881.693066780063</v>
      </c>
      <c r="AH44" s="177">
        <v>-23937.180119525055</v>
      </c>
      <c r="AI44" s="178">
        <v>-37810.460984674297</v>
      </c>
      <c r="AK44" s="67">
        <f t="shared" si="14"/>
        <v>18411407.861308653</v>
      </c>
      <c r="AL44" s="67">
        <f t="shared" si="15"/>
        <v>529419.30136803514</v>
      </c>
      <c r="AM44" s="67">
        <f t="shared" si="16"/>
        <v>7414547.9548317641</v>
      </c>
      <c r="AN44" s="67">
        <f t="shared" si="17"/>
        <v>30179740.899606381</v>
      </c>
      <c r="AO44" s="67">
        <f t="shared" si="18"/>
        <v>0</v>
      </c>
      <c r="AP44" s="67">
        <f t="shared" si="19"/>
        <v>-152420.10281092618</v>
      </c>
      <c r="AQ44" s="67">
        <f t="shared" si="20"/>
        <v>-52881.693066780063</v>
      </c>
      <c r="AR44" s="67">
        <f t="shared" si="21"/>
        <v>-23937.180119525055</v>
      </c>
      <c r="AS44" s="67">
        <f t="shared" si="22"/>
        <v>-37810.460984674297</v>
      </c>
      <c r="AT44" s="68">
        <v>2277</v>
      </c>
      <c r="AU44" s="68"/>
      <c r="AV44" s="68"/>
      <c r="AW44" s="68">
        <v>32</v>
      </c>
      <c r="AX44" s="68">
        <v>6841.3053152049915</v>
      </c>
      <c r="AY44" s="68">
        <v>-820.29776541901947</v>
      </c>
      <c r="AZ44" s="68">
        <v>3332.1213879746783</v>
      </c>
      <c r="BA44" s="299"/>
      <c r="BB44" s="67"/>
      <c r="BC44" s="67"/>
      <c r="BD44" s="67"/>
      <c r="BE44" s="67"/>
      <c r="BF44" s="67"/>
      <c r="BG44" s="67"/>
      <c r="BH44" s="67"/>
      <c r="BN44" s="299"/>
      <c r="BO44" s="67">
        <v>20511269.901115619</v>
      </c>
      <c r="BP44" s="67">
        <v>27611935.219999999</v>
      </c>
      <c r="BQ44" s="67">
        <v>29442000</v>
      </c>
      <c r="BR44" s="67">
        <v>681815.22</v>
      </c>
      <c r="BS44" s="67">
        <v>641000</v>
      </c>
      <c r="BT44" s="428">
        <v>0.57685926737364313</v>
      </c>
      <c r="BU44" s="428">
        <v>0.33464287704132484</v>
      </c>
      <c r="BV44" s="67">
        <f t="shared" si="23"/>
        <v>10702118.227475265</v>
      </c>
      <c r="BW44" s="299"/>
      <c r="BX44" s="67">
        <v>49882000</v>
      </c>
      <c r="BY44" s="67">
        <v>20511269.901115619</v>
      </c>
      <c r="BZ44" s="67">
        <v>35281545.349813625</v>
      </c>
      <c r="CA44" s="67">
        <v>16406928.322167169</v>
      </c>
      <c r="CB44" s="67">
        <f t="shared" si="24"/>
        <v>245961.63050229056</v>
      </c>
      <c r="CC44" s="67">
        <f t="shared" si="25"/>
        <v>32.403602228590287</v>
      </c>
      <c r="CD44" s="67">
        <f t="shared" si="26"/>
        <v>133.80720756233876</v>
      </c>
      <c r="CE44" s="67">
        <f t="shared" si="27"/>
        <v>101.40360533374847</v>
      </c>
      <c r="CF44" s="67">
        <f t="shared" si="28"/>
        <v>-86.403605333748473</v>
      </c>
      <c r="CG44" s="67">
        <f t="shared" si="29"/>
        <v>-71.403605333748473</v>
      </c>
      <c r="CH44" s="67">
        <f t="shared" si="30"/>
        <v>-56.403605333748473</v>
      </c>
      <c r="CI44" s="67">
        <f t="shared" si="31"/>
        <v>-41.403605333748473</v>
      </c>
      <c r="CJ44" s="67">
        <f t="shared" si="32"/>
        <v>-693907.35443533398</v>
      </c>
      <c r="CK44" s="67">
        <f t="shared" si="33"/>
        <v>-573442.35443533398</v>
      </c>
      <c r="CL44" s="67">
        <f t="shared" si="34"/>
        <v>-452977.35443533398</v>
      </c>
      <c r="CM44" s="67">
        <f t="shared" si="35"/>
        <v>-332512.35443533398</v>
      </c>
      <c r="CN44" s="299"/>
      <c r="CO44" s="430">
        <v>31916.637042398805</v>
      </c>
      <c r="CP44" s="430">
        <v>1582.0426421407365</v>
      </c>
      <c r="CQ44" s="430">
        <v>1730.7660000000001</v>
      </c>
      <c r="CR44" s="430">
        <v>12869453.773326267</v>
      </c>
      <c r="CS44" s="430">
        <v>5454905.8184945025</v>
      </c>
      <c r="CT44" s="430">
        <v>4770532.8116320018</v>
      </c>
      <c r="CU44" s="430">
        <v>1430386.6615104051</v>
      </c>
      <c r="CV44" s="430">
        <v>-1217000</v>
      </c>
      <c r="CW44" s="430">
        <v>84191.091956710006</v>
      </c>
      <c r="CX44" s="430">
        <v>-155288</v>
      </c>
      <c r="CY44" s="430">
        <v>21057170.040393617</v>
      </c>
      <c r="CZ44" s="519"/>
      <c r="DA44" s="524">
        <v>32105.97235</v>
      </c>
      <c r="DB44" s="524">
        <v>1569.6706091162753</v>
      </c>
      <c r="DC44" s="520">
        <f t="shared" si="36"/>
        <v>-1</v>
      </c>
      <c r="DD44" s="440">
        <v>8143</v>
      </c>
      <c r="DE44" s="450">
        <v>20511269.901115619</v>
      </c>
      <c r="DF44" s="440">
        <v>13712536.123967169</v>
      </c>
      <c r="DG44" s="440">
        <v>1747340.831</v>
      </c>
      <c r="DH44" s="440">
        <v>947051.36719999998</v>
      </c>
      <c r="DI44" s="440">
        <v>5442011.2306246255</v>
      </c>
      <c r="DJ44" s="440">
        <v>1426950.1314243437</v>
      </c>
      <c r="DK44" s="440">
        <v>246262.38394632383</v>
      </c>
      <c r="DL44" s="440">
        <v>-1024987</v>
      </c>
      <c r="DM44" s="440">
        <v>-107000</v>
      </c>
      <c r="DN44" s="440">
        <v>83666.12958391018</v>
      </c>
      <c r="DO44" s="457">
        <f t="shared" si="37"/>
        <v>1962561.2966307551</v>
      </c>
      <c r="DP44" s="459">
        <f t="shared" si="38"/>
        <v>241.01207130428037</v>
      </c>
      <c r="DQ44" s="440"/>
      <c r="DR44" s="450">
        <v>49882000</v>
      </c>
      <c r="DS44" s="440">
        <v>32113627.468013629</v>
      </c>
      <c r="DT44" s="440">
        <v>1420577.0508000001</v>
      </c>
      <c r="DU44" s="440">
        <v>12856582.54332627</v>
      </c>
      <c r="DV44" s="440">
        <v>4759071.5193990218</v>
      </c>
      <c r="DW44" s="440">
        <v>615353.83100000001</v>
      </c>
      <c r="DX44" s="457">
        <f t="shared" si="39"/>
        <v>1883212.4125389159</v>
      </c>
      <c r="DY44" s="459">
        <f t="shared" si="40"/>
        <v>231.26764245842023</v>
      </c>
      <c r="DZ44" s="440"/>
      <c r="EA44" s="457">
        <f t="shared" si="41"/>
        <v>79348.884091839194</v>
      </c>
      <c r="EB44" s="459">
        <f t="shared" si="42"/>
        <v>9.7444288458601491</v>
      </c>
      <c r="ED44" s="457">
        <v>-45427.468053555211</v>
      </c>
      <c r="EE44" s="458">
        <v>23370.083891619655</v>
      </c>
      <c r="EF44" s="458">
        <v>14505.071531711916</v>
      </c>
      <c r="EG44" s="458">
        <v>4812.9554198110118</v>
      </c>
      <c r="EH44" s="459">
        <v>-3136.2343139002146</v>
      </c>
    </row>
    <row r="45" spans="1:138" x14ac:dyDescent="0.2">
      <c r="A45" s="67">
        <v>111</v>
      </c>
      <c r="B45" s="67" t="s">
        <v>166</v>
      </c>
      <c r="C45" s="67">
        <v>7</v>
      </c>
      <c r="D45" s="67">
        <v>18131</v>
      </c>
      <c r="E45" s="82">
        <v>47309256.164087504</v>
      </c>
      <c r="F45" s="67">
        <v>25036285.435840297</v>
      </c>
      <c r="G45" s="67">
        <v>6340364</v>
      </c>
      <c r="H45" s="67">
        <v>2889193.0936984131</v>
      </c>
      <c r="I45" s="67">
        <v>2801481.5054731057</v>
      </c>
      <c r="J45" s="67">
        <v>3134959.3743048916</v>
      </c>
      <c r="K45" s="67">
        <v>3538189.6578097893</v>
      </c>
      <c r="L45" s="67">
        <v>-2720972</v>
      </c>
      <c r="M45" s="68">
        <v>-2653535.69</v>
      </c>
      <c r="N45" s="68">
        <v>178335.47713982087</v>
      </c>
      <c r="O45" s="68">
        <v>-527673.13646684017</v>
      </c>
      <c r="P45" s="168">
        <f t="shared" si="8"/>
        <v>-9292628.4462880287</v>
      </c>
      <c r="Q45" s="169">
        <f t="shared" si="9"/>
        <v>-512.52707772809163</v>
      </c>
      <c r="R45" s="67"/>
      <c r="S45" s="82">
        <v>130938745.27000001</v>
      </c>
      <c r="T45" s="67">
        <v>63704048.135799915</v>
      </c>
      <c r="U45" s="67">
        <v>4342319.3259747503</v>
      </c>
      <c r="V45" s="67">
        <v>46154666.579014935</v>
      </c>
      <c r="W45" s="67">
        <v>10455513.156465508</v>
      </c>
      <c r="X45" s="67">
        <v>965856.31</v>
      </c>
      <c r="Y45" s="168">
        <f t="shared" si="10"/>
        <v>-5316341.7627449036</v>
      </c>
      <c r="Z45" s="169">
        <f t="shared" si="11"/>
        <v>-293.21834221746752</v>
      </c>
      <c r="AA45" s="67"/>
      <c r="AB45" s="77">
        <f t="shared" si="12"/>
        <v>-3976286.6835431252</v>
      </c>
      <c r="AC45" s="123">
        <f t="shared" si="13"/>
        <v>-219.30873551062408</v>
      </c>
      <c r="AE45" s="170"/>
      <c r="AF45" s="177">
        <v>3725138.3742471985</v>
      </c>
      <c r="AG45" s="177">
        <v>3405928.9454178018</v>
      </c>
      <c r="AH45" s="177">
        <v>3106350.4666651287</v>
      </c>
      <c r="AI45" s="178">
        <v>2803064.7774152197</v>
      </c>
      <c r="AK45" s="67">
        <f t="shared" si="14"/>
        <v>38667762.699959621</v>
      </c>
      <c r="AL45" s="67">
        <f t="shared" si="15"/>
        <v>1453126.2322763372</v>
      </c>
      <c r="AM45" s="67">
        <f t="shared" si="16"/>
        <v>43353185.073541827</v>
      </c>
      <c r="AN45" s="67">
        <f t="shared" si="17"/>
        <v>83629489.105912507</v>
      </c>
      <c r="AO45" s="67">
        <f t="shared" si="18"/>
        <v>0</v>
      </c>
      <c r="AP45" s="67">
        <f t="shared" si="19"/>
        <v>3725138.3742471985</v>
      </c>
      <c r="AQ45" s="67">
        <f t="shared" si="20"/>
        <v>3405928.9454178018</v>
      </c>
      <c r="AR45" s="67">
        <f t="shared" si="21"/>
        <v>3106350.4666651287</v>
      </c>
      <c r="AS45" s="67">
        <f t="shared" si="22"/>
        <v>2803064.7774152197</v>
      </c>
      <c r="AT45" s="68">
        <v>10560</v>
      </c>
      <c r="AU45" s="68"/>
      <c r="AV45" s="68"/>
      <c r="AW45" s="68">
        <v>258</v>
      </c>
      <c r="AX45" s="68">
        <v>38246.77396054061</v>
      </c>
      <c r="AY45" s="68">
        <v>-3488.9175346646298</v>
      </c>
      <c r="AZ45" s="68">
        <v>7323.5801521556796</v>
      </c>
      <c r="BA45" s="299"/>
      <c r="BB45" s="67"/>
      <c r="BC45" s="67"/>
      <c r="BD45" s="67"/>
      <c r="BE45" s="67"/>
      <c r="BF45" s="67"/>
      <c r="BG45" s="67"/>
      <c r="BH45" s="67"/>
      <c r="BN45" s="299"/>
      <c r="BO45" s="67">
        <v>47978655.4968393</v>
      </c>
      <c r="BP45" s="67">
        <v>76544263.310000017</v>
      </c>
      <c r="BQ45" s="67">
        <v>80857000</v>
      </c>
      <c r="BR45" s="67">
        <v>2253614.91</v>
      </c>
      <c r="BS45" s="67">
        <v>2108000</v>
      </c>
      <c r="BT45" s="428">
        <v>0.6069906674930664</v>
      </c>
      <c r="BU45" s="428">
        <v>0.33464287704132489</v>
      </c>
      <c r="BV45" s="67">
        <f t="shared" si="23"/>
        <v>54211928.513512231</v>
      </c>
      <c r="BW45" s="299"/>
      <c r="BX45" s="67">
        <v>130175300</v>
      </c>
      <c r="BY45" s="67">
        <v>47978655.4968393</v>
      </c>
      <c r="BZ45" s="67">
        <v>74896732.010334566</v>
      </c>
      <c r="CA45" s="67">
        <v>34648766.889822982</v>
      </c>
      <c r="CB45" s="67">
        <f t="shared" si="24"/>
        <v>4154634.3848664965</v>
      </c>
      <c r="CC45" s="67">
        <f t="shared" si="25"/>
        <v>-293.21834221746764</v>
      </c>
      <c r="CD45" s="67">
        <f t="shared" si="26"/>
        <v>-449.42422275464554</v>
      </c>
      <c r="CE45" s="67">
        <f t="shared" si="27"/>
        <v>-156.2058805371779</v>
      </c>
      <c r="CF45" s="67">
        <f t="shared" si="28"/>
        <v>141.2058805371779</v>
      </c>
      <c r="CG45" s="67">
        <f t="shared" si="29"/>
        <v>126.2058805371779</v>
      </c>
      <c r="CH45" s="67">
        <f t="shared" si="30"/>
        <v>111.2058805371779</v>
      </c>
      <c r="CI45" s="67">
        <f t="shared" si="31"/>
        <v>96.205880537177904</v>
      </c>
      <c r="CJ45" s="67">
        <f t="shared" si="32"/>
        <v>2560203.8200195725</v>
      </c>
      <c r="CK45" s="67">
        <f t="shared" si="33"/>
        <v>2288238.8200195725</v>
      </c>
      <c r="CL45" s="67">
        <f t="shared" si="34"/>
        <v>2016273.8200195725</v>
      </c>
      <c r="CM45" s="67">
        <f t="shared" si="35"/>
        <v>1744308.8200195725</v>
      </c>
      <c r="CN45" s="299"/>
      <c r="CO45" s="430">
        <v>63704.048135799916</v>
      </c>
      <c r="CP45" s="430">
        <v>4342.3193259747504</v>
      </c>
      <c r="CQ45" s="430">
        <v>6340.3639999999996</v>
      </c>
      <c r="CR45" s="430">
        <v>46154666.579014935</v>
      </c>
      <c r="CS45" s="430">
        <v>2801481.5054731057</v>
      </c>
      <c r="CT45" s="430">
        <v>10455513.156465508</v>
      </c>
      <c r="CU45" s="430">
        <v>3134959.3743048916</v>
      </c>
      <c r="CV45" s="430">
        <v>-2720972</v>
      </c>
      <c r="CW45" s="430">
        <v>178335.47713982087</v>
      </c>
      <c r="CX45" s="430">
        <v>-2653535.69</v>
      </c>
      <c r="CY45" s="430">
        <v>47309256.164087504</v>
      </c>
      <c r="CZ45" s="519"/>
      <c r="DA45" s="524">
        <v>64617.976909999998</v>
      </c>
      <c r="DB45" s="524">
        <v>4308.3615819880424</v>
      </c>
      <c r="DC45" s="520">
        <f t="shared" si="36"/>
        <v>-1</v>
      </c>
      <c r="DD45" s="440">
        <v>18344</v>
      </c>
      <c r="DE45" s="450">
        <v>47978655.4968393</v>
      </c>
      <c r="DF45" s="440">
        <v>25666935.800022986</v>
      </c>
      <c r="DG45" s="440">
        <v>6382407.1899999985</v>
      </c>
      <c r="DH45" s="440">
        <v>2599423.8997999998</v>
      </c>
      <c r="DI45" s="440">
        <v>2772508.527378513</v>
      </c>
      <c r="DJ45" s="440">
        <v>3136255.3892333405</v>
      </c>
      <c r="DK45" s="440">
        <v>4154602.9293716196</v>
      </c>
      <c r="DL45" s="440">
        <v>-2686382</v>
      </c>
      <c r="DM45" s="440">
        <v>3388000</v>
      </c>
      <c r="DN45" s="440">
        <v>178408.46573623488</v>
      </c>
      <c r="DO45" s="457">
        <f t="shared" si="37"/>
        <v>-2386495.2952966094</v>
      </c>
      <c r="DP45" s="459">
        <f t="shared" si="38"/>
        <v>-130.0967779817166</v>
      </c>
      <c r="DQ45" s="440"/>
      <c r="DR45" s="450">
        <v>130175300</v>
      </c>
      <c r="DS45" s="440">
        <v>64615188.970634565</v>
      </c>
      <c r="DT45" s="440">
        <v>3899135.8497000001</v>
      </c>
      <c r="DU45" s="440">
        <v>46125805.169014916</v>
      </c>
      <c r="DV45" s="440">
        <v>10459835.54138902</v>
      </c>
      <c r="DW45" s="440">
        <v>7084025.1899999985</v>
      </c>
      <c r="DX45" s="457">
        <f t="shared" si="39"/>
        <v>2008690.7207385004</v>
      </c>
      <c r="DY45" s="459">
        <f t="shared" si="40"/>
        <v>109.50123859237355</v>
      </c>
      <c r="DZ45" s="440"/>
      <c r="EA45" s="457">
        <f t="shared" si="41"/>
        <v>-4395186.0160351098</v>
      </c>
      <c r="EB45" s="459">
        <f t="shared" si="42"/>
        <v>-239.59801657409014</v>
      </c>
      <c r="ED45" s="457">
        <v>4471601.8892766926</v>
      </c>
      <c r="EE45" s="458">
        <v>4172672.5614001928</v>
      </c>
      <c r="EF45" s="458">
        <v>3877542.0607579048</v>
      </c>
      <c r="EG45" s="458">
        <v>3580548.3166885558</v>
      </c>
      <c r="EH45" s="459">
        <v>3287480.9193564672</v>
      </c>
    </row>
    <row r="46" spans="1:138" x14ac:dyDescent="0.2">
      <c r="A46" s="67">
        <v>90</v>
      </c>
      <c r="B46" s="67" t="s">
        <v>167</v>
      </c>
      <c r="C46" s="67">
        <v>12</v>
      </c>
      <c r="D46" s="67">
        <v>3061</v>
      </c>
      <c r="E46" s="82">
        <v>8598372.1213298216</v>
      </c>
      <c r="F46" s="67">
        <v>3839874.7509824387</v>
      </c>
      <c r="G46" s="67">
        <v>1355642</v>
      </c>
      <c r="H46" s="67">
        <v>1813119.0902115016</v>
      </c>
      <c r="I46" s="67">
        <v>1203829.411171169</v>
      </c>
      <c r="J46" s="67">
        <v>716478.9336165702</v>
      </c>
      <c r="K46" s="67">
        <v>-610471.34344540583</v>
      </c>
      <c r="L46" s="67">
        <v>-410805</v>
      </c>
      <c r="M46" s="68">
        <v>303880.59000000003</v>
      </c>
      <c r="N46" s="68">
        <v>26767.758946314218</v>
      </c>
      <c r="O46" s="68">
        <v>-89085.404595719912</v>
      </c>
      <c r="P46" s="168">
        <f t="shared" si="8"/>
        <v>-449141.33444295288</v>
      </c>
      <c r="Q46" s="169">
        <f t="shared" si="9"/>
        <v>-146.73026280397022</v>
      </c>
      <c r="R46" s="67"/>
      <c r="S46" s="82">
        <v>28350891.73</v>
      </c>
      <c r="T46" s="67">
        <v>8950018.6843277793</v>
      </c>
      <c r="U46" s="67">
        <v>2725031.4570151721</v>
      </c>
      <c r="V46" s="67">
        <v>11429024.818132937</v>
      </c>
      <c r="W46" s="67">
        <v>2389554.0650887783</v>
      </c>
      <c r="X46" s="67">
        <v>1248717.5900000001</v>
      </c>
      <c r="Y46" s="168">
        <f t="shared" si="10"/>
        <v>-1608545.1154353358</v>
      </c>
      <c r="Z46" s="169">
        <f t="shared" si="11"/>
        <v>-525.4966074600901</v>
      </c>
      <c r="AA46" s="67"/>
      <c r="AB46" s="77">
        <f t="shared" si="12"/>
        <v>1159403.7809923829</v>
      </c>
      <c r="AC46" s="123">
        <f t="shared" si="13"/>
        <v>378.76634465611988</v>
      </c>
      <c r="AE46" s="170"/>
      <c r="AF46" s="177">
        <v>-1109974.3642340538</v>
      </c>
      <c r="AG46" s="177">
        <v>-1072035.4933304514</v>
      </c>
      <c r="AH46" s="177">
        <v>-1030782.3905485822</v>
      </c>
      <c r="AI46" s="178">
        <v>-990155.16451548832</v>
      </c>
      <c r="AK46" s="67">
        <f t="shared" si="14"/>
        <v>5110143.9333453402</v>
      </c>
      <c r="AL46" s="67">
        <f t="shared" si="15"/>
        <v>911912.36680367053</v>
      </c>
      <c r="AM46" s="67">
        <f t="shared" si="16"/>
        <v>10225195.406961769</v>
      </c>
      <c r="AN46" s="67">
        <f t="shared" si="17"/>
        <v>19752519.608670179</v>
      </c>
      <c r="AO46" s="67">
        <f t="shared" si="18"/>
        <v>0</v>
      </c>
      <c r="AP46" s="67">
        <f t="shared" si="19"/>
        <v>-1109974.3642340538</v>
      </c>
      <c r="AQ46" s="67">
        <f t="shared" si="20"/>
        <v>-1072035.4933304514</v>
      </c>
      <c r="AR46" s="67">
        <f t="shared" si="21"/>
        <v>-1030782.3905485822</v>
      </c>
      <c r="AS46" s="67">
        <f t="shared" si="22"/>
        <v>-990155.16451548832</v>
      </c>
      <c r="AT46" s="68">
        <v>1351</v>
      </c>
      <c r="AU46" s="68"/>
      <c r="AV46" s="68"/>
      <c r="AW46" s="68">
        <v>0</v>
      </c>
      <c r="AX46" s="68">
        <v>9821.0331725339438</v>
      </c>
      <c r="AY46" s="68">
        <v>-1156.5851197899392</v>
      </c>
      <c r="AZ46" s="68">
        <v>1674.5456172341117</v>
      </c>
      <c r="BA46" s="299"/>
      <c r="BB46" s="67"/>
      <c r="BC46" s="67"/>
      <c r="BD46" s="67"/>
      <c r="BE46" s="67"/>
      <c r="BF46" s="67"/>
      <c r="BG46" s="67"/>
      <c r="BH46" s="67"/>
      <c r="BN46" s="299"/>
      <c r="BO46" s="67">
        <v>9105403.8339007385</v>
      </c>
      <c r="BP46" s="67">
        <v>17596153.150000002</v>
      </c>
      <c r="BQ46" s="67">
        <v>19965000</v>
      </c>
      <c r="BR46" s="67">
        <v>317780.81</v>
      </c>
      <c r="BS46" s="67">
        <v>329000</v>
      </c>
      <c r="BT46" s="428">
        <v>0.57096461064306192</v>
      </c>
      <c r="BU46" s="428">
        <v>0.33464287704132484</v>
      </c>
      <c r="BV46" s="67">
        <f t="shared" si="23"/>
        <v>11287799.194988571</v>
      </c>
      <c r="BW46" s="299"/>
      <c r="BX46" s="67">
        <v>27629512</v>
      </c>
      <c r="BY46" s="67">
        <v>9105403.8339007385</v>
      </c>
      <c r="BZ46" s="67">
        <v>13118751.021126829</v>
      </c>
      <c r="CA46" s="67">
        <v>7061758.9814679846</v>
      </c>
      <c r="CB46" s="67">
        <f t="shared" si="24"/>
        <v>94171.204399710288</v>
      </c>
      <c r="CC46" s="67">
        <f t="shared" si="25"/>
        <v>-525.49660746009022</v>
      </c>
      <c r="CD46" s="67">
        <f t="shared" si="26"/>
        <v>112.57321724857329</v>
      </c>
      <c r="CE46" s="67">
        <f t="shared" si="27"/>
        <v>638.06982470866353</v>
      </c>
      <c r="CF46" s="67">
        <f t="shared" si="28"/>
        <v>-623.06982470866353</v>
      </c>
      <c r="CG46" s="67">
        <f t="shared" si="29"/>
        <v>-608.06982470866353</v>
      </c>
      <c r="CH46" s="67">
        <f t="shared" si="30"/>
        <v>-593.06982470866353</v>
      </c>
      <c r="CI46" s="67">
        <f t="shared" si="31"/>
        <v>-578.06982470866353</v>
      </c>
      <c r="CJ46" s="67">
        <f t="shared" si="32"/>
        <v>-1907216.7334332191</v>
      </c>
      <c r="CK46" s="67">
        <f t="shared" si="33"/>
        <v>-1861301.7334332191</v>
      </c>
      <c r="CL46" s="67">
        <f t="shared" si="34"/>
        <v>-1815386.7334332191</v>
      </c>
      <c r="CM46" s="67">
        <f t="shared" si="35"/>
        <v>-1769471.7334332191</v>
      </c>
      <c r="CN46" s="299"/>
      <c r="CO46" s="430">
        <v>8950.0186843277788</v>
      </c>
      <c r="CP46" s="430">
        <v>2725.0314570151722</v>
      </c>
      <c r="CQ46" s="430">
        <v>1355.6420000000001</v>
      </c>
      <c r="CR46" s="430">
        <v>11429024.818132937</v>
      </c>
      <c r="CS46" s="430">
        <v>1203829.411171169</v>
      </c>
      <c r="CT46" s="430">
        <v>2389554.0650887783</v>
      </c>
      <c r="CU46" s="430">
        <v>716478.9336165702</v>
      </c>
      <c r="CV46" s="430">
        <v>-410805</v>
      </c>
      <c r="CW46" s="430">
        <v>26767.758946314218</v>
      </c>
      <c r="CX46" s="430">
        <v>303880.59000000003</v>
      </c>
      <c r="CY46" s="430">
        <v>8598372.1213298216</v>
      </c>
      <c r="CZ46" s="519"/>
      <c r="DA46" s="524">
        <v>9130.1775799999996</v>
      </c>
      <c r="DB46" s="524">
        <v>2703.7204958132743</v>
      </c>
      <c r="DC46" s="520">
        <f t="shared" si="36"/>
        <v>-1</v>
      </c>
      <c r="DD46" s="440">
        <v>3136</v>
      </c>
      <c r="DE46" s="450">
        <v>9105403.8339007385</v>
      </c>
      <c r="DF46" s="440">
        <v>4017746.5035679843</v>
      </c>
      <c r="DG46" s="440">
        <v>1412738.6435</v>
      </c>
      <c r="DH46" s="440">
        <v>1631273.8344000001</v>
      </c>
      <c r="DI46" s="440">
        <v>1198819.3265985141</v>
      </c>
      <c r="DJ46" s="440">
        <v>717108.65552849812</v>
      </c>
      <c r="DK46" s="440">
        <v>94114.218245721509</v>
      </c>
      <c r="DL46" s="440">
        <v>-239617</v>
      </c>
      <c r="DM46" s="440">
        <v>380000</v>
      </c>
      <c r="DN46" s="440">
        <v>26849.025870910591</v>
      </c>
      <c r="DO46" s="457">
        <f t="shared" si="37"/>
        <v>133629.37381089106</v>
      </c>
      <c r="DP46" s="459">
        <f t="shared" si="38"/>
        <v>42.611407465207606</v>
      </c>
      <c r="DQ46" s="440"/>
      <c r="DR46" s="450">
        <v>27629512</v>
      </c>
      <c r="DS46" s="440">
        <v>9259101.6260268297</v>
      </c>
      <c r="DT46" s="440">
        <v>2446910.7516000001</v>
      </c>
      <c r="DU46" s="440">
        <v>11424033.298132936</v>
      </c>
      <c r="DV46" s="440">
        <v>2391654.2727626096</v>
      </c>
      <c r="DW46" s="440">
        <v>1553121.6435</v>
      </c>
      <c r="DX46" s="457">
        <f t="shared" si="39"/>
        <v>-554690.40797762573</v>
      </c>
      <c r="DY46" s="459">
        <f t="shared" si="40"/>
        <v>-176.87831887041636</v>
      </c>
      <c r="DZ46" s="440"/>
      <c r="EA46" s="457">
        <f t="shared" si="41"/>
        <v>688319.78178851679</v>
      </c>
      <c r="EB46" s="459">
        <f t="shared" si="42"/>
        <v>219.48972633562397</v>
      </c>
      <c r="ED46" s="457">
        <v>-675256.10001324385</v>
      </c>
      <c r="EE46" s="458">
        <v>-632279.58737808827</v>
      </c>
      <c r="EF46" s="458">
        <v>-588653.6459266172</v>
      </c>
      <c r="EG46" s="458">
        <v>-545346.23540554638</v>
      </c>
      <c r="EH46" s="459">
        <v>-501367.59596122842</v>
      </c>
    </row>
    <row r="47" spans="1:138" x14ac:dyDescent="0.2">
      <c r="A47" s="67">
        <v>91</v>
      </c>
      <c r="B47" s="67" t="s">
        <v>168</v>
      </c>
      <c r="C47" s="67">
        <v>31</v>
      </c>
      <c r="D47" s="67">
        <v>664028</v>
      </c>
      <c r="E47" s="82">
        <v>1768390738.7723584</v>
      </c>
      <c r="F47" s="67">
        <v>926265239.57656336</v>
      </c>
      <c r="G47" s="67">
        <v>292232607</v>
      </c>
      <c r="H47" s="67">
        <v>464704777.1316784</v>
      </c>
      <c r="I47" s="67">
        <v>147898236.15420806</v>
      </c>
      <c r="J47" s="67">
        <v>85365588.98438099</v>
      </c>
      <c r="K47" s="67">
        <v>43624658.282150432</v>
      </c>
      <c r="L47" s="67">
        <v>36047964</v>
      </c>
      <c r="M47" s="68">
        <v>97139982.439999998</v>
      </c>
      <c r="N47" s="68">
        <v>10391669.018773561</v>
      </c>
      <c r="O47" s="68">
        <v>-19325450.193690527</v>
      </c>
      <c r="P47" s="168">
        <f t="shared" si="8"/>
        <v>315954533.62170577</v>
      </c>
      <c r="Q47" s="169">
        <f t="shared" si="9"/>
        <v>475.8150765053669</v>
      </c>
      <c r="R47" s="67"/>
      <c r="S47" s="82">
        <v>4229735330.4199996</v>
      </c>
      <c r="T47" s="67">
        <v>3030398784.6883569</v>
      </c>
      <c r="U47" s="67">
        <v>698429100.84926057</v>
      </c>
      <c r="V47" s="67">
        <v>60756564.993444443</v>
      </c>
      <c r="W47" s="67">
        <v>284705775.15331405</v>
      </c>
      <c r="X47" s="67">
        <v>425420553.44</v>
      </c>
      <c r="Y47" s="168">
        <f t="shared" si="10"/>
        <v>269975448.7043767</v>
      </c>
      <c r="Z47" s="169">
        <f t="shared" si="11"/>
        <v>406.57238656257971</v>
      </c>
      <c r="AA47" s="67"/>
      <c r="AB47" s="77">
        <f t="shared" si="12"/>
        <v>45979084.917329073</v>
      </c>
      <c r="AC47" s="123">
        <f t="shared" si="13"/>
        <v>69.242689942787166</v>
      </c>
      <c r="AE47" s="170"/>
      <c r="AF47" s="177">
        <v>-35256276.439316235</v>
      </c>
      <c r="AG47" s="177">
        <v>-27026131.856376894</v>
      </c>
      <c r="AH47" s="177">
        <v>-18077025.246106081</v>
      </c>
      <c r="AI47" s="178">
        <v>-9263691.1564937457</v>
      </c>
      <c r="AK47" s="67">
        <f t="shared" si="14"/>
        <v>2104133545.1117935</v>
      </c>
      <c r="AL47" s="67">
        <f t="shared" si="15"/>
        <v>233724323.71758217</v>
      </c>
      <c r="AM47" s="67">
        <f t="shared" si="16"/>
        <v>-87141671.160763621</v>
      </c>
      <c r="AN47" s="67">
        <f t="shared" si="17"/>
        <v>2461344591.6476412</v>
      </c>
      <c r="AO47" s="67">
        <f t="shared" si="18"/>
        <v>0</v>
      </c>
      <c r="AP47" s="67">
        <f t="shared" si="19"/>
        <v>-35256276.439316235</v>
      </c>
      <c r="AQ47" s="67">
        <f t="shared" si="20"/>
        <v>-27026131.856376894</v>
      </c>
      <c r="AR47" s="67">
        <f t="shared" si="21"/>
        <v>-18077025.246106081</v>
      </c>
      <c r="AS47" s="67">
        <f t="shared" si="22"/>
        <v>-9263691.1564937457</v>
      </c>
      <c r="AT47" s="68">
        <v>408496</v>
      </c>
      <c r="AU47" s="68"/>
      <c r="AV47" s="68"/>
      <c r="AW47" s="68">
        <v>13507</v>
      </c>
      <c r="AX47" s="68">
        <v>243837.61886699294</v>
      </c>
      <c r="AY47" s="68">
        <v>255917.09958899219</v>
      </c>
      <c r="AZ47" s="68">
        <v>199162.94978922844</v>
      </c>
      <c r="BA47" s="299"/>
      <c r="BB47" s="67"/>
      <c r="BC47" s="67"/>
      <c r="BD47" s="67"/>
      <c r="BE47" s="67"/>
      <c r="BF47" s="67"/>
      <c r="BG47" s="67"/>
      <c r="BH47" s="67"/>
      <c r="BN47" s="299"/>
      <c r="BO47" s="67">
        <v>1747484958.5419693</v>
      </c>
      <c r="BP47" s="67">
        <v>2256402056.1299996</v>
      </c>
      <c r="BQ47" s="67">
        <v>2410030000</v>
      </c>
      <c r="BR47" s="67">
        <v>44093601.219999999</v>
      </c>
      <c r="BS47" s="67">
        <v>50495000</v>
      </c>
      <c r="BT47" s="428">
        <v>0.69434212940663531</v>
      </c>
      <c r="BU47" s="428">
        <v>0.33464287704132484</v>
      </c>
      <c r="BV47" s="67">
        <f t="shared" si="23"/>
        <v>155823173.29031986</v>
      </c>
      <c r="BW47" s="299"/>
      <c r="BX47" s="67">
        <v>4201520700.3299999</v>
      </c>
      <c r="BY47" s="67">
        <v>1747484958.5419693</v>
      </c>
      <c r="BZ47" s="67">
        <v>3876843780.0289183</v>
      </c>
      <c r="CA47" s="67">
        <v>1611201208.6086175</v>
      </c>
      <c r="CB47" s="67">
        <f t="shared" si="24"/>
        <v>-7193675.5790546294</v>
      </c>
      <c r="CC47" s="67">
        <f t="shared" si="25"/>
        <v>406.5723865625792</v>
      </c>
      <c r="CD47" s="67">
        <f t="shared" si="26"/>
        <v>428.38803477291822</v>
      </c>
      <c r="CE47" s="67">
        <f t="shared" si="27"/>
        <v>21.81564821033902</v>
      </c>
      <c r="CF47" s="67">
        <f t="shared" si="28"/>
        <v>-6.8156482103390204</v>
      </c>
      <c r="CG47" s="67">
        <f t="shared" si="29"/>
        <v>0</v>
      </c>
      <c r="CH47" s="67">
        <f t="shared" si="30"/>
        <v>0</v>
      </c>
      <c r="CI47" s="67">
        <f t="shared" si="31"/>
        <v>0</v>
      </c>
      <c r="CJ47" s="67">
        <f t="shared" si="32"/>
        <v>-4525781.2498149993</v>
      </c>
      <c r="CK47" s="67">
        <f t="shared" si="33"/>
        <v>0</v>
      </c>
      <c r="CL47" s="67">
        <f t="shared" si="34"/>
        <v>0</v>
      </c>
      <c r="CM47" s="67">
        <f t="shared" si="35"/>
        <v>0</v>
      </c>
      <c r="CN47" s="299"/>
      <c r="CO47" s="430">
        <v>3030398.7846883568</v>
      </c>
      <c r="CP47" s="430">
        <v>698429.10084926058</v>
      </c>
      <c r="CQ47" s="430">
        <v>292232.60700000002</v>
      </c>
      <c r="CR47" s="430">
        <v>60756564.993444443</v>
      </c>
      <c r="CS47" s="430">
        <v>147898236.15420806</v>
      </c>
      <c r="CT47" s="430">
        <v>284705775.15331405</v>
      </c>
      <c r="CU47" s="430">
        <v>85365588.98438099</v>
      </c>
      <c r="CV47" s="430">
        <v>36047964</v>
      </c>
      <c r="CW47" s="430">
        <v>10391669.018773561</v>
      </c>
      <c r="CX47" s="430">
        <v>97139982.439999998</v>
      </c>
      <c r="CY47" s="430">
        <v>1768390738.7723584</v>
      </c>
      <c r="CZ47" s="519"/>
      <c r="DA47" s="524">
        <v>3008943.6921100002</v>
      </c>
      <c r="DB47" s="524">
        <v>692967.57912859158</v>
      </c>
      <c r="DC47" s="520">
        <f t="shared" si="36"/>
        <v>-1</v>
      </c>
      <c r="DD47" s="440">
        <v>658457</v>
      </c>
      <c r="DE47" s="450">
        <v>1747484958.5419693</v>
      </c>
      <c r="DF47" s="440">
        <v>897543603.15511775</v>
      </c>
      <c r="DG47" s="440">
        <v>295560003.50989997</v>
      </c>
      <c r="DH47" s="440">
        <v>418097601.9436</v>
      </c>
      <c r="DI47" s="440">
        <v>146867432.30265784</v>
      </c>
      <c r="DJ47" s="440">
        <v>85289689.145850301</v>
      </c>
      <c r="DK47" s="440">
        <v>-6980980.3654889707</v>
      </c>
      <c r="DL47" s="440">
        <v>27629939</v>
      </c>
      <c r="DM47" s="440">
        <v>94642000</v>
      </c>
      <c r="DN47" s="440">
        <v>10042987.611013314</v>
      </c>
      <c r="DO47" s="457">
        <f t="shared" si="37"/>
        <v>221207317.76068091</v>
      </c>
      <c r="DP47" s="459">
        <f t="shared" si="38"/>
        <v>335.94800839034428</v>
      </c>
      <c r="DQ47" s="440"/>
      <c r="DR47" s="450">
        <v>4201520700.3299999</v>
      </c>
      <c r="DS47" s="440">
        <v>2954137373.6036181</v>
      </c>
      <c r="DT47" s="440">
        <v>627146402.91540003</v>
      </c>
      <c r="DU47" s="440">
        <v>59729103.283444226</v>
      </c>
      <c r="DV47" s="440">
        <v>284452638.93507874</v>
      </c>
      <c r="DW47" s="440">
        <v>417831942.50989997</v>
      </c>
      <c r="DX47" s="457">
        <f t="shared" si="39"/>
        <v>141776760.91744137</v>
      </c>
      <c r="DY47" s="459">
        <f t="shared" si="40"/>
        <v>215.31665836560529</v>
      </c>
      <c r="DZ47" s="440"/>
      <c r="EA47" s="457">
        <f t="shared" si="41"/>
        <v>79430556.843239546</v>
      </c>
      <c r="EB47" s="459">
        <f t="shared" si="42"/>
        <v>120.63135002473896</v>
      </c>
      <c r="ED47" s="457">
        <v>-76687612.739061743</v>
      </c>
      <c r="EE47" s="458">
        <v>-67663956.622924402</v>
      </c>
      <c r="EF47" s="458">
        <v>-58503941.785452686</v>
      </c>
      <c r="EG47" s="458">
        <v>-49410807.981411658</v>
      </c>
      <c r="EH47" s="459">
        <v>-40176738.149591729</v>
      </c>
    </row>
    <row r="48" spans="1:138" x14ac:dyDescent="0.2">
      <c r="A48" s="67">
        <v>97</v>
      </c>
      <c r="B48" s="67" t="s">
        <v>169</v>
      </c>
      <c r="C48" s="67">
        <v>10</v>
      </c>
      <c r="D48" s="67">
        <v>2091</v>
      </c>
      <c r="E48" s="82">
        <v>5066050.1272982415</v>
      </c>
      <c r="F48" s="67">
        <v>2307573.7632537275</v>
      </c>
      <c r="G48" s="67">
        <v>1385373</v>
      </c>
      <c r="H48" s="67">
        <v>745919.15471822163</v>
      </c>
      <c r="I48" s="67">
        <v>586499.02439426549</v>
      </c>
      <c r="J48" s="67">
        <v>455781.99619979085</v>
      </c>
      <c r="K48" s="67">
        <v>-491255.2210655894</v>
      </c>
      <c r="L48" s="67">
        <v>-546383</v>
      </c>
      <c r="M48" s="68">
        <v>380117.55</v>
      </c>
      <c r="N48" s="68">
        <v>18132.463805367312</v>
      </c>
      <c r="O48" s="68">
        <v>-60855.13917335849</v>
      </c>
      <c r="P48" s="168">
        <f t="shared" si="8"/>
        <v>-285146.53516581637</v>
      </c>
      <c r="Q48" s="169">
        <f t="shared" si="9"/>
        <v>-136.36850079666016</v>
      </c>
      <c r="R48" s="67"/>
      <c r="S48" s="82">
        <v>16466632.080000002</v>
      </c>
      <c r="T48" s="67">
        <v>6011749.3437995911</v>
      </c>
      <c r="U48" s="67">
        <v>1121080.8887132783</v>
      </c>
      <c r="V48" s="67">
        <v>6454931.5171278305</v>
      </c>
      <c r="W48" s="67">
        <v>1520094.5494879517</v>
      </c>
      <c r="X48" s="67">
        <v>1219107.55</v>
      </c>
      <c r="Y48" s="168">
        <f t="shared" si="10"/>
        <v>-139668.23087134957</v>
      </c>
      <c r="Z48" s="169">
        <f t="shared" si="11"/>
        <v>-66.794945419105488</v>
      </c>
      <c r="AA48" s="67"/>
      <c r="AB48" s="77">
        <f t="shared" si="12"/>
        <v>-145478.3042944668</v>
      </c>
      <c r="AC48" s="123">
        <f t="shared" si="13"/>
        <v>-69.573555377554655</v>
      </c>
      <c r="AE48" s="170"/>
      <c r="AF48" s="177">
        <v>116514.03785920444</v>
      </c>
      <c r="AG48" s="177">
        <v>79700.463556503601</v>
      </c>
      <c r="AH48" s="177">
        <v>45150.874506156732</v>
      </c>
      <c r="AI48" s="178">
        <v>10173.7427306584</v>
      </c>
      <c r="AK48" s="67">
        <f t="shared" si="14"/>
        <v>3704175.5805458636</v>
      </c>
      <c r="AL48" s="67">
        <f t="shared" si="15"/>
        <v>375161.73399505671</v>
      </c>
      <c r="AM48" s="67">
        <f t="shared" si="16"/>
        <v>5868432.4927335652</v>
      </c>
      <c r="AN48" s="67">
        <f t="shared" si="17"/>
        <v>11400581.95270176</v>
      </c>
      <c r="AO48" s="67">
        <f t="shared" si="18"/>
        <v>0</v>
      </c>
      <c r="AP48" s="67">
        <f t="shared" si="19"/>
        <v>116514.03785920444</v>
      </c>
      <c r="AQ48" s="67">
        <f t="shared" si="20"/>
        <v>79700.463556503601</v>
      </c>
      <c r="AR48" s="67">
        <f t="shared" si="21"/>
        <v>45150.874506156732</v>
      </c>
      <c r="AS48" s="67">
        <f t="shared" si="22"/>
        <v>10173.7427306584</v>
      </c>
      <c r="AT48" s="68">
        <v>613</v>
      </c>
      <c r="AU48" s="68"/>
      <c r="AV48" s="68"/>
      <c r="AW48" s="68">
        <v>1</v>
      </c>
      <c r="AX48" s="68">
        <v>4594.5766533796786</v>
      </c>
      <c r="AY48" s="68">
        <v>-800.87405434903133</v>
      </c>
      <c r="AZ48" s="68">
        <v>1067.1976068812414</v>
      </c>
      <c r="BA48" s="299"/>
      <c r="BB48" s="67"/>
      <c r="BC48" s="67"/>
      <c r="BD48" s="67"/>
      <c r="BE48" s="67"/>
      <c r="BF48" s="67"/>
      <c r="BG48" s="67"/>
      <c r="BH48" s="67"/>
      <c r="BN48" s="299"/>
      <c r="BO48" s="67">
        <v>5205577.873510411</v>
      </c>
      <c r="BP48" s="67">
        <v>10963401.5</v>
      </c>
      <c r="BQ48" s="67">
        <v>10650000</v>
      </c>
      <c r="BR48" s="67">
        <v>208935.67</v>
      </c>
      <c r="BS48" s="67">
        <v>230000</v>
      </c>
      <c r="BT48" s="428">
        <v>0.61615602526181212</v>
      </c>
      <c r="BU48" s="428">
        <v>0.33464287704132478</v>
      </c>
      <c r="BV48" s="67">
        <f t="shared" si="23"/>
        <v>6441489.8249561368</v>
      </c>
      <c r="BW48" s="299"/>
      <c r="BX48" s="67">
        <v>16143400</v>
      </c>
      <c r="BY48" s="67">
        <v>5205577.873510411</v>
      </c>
      <c r="BZ48" s="67">
        <v>8304777.9938530764</v>
      </c>
      <c r="CA48" s="67">
        <v>4339787.7974909842</v>
      </c>
      <c r="CB48" s="67">
        <f t="shared" si="24"/>
        <v>-317533.95661873126</v>
      </c>
      <c r="CC48" s="67">
        <f t="shared" si="25"/>
        <v>-66.794945419106043</v>
      </c>
      <c r="CD48" s="67">
        <f t="shared" si="26"/>
        <v>-24.184663579913916</v>
      </c>
      <c r="CE48" s="67">
        <f t="shared" si="27"/>
        <v>42.610281839192126</v>
      </c>
      <c r="CF48" s="67">
        <f t="shared" si="28"/>
        <v>-27.610281839192126</v>
      </c>
      <c r="CG48" s="67">
        <f t="shared" si="29"/>
        <v>-12.610281839192126</v>
      </c>
      <c r="CH48" s="67">
        <f t="shared" si="30"/>
        <v>0</v>
      </c>
      <c r="CI48" s="67">
        <f t="shared" si="31"/>
        <v>0</v>
      </c>
      <c r="CJ48" s="67">
        <f t="shared" si="32"/>
        <v>-57733.099325750736</v>
      </c>
      <c r="CK48" s="67">
        <f t="shared" si="33"/>
        <v>-26368.099325750736</v>
      </c>
      <c r="CL48" s="67">
        <f t="shared" si="34"/>
        <v>0</v>
      </c>
      <c r="CM48" s="67">
        <f t="shared" si="35"/>
        <v>0</v>
      </c>
      <c r="CN48" s="299"/>
      <c r="CO48" s="430">
        <v>6011.7493437995909</v>
      </c>
      <c r="CP48" s="430">
        <v>1121.0808887132785</v>
      </c>
      <c r="CQ48" s="430">
        <v>1385.373</v>
      </c>
      <c r="CR48" s="430">
        <v>6454931.5171278305</v>
      </c>
      <c r="CS48" s="430">
        <v>586499.02439426549</v>
      </c>
      <c r="CT48" s="430">
        <v>1520094.5494879517</v>
      </c>
      <c r="CU48" s="430">
        <v>455781.99619979085</v>
      </c>
      <c r="CV48" s="430">
        <v>-546383</v>
      </c>
      <c r="CW48" s="430">
        <v>18132.463805367312</v>
      </c>
      <c r="CX48" s="430">
        <v>380117.55</v>
      </c>
      <c r="CY48" s="430">
        <v>5066050.1272982415</v>
      </c>
      <c r="CZ48" s="519"/>
      <c r="DA48" s="524">
        <v>6286.2052300000005</v>
      </c>
      <c r="DB48" s="524">
        <v>1112.3134143930517</v>
      </c>
      <c r="DC48" s="520">
        <f t="shared" si="36"/>
        <v>-1</v>
      </c>
      <c r="DD48" s="440">
        <v>2131</v>
      </c>
      <c r="DE48" s="450">
        <v>5205577.873510411</v>
      </c>
      <c r="DF48" s="440">
        <v>2308578.1816909849</v>
      </c>
      <c r="DG48" s="440">
        <v>1360101.7959999999</v>
      </c>
      <c r="DH48" s="440">
        <v>671107.81979999994</v>
      </c>
      <c r="DI48" s="440">
        <v>583123.46464017266</v>
      </c>
      <c r="DJ48" s="440">
        <v>457017.4936875694</v>
      </c>
      <c r="DK48" s="440">
        <v>-317202.09788532177</v>
      </c>
      <c r="DL48" s="440">
        <v>-546383</v>
      </c>
      <c r="DM48" s="440">
        <v>289400</v>
      </c>
      <c r="DN48" s="440">
        <v>17575.741170369558</v>
      </c>
      <c r="DO48" s="457">
        <f t="shared" si="37"/>
        <v>-382258.47440663725</v>
      </c>
      <c r="DP48" s="459">
        <f t="shared" si="38"/>
        <v>-179.37985659626338</v>
      </c>
      <c r="DQ48" s="440"/>
      <c r="DR48" s="450">
        <v>16143400</v>
      </c>
      <c r="DS48" s="440">
        <v>5938014.4681530762</v>
      </c>
      <c r="DT48" s="440">
        <v>1006661.7296999999</v>
      </c>
      <c r="DU48" s="440">
        <v>6451569.5171278305</v>
      </c>
      <c r="DV48" s="440">
        <v>1524215.1005688107</v>
      </c>
      <c r="DW48" s="440">
        <v>1103118.7959999999</v>
      </c>
      <c r="DX48" s="457">
        <f t="shared" si="39"/>
        <v>-119820.38845028356</v>
      </c>
      <c r="DY48" s="459">
        <f t="shared" si="40"/>
        <v>-56.22730570168163</v>
      </c>
      <c r="DZ48" s="440"/>
      <c r="EA48" s="457">
        <f t="shared" si="41"/>
        <v>-262438.08595635369</v>
      </c>
      <c r="EB48" s="459">
        <f t="shared" si="42"/>
        <v>-123.15255089458174</v>
      </c>
      <c r="ED48" s="457">
        <v>271315.2243055604</v>
      </c>
      <c r="EE48" s="458">
        <v>236588.97061471755</v>
      </c>
      <c r="EF48" s="458">
        <v>202304.02202832879</v>
      </c>
      <c r="EG48" s="458">
        <v>167802.62273636504</v>
      </c>
      <c r="EH48" s="459">
        <v>133757.34233325333</v>
      </c>
    </row>
    <row r="49" spans="1:138" x14ac:dyDescent="0.2">
      <c r="A49" s="67">
        <v>98</v>
      </c>
      <c r="B49" s="67" t="s">
        <v>170</v>
      </c>
      <c r="C49" s="67">
        <v>7</v>
      </c>
      <c r="D49" s="67">
        <v>22943</v>
      </c>
      <c r="E49" s="82">
        <v>61592619.4265012</v>
      </c>
      <c r="F49" s="67">
        <v>37185379.941939063</v>
      </c>
      <c r="G49" s="67">
        <v>5949587</v>
      </c>
      <c r="H49" s="67">
        <v>3321215.2036398803</v>
      </c>
      <c r="I49" s="67">
        <v>14544789.321979843</v>
      </c>
      <c r="J49" s="67">
        <v>3506657.3118092706</v>
      </c>
      <c r="K49" s="67">
        <v>4973039.5118583683</v>
      </c>
      <c r="L49" s="67">
        <v>-4601470</v>
      </c>
      <c r="M49" s="68">
        <v>463773.67</v>
      </c>
      <c r="N49" s="68">
        <v>250706.45778371341</v>
      </c>
      <c r="O49" s="68">
        <v>-667718.53565488465</v>
      </c>
      <c r="P49" s="168">
        <f t="shared" si="8"/>
        <v>3333340.4568540556</v>
      </c>
      <c r="Q49" s="169">
        <f t="shared" si="9"/>
        <v>145.28790728562331</v>
      </c>
      <c r="R49" s="67"/>
      <c r="S49" s="82">
        <v>144532575.75</v>
      </c>
      <c r="T49" s="67">
        <v>91917462.710291699</v>
      </c>
      <c r="U49" s="67">
        <v>4991627.9378978834</v>
      </c>
      <c r="V49" s="67">
        <v>40797671.221631736</v>
      </c>
      <c r="W49" s="67">
        <v>11695176.007493628</v>
      </c>
      <c r="X49" s="67">
        <v>1811890.67</v>
      </c>
      <c r="Y49" s="168">
        <f t="shared" si="10"/>
        <v>6681252.7973149419</v>
      </c>
      <c r="Z49" s="169">
        <f t="shared" si="11"/>
        <v>291.21094875626301</v>
      </c>
      <c r="AA49" s="67"/>
      <c r="AB49" s="77">
        <f t="shared" si="12"/>
        <v>-3347912.3404608862</v>
      </c>
      <c r="AC49" s="123">
        <f t="shared" si="13"/>
        <v>-145.92304147063967</v>
      </c>
      <c r="AE49" s="170"/>
      <c r="AF49" s="177">
        <v>3030108.8183067394</v>
      </c>
      <c r="AG49" s="177">
        <v>2626180.633119334</v>
      </c>
      <c r="AH49" s="177">
        <v>2247093.4874559632</v>
      </c>
      <c r="AI49" s="178">
        <v>1863315.2309637307</v>
      </c>
      <c r="AK49" s="67">
        <f t="shared" si="14"/>
        <v>54732082.768352635</v>
      </c>
      <c r="AL49" s="67">
        <f t="shared" si="15"/>
        <v>1670412.7342580031</v>
      </c>
      <c r="AM49" s="67">
        <f t="shared" si="16"/>
        <v>26252881.899651892</v>
      </c>
      <c r="AN49" s="67">
        <f t="shared" si="17"/>
        <v>82939956.3234988</v>
      </c>
      <c r="AO49" s="67">
        <f t="shared" si="18"/>
        <v>0</v>
      </c>
      <c r="AP49" s="67">
        <f t="shared" si="19"/>
        <v>3030108.8183067394</v>
      </c>
      <c r="AQ49" s="67">
        <f t="shared" si="20"/>
        <v>2626180.633119334</v>
      </c>
      <c r="AR49" s="67">
        <f t="shared" si="21"/>
        <v>2247093.4874559632</v>
      </c>
      <c r="AS49" s="67">
        <f t="shared" si="22"/>
        <v>1863315.2309637307</v>
      </c>
      <c r="AT49" s="68">
        <v>8963</v>
      </c>
      <c r="AU49" s="68"/>
      <c r="AV49" s="68"/>
      <c r="AW49" s="68">
        <v>0</v>
      </c>
      <c r="AX49" s="68">
        <v>25491.189912915674</v>
      </c>
      <c r="AY49" s="68">
        <v>-729.13932084760154</v>
      </c>
      <c r="AZ49" s="68">
        <v>8184.5265826215882</v>
      </c>
      <c r="BA49" s="299"/>
      <c r="BB49" s="67"/>
      <c r="BC49" s="67"/>
      <c r="BD49" s="67"/>
      <c r="BE49" s="67"/>
      <c r="BF49" s="67"/>
      <c r="BG49" s="67"/>
      <c r="BH49" s="67"/>
      <c r="BN49" s="299"/>
      <c r="BO49" s="67">
        <v>63278152.259635463</v>
      </c>
      <c r="BP49" s="67">
        <v>74742182.010000005</v>
      </c>
      <c r="BQ49" s="67">
        <v>80877000</v>
      </c>
      <c r="BR49" s="67">
        <v>2365657.4</v>
      </c>
      <c r="BS49" s="67">
        <v>2443000</v>
      </c>
      <c r="BT49" s="428">
        <v>0.59544814613583175</v>
      </c>
      <c r="BU49" s="428">
        <v>0.33464287704132478</v>
      </c>
      <c r="BV49" s="67">
        <f t="shared" si="23"/>
        <v>39414440.107194617</v>
      </c>
      <c r="BW49" s="299"/>
      <c r="BX49" s="67">
        <v>146249900</v>
      </c>
      <c r="BY49" s="67">
        <v>63278152.259635463</v>
      </c>
      <c r="BZ49" s="67">
        <v>102824817.22407684</v>
      </c>
      <c r="CA49" s="67">
        <v>46773820.683299586</v>
      </c>
      <c r="CB49" s="67">
        <f t="shared" si="24"/>
        <v>4334066.5941361105</v>
      </c>
      <c r="CC49" s="67">
        <f t="shared" si="25"/>
        <v>291.21094875626318</v>
      </c>
      <c r="CD49" s="67">
        <f t="shared" si="26"/>
        <v>146.5408218099935</v>
      </c>
      <c r="CE49" s="67">
        <f t="shared" si="27"/>
        <v>-144.67012694626968</v>
      </c>
      <c r="CF49" s="67">
        <f t="shared" si="28"/>
        <v>129.67012694626968</v>
      </c>
      <c r="CG49" s="67">
        <f t="shared" si="29"/>
        <v>114.67012694626968</v>
      </c>
      <c r="CH49" s="67">
        <f t="shared" si="30"/>
        <v>99.670126946269676</v>
      </c>
      <c r="CI49" s="67">
        <f t="shared" si="31"/>
        <v>84.670126946269676</v>
      </c>
      <c r="CJ49" s="67">
        <f t="shared" si="32"/>
        <v>2975021.7225282653</v>
      </c>
      <c r="CK49" s="67">
        <f t="shared" si="33"/>
        <v>2630876.7225282653</v>
      </c>
      <c r="CL49" s="67">
        <f t="shared" si="34"/>
        <v>2286731.7225282653</v>
      </c>
      <c r="CM49" s="67">
        <f t="shared" si="35"/>
        <v>1942586.7225282651</v>
      </c>
      <c r="CN49" s="299"/>
      <c r="CO49" s="430">
        <v>91917.4627102917</v>
      </c>
      <c r="CP49" s="430">
        <v>4991.6279378978834</v>
      </c>
      <c r="CQ49" s="430">
        <v>5949.5870000000004</v>
      </c>
      <c r="CR49" s="430">
        <v>40797671.221631736</v>
      </c>
      <c r="CS49" s="430">
        <v>14544789.321979843</v>
      </c>
      <c r="CT49" s="430">
        <v>11695176.007493628</v>
      </c>
      <c r="CU49" s="430">
        <v>3506657.3118092706</v>
      </c>
      <c r="CV49" s="430">
        <v>-4601470</v>
      </c>
      <c r="CW49" s="430">
        <v>250706.45778371341</v>
      </c>
      <c r="CX49" s="430">
        <v>463773.67</v>
      </c>
      <c r="CY49" s="430">
        <v>61592619.4265012</v>
      </c>
      <c r="CZ49" s="519"/>
      <c r="DA49" s="524">
        <v>92627.704870000001</v>
      </c>
      <c r="DB49" s="524">
        <v>4952.5943200497786</v>
      </c>
      <c r="DC49" s="520">
        <f t="shared" si="36"/>
        <v>-1</v>
      </c>
      <c r="DD49" s="440">
        <v>23090</v>
      </c>
      <c r="DE49" s="450">
        <v>63278152.259635463</v>
      </c>
      <c r="DF49" s="440">
        <v>37835030.265099585</v>
      </c>
      <c r="DG49" s="440">
        <v>5950673.7029999997</v>
      </c>
      <c r="DH49" s="440">
        <v>2988116.7152</v>
      </c>
      <c r="DI49" s="440">
        <v>14508158.379779331</v>
      </c>
      <c r="DJ49" s="440">
        <v>3504947.7263541585</v>
      </c>
      <c r="DK49" s="440">
        <v>4335426.4234630624</v>
      </c>
      <c r="DL49" s="440">
        <v>-4608213</v>
      </c>
      <c r="DM49" s="440">
        <v>121900</v>
      </c>
      <c r="DN49" s="440">
        <v>248459.07776666185</v>
      </c>
      <c r="DO49" s="457">
        <f t="shared" si="37"/>
        <v>1606347.0310273319</v>
      </c>
      <c r="DP49" s="459">
        <f t="shared" si="38"/>
        <v>69.568948940118318</v>
      </c>
      <c r="DQ49" s="440"/>
      <c r="DR49" s="450">
        <v>146249900</v>
      </c>
      <c r="DS49" s="440">
        <v>92391968.448276848</v>
      </c>
      <c r="DT49" s="440">
        <v>4482175.0728000002</v>
      </c>
      <c r="DU49" s="440">
        <v>40761119.191631727</v>
      </c>
      <c r="DV49" s="440">
        <v>11689474.308975747</v>
      </c>
      <c r="DW49" s="440">
        <v>1464360.7029999997</v>
      </c>
      <c r="DX49" s="457">
        <f t="shared" si="39"/>
        <v>4539197.7246843278</v>
      </c>
      <c r="DY49" s="459">
        <f t="shared" si="40"/>
        <v>196.58716867407225</v>
      </c>
      <c r="DZ49" s="440"/>
      <c r="EA49" s="457">
        <f t="shared" si="41"/>
        <v>-2932850.6936569959</v>
      </c>
      <c r="EB49" s="459">
        <f t="shared" si="42"/>
        <v>-127.01821973395391</v>
      </c>
      <c r="ED49" s="457">
        <v>3029037.0495852567</v>
      </c>
      <c r="EE49" s="458">
        <v>2652768.0689557111</v>
      </c>
      <c r="EF49" s="458">
        <v>2281280.7564922124</v>
      </c>
      <c r="EG49" s="458">
        <v>1907448.138166805</v>
      </c>
      <c r="EH49" s="459">
        <v>1538557.6996366086</v>
      </c>
    </row>
    <row r="50" spans="1:138" x14ac:dyDescent="0.2">
      <c r="A50" s="67">
        <v>102</v>
      </c>
      <c r="B50" s="67" t="s">
        <v>172</v>
      </c>
      <c r="C50" s="67">
        <v>4</v>
      </c>
      <c r="D50" s="67">
        <v>9745</v>
      </c>
      <c r="E50" s="82">
        <v>22956358.167613618</v>
      </c>
      <c r="F50" s="67">
        <v>13058806.740686424</v>
      </c>
      <c r="G50" s="67">
        <v>2891765</v>
      </c>
      <c r="H50" s="67">
        <v>2265402.7049537045</v>
      </c>
      <c r="I50" s="67">
        <v>5199289.9701595856</v>
      </c>
      <c r="J50" s="67">
        <v>1974437.7044169232</v>
      </c>
      <c r="K50" s="67">
        <v>176890.06218985343</v>
      </c>
      <c r="L50" s="67">
        <v>802061</v>
      </c>
      <c r="M50" s="68">
        <v>-28313.18</v>
      </c>
      <c r="N50" s="68">
        <v>86342.425544880723</v>
      </c>
      <c r="O50" s="68">
        <v>-283612.3057122805</v>
      </c>
      <c r="P50" s="168">
        <f t="shared" si="8"/>
        <v>3186711.9546254748</v>
      </c>
      <c r="Q50" s="169">
        <f t="shared" si="9"/>
        <v>327.00994916628781</v>
      </c>
      <c r="R50" s="67"/>
      <c r="S50" s="82">
        <v>64166853.82</v>
      </c>
      <c r="T50" s="67">
        <v>31344239.109681949</v>
      </c>
      <c r="U50" s="67">
        <v>3404792.1436236086</v>
      </c>
      <c r="V50" s="67">
        <v>22388228.806839142</v>
      </c>
      <c r="W50" s="67">
        <v>6585016.5601364458</v>
      </c>
      <c r="X50" s="67">
        <v>3665512.82</v>
      </c>
      <c r="Y50" s="168">
        <f t="shared" si="10"/>
        <v>3220935.6202811524</v>
      </c>
      <c r="Z50" s="169">
        <f t="shared" si="11"/>
        <v>330.52186970560825</v>
      </c>
      <c r="AA50" s="67"/>
      <c r="AB50" s="77">
        <f t="shared" si="12"/>
        <v>-34223.665655677672</v>
      </c>
      <c r="AC50" s="123">
        <f t="shared" si="13"/>
        <v>-3.5119205393204385</v>
      </c>
      <c r="AE50" s="170"/>
      <c r="AF50" s="177">
        <v>11188.497651055848</v>
      </c>
      <c r="AG50" s="177">
        <v>-14204.307982526041</v>
      </c>
      <c r="AH50" s="177">
        <v>-29045.924575366913</v>
      </c>
      <c r="AI50" s="178">
        <v>-45880.082467395223</v>
      </c>
      <c r="AK50" s="67">
        <f t="shared" si="14"/>
        <v>18285432.368995525</v>
      </c>
      <c r="AL50" s="67">
        <f t="shared" si="15"/>
        <v>1139389.4386699041</v>
      </c>
      <c r="AM50" s="67">
        <f t="shared" si="16"/>
        <v>17188938.836679555</v>
      </c>
      <c r="AN50" s="67">
        <f t="shared" si="17"/>
        <v>41210495.652386382</v>
      </c>
      <c r="AO50" s="67">
        <f t="shared" si="18"/>
        <v>0</v>
      </c>
      <c r="AP50" s="67">
        <f t="shared" si="19"/>
        <v>11188.497651055848</v>
      </c>
      <c r="AQ50" s="67">
        <f t="shared" si="20"/>
        <v>-14204.307982526041</v>
      </c>
      <c r="AR50" s="67">
        <f t="shared" si="21"/>
        <v>-29045.924575366913</v>
      </c>
      <c r="AS50" s="67">
        <f t="shared" si="22"/>
        <v>-45880.082467395223</v>
      </c>
      <c r="AT50" s="68">
        <v>3831</v>
      </c>
      <c r="AU50" s="68"/>
      <c r="AV50" s="68"/>
      <c r="AW50" s="68">
        <v>14</v>
      </c>
      <c r="AX50" s="68">
        <v>13950.767352377667</v>
      </c>
      <c r="AY50" s="68">
        <v>-3321.8745267728073</v>
      </c>
      <c r="AZ50" s="68">
        <v>4621.4757461759</v>
      </c>
      <c r="BA50" s="299"/>
      <c r="BB50" s="67"/>
      <c r="BC50" s="67"/>
      <c r="BD50" s="67"/>
      <c r="BE50" s="67"/>
      <c r="BF50" s="67"/>
      <c r="BG50" s="67"/>
      <c r="BH50" s="67"/>
      <c r="BN50" s="299"/>
      <c r="BO50" s="67">
        <v>26188893.210917786</v>
      </c>
      <c r="BP50" s="67">
        <v>36966321.560000002</v>
      </c>
      <c r="BQ50" s="67">
        <v>40419000</v>
      </c>
      <c r="BR50" s="67">
        <v>1147856.8700000001</v>
      </c>
      <c r="BS50" s="67">
        <v>1179000</v>
      </c>
      <c r="BT50" s="428">
        <v>0.58337458137075404</v>
      </c>
      <c r="BU50" s="428">
        <v>0.33464287704132484</v>
      </c>
      <c r="BV50" s="67">
        <f t="shared" si="23"/>
        <v>21976407.754588932</v>
      </c>
      <c r="BW50" s="299"/>
      <c r="BX50" s="67">
        <v>66079426</v>
      </c>
      <c r="BY50" s="67">
        <v>26188893.210917786</v>
      </c>
      <c r="BZ50" s="67">
        <v>38311776.449421689</v>
      </c>
      <c r="CA50" s="67">
        <v>18476253.590625606</v>
      </c>
      <c r="CB50" s="67">
        <f t="shared" si="24"/>
        <v>1049122.4369490293</v>
      </c>
      <c r="CC50" s="67">
        <f t="shared" si="25"/>
        <v>330.52186970560751</v>
      </c>
      <c r="CD50" s="67">
        <f t="shared" si="26"/>
        <v>445.61894664924876</v>
      </c>
      <c r="CE50" s="67">
        <f t="shared" si="27"/>
        <v>115.09707694364124</v>
      </c>
      <c r="CF50" s="67">
        <f t="shared" si="28"/>
        <v>-100.09707694364124</v>
      </c>
      <c r="CG50" s="67">
        <f t="shared" si="29"/>
        <v>-85.097076943641241</v>
      </c>
      <c r="CH50" s="67">
        <f t="shared" si="30"/>
        <v>-70.097076943641241</v>
      </c>
      <c r="CI50" s="67">
        <f t="shared" si="31"/>
        <v>-55.097076943641241</v>
      </c>
      <c r="CJ50" s="67">
        <f t="shared" si="32"/>
        <v>-975446.01481578394</v>
      </c>
      <c r="CK50" s="67">
        <f t="shared" si="33"/>
        <v>-829271.01481578394</v>
      </c>
      <c r="CL50" s="67">
        <f t="shared" si="34"/>
        <v>-683096.01481578394</v>
      </c>
      <c r="CM50" s="67">
        <f t="shared" si="35"/>
        <v>-536921.01481578394</v>
      </c>
      <c r="CN50" s="299"/>
      <c r="CO50" s="430">
        <v>31344.239109681948</v>
      </c>
      <c r="CP50" s="430">
        <v>3404.7921436236088</v>
      </c>
      <c r="CQ50" s="430">
        <v>2891.7649999999999</v>
      </c>
      <c r="CR50" s="430">
        <v>22388228.806839142</v>
      </c>
      <c r="CS50" s="430">
        <v>5199289.9701595856</v>
      </c>
      <c r="CT50" s="430">
        <v>6585016.5601364458</v>
      </c>
      <c r="CU50" s="430">
        <v>1974437.7044169232</v>
      </c>
      <c r="CV50" s="430">
        <v>802061</v>
      </c>
      <c r="CW50" s="430">
        <v>86342.425544880723</v>
      </c>
      <c r="CX50" s="430">
        <v>-28313.18</v>
      </c>
      <c r="CY50" s="430">
        <v>22956358.167613618</v>
      </c>
      <c r="CZ50" s="519"/>
      <c r="DA50" s="524">
        <v>32059.299309999999</v>
      </c>
      <c r="DB50" s="524">
        <v>3375.9345986529688</v>
      </c>
      <c r="DC50" s="520">
        <f t="shared" si="36"/>
        <v>-1</v>
      </c>
      <c r="DD50" s="440">
        <v>9870</v>
      </c>
      <c r="DE50" s="450">
        <v>26188893.210917786</v>
      </c>
      <c r="DF50" s="440">
        <v>13594184.715925606</v>
      </c>
      <c r="DG50" s="440">
        <v>2843872.8306999998</v>
      </c>
      <c r="DH50" s="440">
        <v>2038196.044</v>
      </c>
      <c r="DI50" s="440">
        <v>5183689.3584620189</v>
      </c>
      <c r="DJ50" s="440">
        <v>1979104.1968577383</v>
      </c>
      <c r="DK50" s="440">
        <v>1048170.5654000834</v>
      </c>
      <c r="DL50" s="440">
        <v>811647</v>
      </c>
      <c r="DM50" s="440">
        <v>-162742</v>
      </c>
      <c r="DN50" s="440">
        <v>87925.568155253917</v>
      </c>
      <c r="DO50" s="457">
        <f t="shared" si="37"/>
        <v>1235155.0685829148</v>
      </c>
      <c r="DP50" s="459">
        <f t="shared" si="38"/>
        <v>125.14235750586776</v>
      </c>
      <c r="DQ50" s="440"/>
      <c r="DR50" s="450">
        <v>66079426</v>
      </c>
      <c r="DS50" s="440">
        <v>32410609.552721683</v>
      </c>
      <c r="DT50" s="440">
        <v>3057294.0660000001</v>
      </c>
      <c r="DU50" s="440">
        <v>22372678.126839135</v>
      </c>
      <c r="DV50" s="440">
        <v>6600579.9430336384</v>
      </c>
      <c r="DW50" s="440">
        <v>3492777.8306999998</v>
      </c>
      <c r="DX50" s="457">
        <f t="shared" si="39"/>
        <v>1854513.5192944556</v>
      </c>
      <c r="DY50" s="459">
        <f t="shared" si="40"/>
        <v>187.89397358606439</v>
      </c>
      <c r="DZ50" s="440"/>
      <c r="EA50" s="457">
        <f t="shared" si="41"/>
        <v>-619358.45071154088</v>
      </c>
      <c r="EB50" s="459">
        <f t="shared" si="42"/>
        <v>-62.751616080196641</v>
      </c>
      <c r="ED50" s="457">
        <v>660474.05629889132</v>
      </c>
      <c r="EE50" s="458">
        <v>499634.95544078742</v>
      </c>
      <c r="EF50" s="458">
        <v>340839.81581260503</v>
      </c>
      <c r="EG50" s="458">
        <v>181042.15696151063</v>
      </c>
      <c r="EH50" s="459">
        <v>23357.071284029367</v>
      </c>
    </row>
    <row r="51" spans="1:138" x14ac:dyDescent="0.2">
      <c r="A51" s="67">
        <v>103</v>
      </c>
      <c r="B51" s="67" t="s">
        <v>173</v>
      </c>
      <c r="C51" s="67">
        <v>5</v>
      </c>
      <c r="D51" s="67">
        <v>2161</v>
      </c>
      <c r="E51" s="82">
        <v>5767785.9306433909</v>
      </c>
      <c r="F51" s="67">
        <v>3057211.1431030557</v>
      </c>
      <c r="G51" s="67">
        <v>632470</v>
      </c>
      <c r="H51" s="67">
        <v>387839.19656594383</v>
      </c>
      <c r="I51" s="67">
        <v>1258880.2484517442</v>
      </c>
      <c r="J51" s="67">
        <v>479368.37348020053</v>
      </c>
      <c r="K51" s="67">
        <v>140608.59465049388</v>
      </c>
      <c r="L51" s="67">
        <v>-578616</v>
      </c>
      <c r="M51" s="68">
        <v>-32699.280000000002</v>
      </c>
      <c r="N51" s="68">
        <v>17842.62926060153</v>
      </c>
      <c r="O51" s="68">
        <v>-62892.374822394886</v>
      </c>
      <c r="P51" s="168">
        <f t="shared" si="8"/>
        <v>-467773.39995374618</v>
      </c>
      <c r="Q51" s="169">
        <f t="shared" si="9"/>
        <v>-216.46154555934575</v>
      </c>
      <c r="R51" s="67"/>
      <c r="S51" s="82">
        <v>14493050.200000001</v>
      </c>
      <c r="T51" s="67">
        <v>6876278.5451086257</v>
      </c>
      <c r="U51" s="67">
        <v>582903.80185804702</v>
      </c>
      <c r="V51" s="67">
        <v>5016820.8183360714</v>
      </c>
      <c r="W51" s="67">
        <v>1598758.305066399</v>
      </c>
      <c r="X51" s="67">
        <v>21154.719999999998</v>
      </c>
      <c r="Y51" s="168">
        <f t="shared" si="10"/>
        <v>-397134.00963085704</v>
      </c>
      <c r="Z51" s="169">
        <f t="shared" si="11"/>
        <v>-183.77325758022076</v>
      </c>
      <c r="AA51" s="67"/>
      <c r="AB51" s="77">
        <f t="shared" si="12"/>
        <v>-70639.390322889143</v>
      </c>
      <c r="AC51" s="123">
        <f t="shared" si="13"/>
        <v>-32.688287979125008</v>
      </c>
      <c r="AE51" s="170"/>
      <c r="AF51" s="177">
        <v>40705.492777884727</v>
      </c>
      <c r="AG51" s="177">
        <v>2659.5176137830895</v>
      </c>
      <c r="AH51" s="177">
        <v>-6441.0716272311847</v>
      </c>
      <c r="AI51" s="178">
        <v>-10174.126035099136</v>
      </c>
      <c r="AK51" s="67">
        <f t="shared" si="14"/>
        <v>3819067.40200557</v>
      </c>
      <c r="AL51" s="67">
        <f t="shared" si="15"/>
        <v>195064.6052921032</v>
      </c>
      <c r="AM51" s="67">
        <f t="shared" si="16"/>
        <v>3757940.5698843272</v>
      </c>
      <c r="AN51" s="67">
        <f t="shared" si="17"/>
        <v>8725264.2693566103</v>
      </c>
      <c r="AO51" s="67">
        <f t="shared" si="18"/>
        <v>0</v>
      </c>
      <c r="AP51" s="67">
        <f t="shared" si="19"/>
        <v>40705.492777884727</v>
      </c>
      <c r="AQ51" s="67">
        <f t="shared" si="20"/>
        <v>2659.5176137830895</v>
      </c>
      <c r="AR51" s="67">
        <f t="shared" si="21"/>
        <v>-6441.0716272311847</v>
      </c>
      <c r="AS51" s="67">
        <f t="shared" si="22"/>
        <v>-10174.126035099136</v>
      </c>
      <c r="AT51" s="68">
        <v>338</v>
      </c>
      <c r="AU51" s="68"/>
      <c r="AV51" s="68"/>
      <c r="AW51" s="68">
        <v>0</v>
      </c>
      <c r="AX51" s="68">
        <v>2929.1336228113987</v>
      </c>
      <c r="AY51" s="68">
        <v>-851.90661985037366</v>
      </c>
      <c r="AZ51" s="68">
        <v>1122.3936615210125</v>
      </c>
      <c r="BA51" s="299"/>
      <c r="BB51" s="67"/>
      <c r="BC51" s="67"/>
      <c r="BD51" s="67"/>
      <c r="BE51" s="67"/>
      <c r="BF51" s="67"/>
      <c r="BG51" s="67"/>
      <c r="BH51" s="67"/>
      <c r="BN51" s="299"/>
      <c r="BO51" s="67">
        <v>5228430.2649219092</v>
      </c>
      <c r="BP51" s="67">
        <v>8106752</v>
      </c>
      <c r="BQ51" s="67">
        <v>8425000</v>
      </c>
      <c r="BR51" s="67">
        <v>197647.31</v>
      </c>
      <c r="BS51" s="67">
        <v>148000</v>
      </c>
      <c r="BT51" s="428">
        <v>0.55539742564998718</v>
      </c>
      <c r="BU51" s="428">
        <v>0.33464287704132484</v>
      </c>
      <c r="BV51" s="67">
        <f t="shared" si="23"/>
        <v>5017939.0961210197</v>
      </c>
      <c r="BW51" s="299"/>
      <c r="BX51" s="67">
        <v>13828420</v>
      </c>
      <c r="BY51" s="67">
        <v>5228430.2649219092</v>
      </c>
      <c r="BZ51" s="67">
        <v>8163926.8029624457</v>
      </c>
      <c r="CA51" s="67">
        <v>4106516.1760111419</v>
      </c>
      <c r="CB51" s="67">
        <f t="shared" si="24"/>
        <v>205244.76932497157</v>
      </c>
      <c r="CC51" s="67">
        <f t="shared" si="25"/>
        <v>-183.77325758022118</v>
      </c>
      <c r="CD51" s="67">
        <f t="shared" si="26"/>
        <v>-157.44787156727145</v>
      </c>
      <c r="CE51" s="67">
        <f t="shared" si="27"/>
        <v>26.325386012949735</v>
      </c>
      <c r="CF51" s="67">
        <f t="shared" si="28"/>
        <v>-11.325386012949735</v>
      </c>
      <c r="CG51" s="67">
        <f t="shared" si="29"/>
        <v>0</v>
      </c>
      <c r="CH51" s="67">
        <f t="shared" si="30"/>
        <v>0</v>
      </c>
      <c r="CI51" s="67">
        <f t="shared" si="31"/>
        <v>0</v>
      </c>
      <c r="CJ51" s="67">
        <f t="shared" si="32"/>
        <v>-24474.159173984379</v>
      </c>
      <c r="CK51" s="67">
        <f t="shared" si="33"/>
        <v>0</v>
      </c>
      <c r="CL51" s="67">
        <f t="shared" si="34"/>
        <v>0</v>
      </c>
      <c r="CM51" s="67">
        <f t="shared" si="35"/>
        <v>0</v>
      </c>
      <c r="CN51" s="299"/>
      <c r="CO51" s="430">
        <v>6876.2785451086256</v>
      </c>
      <c r="CP51" s="430">
        <v>582.90380185804702</v>
      </c>
      <c r="CQ51" s="430">
        <v>632.47</v>
      </c>
      <c r="CR51" s="430">
        <v>5016820.8183360714</v>
      </c>
      <c r="CS51" s="430">
        <v>1258880.2484517442</v>
      </c>
      <c r="CT51" s="430">
        <v>1598758.305066399</v>
      </c>
      <c r="CU51" s="430">
        <v>479368.37348020053</v>
      </c>
      <c r="CV51" s="430">
        <v>-578616</v>
      </c>
      <c r="CW51" s="430">
        <v>17842.62926060153</v>
      </c>
      <c r="CX51" s="430">
        <v>-32699.280000000002</v>
      </c>
      <c r="CY51" s="430">
        <v>5767785.9306433909</v>
      </c>
      <c r="CZ51" s="519"/>
      <c r="DA51" s="524">
        <v>6983.3528200000001</v>
      </c>
      <c r="DB51" s="524">
        <v>578.34545281811859</v>
      </c>
      <c r="DC51" s="520">
        <f t="shared" si="36"/>
        <v>-1</v>
      </c>
      <c r="DD51" s="440">
        <v>2166</v>
      </c>
      <c r="DE51" s="450">
        <v>5228430.2649219092</v>
      </c>
      <c r="DF51" s="440">
        <v>3168320.7373111416</v>
      </c>
      <c r="DG51" s="440">
        <v>589254.2485000001</v>
      </c>
      <c r="DH51" s="440">
        <v>348941.19020000001</v>
      </c>
      <c r="DI51" s="440">
        <v>1255462.6170162491</v>
      </c>
      <c r="DJ51" s="440">
        <v>480654.69301247154</v>
      </c>
      <c r="DK51" s="440">
        <v>205163.71927565767</v>
      </c>
      <c r="DL51" s="440">
        <v>-578616</v>
      </c>
      <c r="DM51" s="440">
        <v>-15650</v>
      </c>
      <c r="DN51" s="440">
        <v>17985.416222878008</v>
      </c>
      <c r="DO51" s="457">
        <f t="shared" si="37"/>
        <v>243086.35661648959</v>
      </c>
      <c r="DP51" s="459">
        <f t="shared" si="38"/>
        <v>112.22823481832391</v>
      </c>
      <c r="DQ51" s="440"/>
      <c r="DR51" s="450">
        <v>13828420</v>
      </c>
      <c r="DS51" s="440">
        <v>7051260.7691624463</v>
      </c>
      <c r="DT51" s="440">
        <v>523411.78530000005</v>
      </c>
      <c r="DU51" s="440">
        <v>5013412.75833607</v>
      </c>
      <c r="DV51" s="440">
        <v>1603048.354533484</v>
      </c>
      <c r="DW51" s="440">
        <v>-5011.7514999998966</v>
      </c>
      <c r="DX51" s="457">
        <f t="shared" si="39"/>
        <v>357701.91583199985</v>
      </c>
      <c r="DY51" s="459">
        <f t="shared" si="40"/>
        <v>165.14400546260381</v>
      </c>
      <c r="DZ51" s="440"/>
      <c r="EA51" s="457">
        <f t="shared" si="41"/>
        <v>-114615.55921551026</v>
      </c>
      <c r="EB51" s="459">
        <f t="shared" si="42"/>
        <v>-52.915770644279903</v>
      </c>
      <c r="ED51" s="457">
        <v>123638.49758452937</v>
      </c>
      <c r="EE51" s="458">
        <v>88341.892472203821</v>
      </c>
      <c r="EF51" s="458">
        <v>53493.84055380027</v>
      </c>
      <c r="EG51" s="458">
        <v>18425.782897116333</v>
      </c>
      <c r="EH51" s="459">
        <v>-834.22369199408877</v>
      </c>
    </row>
    <row r="52" spans="1:138" x14ac:dyDescent="0.2">
      <c r="A52" s="67">
        <v>105</v>
      </c>
      <c r="B52" s="67" t="s">
        <v>174</v>
      </c>
      <c r="C52" s="67">
        <v>18</v>
      </c>
      <c r="D52" s="67">
        <v>2094</v>
      </c>
      <c r="E52" s="82">
        <v>6753740.3824677505</v>
      </c>
      <c r="F52" s="67">
        <v>2668939.6430721669</v>
      </c>
      <c r="G52" s="67">
        <v>1182993</v>
      </c>
      <c r="H52" s="67">
        <v>720432.40718806826</v>
      </c>
      <c r="I52" s="67">
        <v>1804080.1125392155</v>
      </c>
      <c r="J52" s="67">
        <v>495886.98967692931</v>
      </c>
      <c r="K52" s="67">
        <v>461220.61616931518</v>
      </c>
      <c r="L52" s="67">
        <v>-466465</v>
      </c>
      <c r="M52" s="68">
        <v>1285.06</v>
      </c>
      <c r="N52" s="68">
        <v>16986.056003286038</v>
      </c>
      <c r="O52" s="68">
        <v>-60942.449272602913</v>
      </c>
      <c r="P52" s="168">
        <f t="shared" si="8"/>
        <v>70676.0529086272</v>
      </c>
      <c r="Q52" s="169">
        <f t="shared" si="9"/>
        <v>33.75169670899102</v>
      </c>
      <c r="R52" s="67"/>
      <c r="S52" s="82">
        <v>20121136.59</v>
      </c>
      <c r="T52" s="67">
        <v>6128021.6140054204</v>
      </c>
      <c r="U52" s="67">
        <v>1082775.5235932355</v>
      </c>
      <c r="V52" s="67">
        <v>11034692.761433534</v>
      </c>
      <c r="W52" s="67">
        <v>1653850.1223279219</v>
      </c>
      <c r="X52" s="67">
        <v>717813.06</v>
      </c>
      <c r="Y52" s="168">
        <f t="shared" si="10"/>
        <v>496016.49136011302</v>
      </c>
      <c r="Z52" s="169">
        <f t="shared" si="11"/>
        <v>236.87511526270919</v>
      </c>
      <c r="AA52" s="67"/>
      <c r="AB52" s="77">
        <f t="shared" si="12"/>
        <v>-425340.43845148582</v>
      </c>
      <c r="AC52" s="123">
        <f t="shared" si="13"/>
        <v>-203.12341855371815</v>
      </c>
      <c r="AE52" s="170"/>
      <c r="AF52" s="177">
        <v>396334.61639723339</v>
      </c>
      <c r="AG52" s="177">
        <v>359468.22491475829</v>
      </c>
      <c r="AH52" s="177">
        <v>324869.06687007804</v>
      </c>
      <c r="AI52" s="178">
        <v>289841.75269604957</v>
      </c>
      <c r="AK52" s="67">
        <f t="shared" si="14"/>
        <v>3459081.9709332534</v>
      </c>
      <c r="AL52" s="67">
        <f t="shared" si="15"/>
        <v>362343.11640516727</v>
      </c>
      <c r="AM52" s="67">
        <f t="shared" si="16"/>
        <v>9230612.6488943193</v>
      </c>
      <c r="AN52" s="67">
        <f t="shared" si="17"/>
        <v>13367396.207532249</v>
      </c>
      <c r="AO52" s="67">
        <f t="shared" si="18"/>
        <v>0</v>
      </c>
      <c r="AP52" s="67">
        <f t="shared" si="19"/>
        <v>396334.61639723339</v>
      </c>
      <c r="AQ52" s="67">
        <f t="shared" si="20"/>
        <v>359468.22491475829</v>
      </c>
      <c r="AR52" s="67">
        <f t="shared" si="21"/>
        <v>324869.06687007804</v>
      </c>
      <c r="AS52" s="67">
        <f t="shared" si="22"/>
        <v>289841.75269604957</v>
      </c>
      <c r="AT52" s="68">
        <v>482</v>
      </c>
      <c r="AU52" s="68"/>
      <c r="AV52" s="68"/>
      <c r="AW52" s="68">
        <v>0</v>
      </c>
      <c r="AX52" s="68">
        <v>8000.6442532197761</v>
      </c>
      <c r="AY52" s="68">
        <v>-1112.1083680026038</v>
      </c>
      <c r="AZ52" s="68">
        <v>1159.098256025517</v>
      </c>
      <c r="BA52" s="299"/>
      <c r="BB52" s="67"/>
      <c r="BC52" s="67"/>
      <c r="BD52" s="67"/>
      <c r="BE52" s="67"/>
      <c r="BF52" s="67"/>
      <c r="BG52" s="67"/>
      <c r="BH52" s="67"/>
      <c r="BN52" s="299"/>
      <c r="BO52" s="67">
        <v>6282076.4005325958</v>
      </c>
      <c r="BP52" s="67">
        <v>12728564.75</v>
      </c>
      <c r="BQ52" s="67">
        <v>12532000</v>
      </c>
      <c r="BR52" s="67">
        <v>307997.19</v>
      </c>
      <c r="BS52" s="67">
        <v>288000</v>
      </c>
      <c r="BT52" s="428">
        <v>0.56446961006593377</v>
      </c>
      <c r="BU52" s="428">
        <v>0.33464287704132484</v>
      </c>
      <c r="BV52" s="67">
        <f t="shared" si="23"/>
        <v>10849796.397714626</v>
      </c>
      <c r="BW52" s="299"/>
      <c r="BX52" s="67">
        <v>19940266</v>
      </c>
      <c r="BY52" s="67">
        <v>6282076.4005325958</v>
      </c>
      <c r="BZ52" s="67">
        <v>8657247.3284778688</v>
      </c>
      <c r="CA52" s="67">
        <v>4688059.2885354441</v>
      </c>
      <c r="CB52" s="67">
        <f t="shared" si="24"/>
        <v>338972.86707562651</v>
      </c>
      <c r="CC52" s="67">
        <f t="shared" si="25"/>
        <v>236.87511526270896</v>
      </c>
      <c r="CD52" s="67">
        <f t="shared" si="26"/>
        <v>4.4750492299627336</v>
      </c>
      <c r="CE52" s="67">
        <f t="shared" si="27"/>
        <v>-232.40006603274622</v>
      </c>
      <c r="CF52" s="67">
        <f t="shared" si="28"/>
        <v>217.40006603274622</v>
      </c>
      <c r="CG52" s="67">
        <f t="shared" si="29"/>
        <v>202.40006603274622</v>
      </c>
      <c r="CH52" s="67">
        <f t="shared" si="30"/>
        <v>187.40006603274622</v>
      </c>
      <c r="CI52" s="67">
        <f t="shared" si="31"/>
        <v>172.40006603274622</v>
      </c>
      <c r="CJ52" s="67">
        <f t="shared" si="32"/>
        <v>455235.7382725706</v>
      </c>
      <c r="CK52" s="67">
        <f t="shared" si="33"/>
        <v>423825.7382725706</v>
      </c>
      <c r="CL52" s="67">
        <f t="shared" si="34"/>
        <v>392415.7382725706</v>
      </c>
      <c r="CM52" s="67">
        <f t="shared" si="35"/>
        <v>361005.7382725706</v>
      </c>
      <c r="CN52" s="299"/>
      <c r="CO52" s="430">
        <v>6128.0216140054199</v>
      </c>
      <c r="CP52" s="430">
        <v>1082.7755235932354</v>
      </c>
      <c r="CQ52" s="430">
        <v>1182.9929999999999</v>
      </c>
      <c r="CR52" s="430">
        <v>11034692.761433534</v>
      </c>
      <c r="CS52" s="430">
        <v>1804080.1125392155</v>
      </c>
      <c r="CT52" s="430">
        <v>1653850.1223279219</v>
      </c>
      <c r="CU52" s="430">
        <v>495886.98967692931</v>
      </c>
      <c r="CV52" s="430">
        <v>-466465</v>
      </c>
      <c r="CW52" s="430">
        <v>16986.056003286038</v>
      </c>
      <c r="CX52" s="430">
        <v>1285.06</v>
      </c>
      <c r="CY52" s="430">
        <v>6753740.3824677505</v>
      </c>
      <c r="CZ52" s="519"/>
      <c r="DA52" s="524">
        <v>6201.0249400000002</v>
      </c>
      <c r="DB52" s="524">
        <v>1074.3075604817579</v>
      </c>
      <c r="DC52" s="520">
        <f t="shared" si="36"/>
        <v>-1</v>
      </c>
      <c r="DD52" s="440">
        <v>2139</v>
      </c>
      <c r="DE52" s="450">
        <v>6282076.4005325958</v>
      </c>
      <c r="DF52" s="440">
        <v>2864539.2633354431</v>
      </c>
      <c r="DG52" s="440">
        <v>1175342.7810000002</v>
      </c>
      <c r="DH52" s="440">
        <v>648177.24420000007</v>
      </c>
      <c r="DI52" s="440">
        <v>1800644.1719118452</v>
      </c>
      <c r="DJ52" s="440">
        <v>496373.09575166903</v>
      </c>
      <c r="DK52" s="440">
        <v>338605.69872906734</v>
      </c>
      <c r="DL52" s="440">
        <v>-466465</v>
      </c>
      <c r="DM52" s="440">
        <v>-10000</v>
      </c>
      <c r="DN52" s="440">
        <v>17594.349088318344</v>
      </c>
      <c r="DO52" s="457">
        <f t="shared" si="37"/>
        <v>582735.20348374732</v>
      </c>
      <c r="DP52" s="459">
        <f t="shared" si="38"/>
        <v>272.4334752144681</v>
      </c>
      <c r="DQ52" s="440"/>
      <c r="DR52" s="450">
        <v>19940266</v>
      </c>
      <c r="DS52" s="440">
        <v>6509638.6811778685</v>
      </c>
      <c r="DT52" s="440">
        <v>972265.86629999999</v>
      </c>
      <c r="DU52" s="440">
        <v>11031272.571433531</v>
      </c>
      <c r="DV52" s="440">
        <v>1655471.3517771859</v>
      </c>
      <c r="DW52" s="440">
        <v>698877.78100000019</v>
      </c>
      <c r="DX52" s="457">
        <f t="shared" si="39"/>
        <v>927260.25168858469</v>
      </c>
      <c r="DY52" s="459">
        <f t="shared" si="40"/>
        <v>433.5017539451074</v>
      </c>
      <c r="DZ52" s="440"/>
      <c r="EA52" s="457">
        <f t="shared" si="41"/>
        <v>-344525.04820483737</v>
      </c>
      <c r="EB52" s="459">
        <f t="shared" si="42"/>
        <v>-161.06827873063926</v>
      </c>
      <c r="ED52" s="457">
        <v>353435.51227285585</v>
      </c>
      <c r="EE52" s="458">
        <v>318578.89254281687</v>
      </c>
      <c r="EF52" s="458">
        <v>284165.23462339619</v>
      </c>
      <c r="EG52" s="458">
        <v>249534.31341949638</v>
      </c>
      <c r="EH52" s="459">
        <v>215361.2234231304</v>
      </c>
    </row>
    <row r="53" spans="1:138" x14ac:dyDescent="0.2">
      <c r="A53" s="67">
        <v>106</v>
      </c>
      <c r="B53" s="67" t="s">
        <v>175</v>
      </c>
      <c r="C53" s="67">
        <v>35</v>
      </c>
      <c r="D53" s="67">
        <v>46797</v>
      </c>
      <c r="E53" s="82">
        <v>107829206.15074152</v>
      </c>
      <c r="F53" s="67">
        <v>77030663.256666392</v>
      </c>
      <c r="G53" s="67">
        <v>14654460</v>
      </c>
      <c r="H53" s="67">
        <v>14459379.546139516</v>
      </c>
      <c r="I53" s="67">
        <v>10155253.91629112</v>
      </c>
      <c r="J53" s="67">
        <v>6461000.2160802279</v>
      </c>
      <c r="K53" s="67">
        <v>-915706.91602051258</v>
      </c>
      <c r="L53" s="67">
        <v>-1819232</v>
      </c>
      <c r="M53" s="68">
        <v>-53011.93</v>
      </c>
      <c r="N53" s="68">
        <v>589382.55002152431</v>
      </c>
      <c r="O53" s="68">
        <v>-1361950.2381136573</v>
      </c>
      <c r="P53" s="168">
        <f t="shared" si="8"/>
        <v>11371032.250323102</v>
      </c>
      <c r="Q53" s="169">
        <f t="shared" si="9"/>
        <v>242.98635062767062</v>
      </c>
      <c r="R53" s="67"/>
      <c r="S53" s="82">
        <v>296214765.10999995</v>
      </c>
      <c r="T53" s="67">
        <v>202354178.35954782</v>
      </c>
      <c r="U53" s="67">
        <v>21731757.348357983</v>
      </c>
      <c r="V53" s="67">
        <v>50857926.460328028</v>
      </c>
      <c r="W53" s="67">
        <v>21548308.828764878</v>
      </c>
      <c r="X53" s="67">
        <v>12782216.07</v>
      </c>
      <c r="Y53" s="168">
        <f t="shared" si="10"/>
        <v>13059621.956998765</v>
      </c>
      <c r="Z53" s="169">
        <f t="shared" si="11"/>
        <v>279.06964029742858</v>
      </c>
      <c r="AA53" s="67"/>
      <c r="AB53" s="77">
        <f t="shared" si="12"/>
        <v>-1688589.7066756636</v>
      </c>
      <c r="AC53" s="123">
        <f t="shared" si="13"/>
        <v>-36.083289669757967</v>
      </c>
      <c r="AE53" s="170"/>
      <c r="AF53" s="177">
        <v>1040363.6060677652</v>
      </c>
      <c r="AG53" s="177">
        <v>216468.41876815184</v>
      </c>
      <c r="AH53" s="177">
        <v>-139483.03051343717</v>
      </c>
      <c r="AI53" s="178">
        <v>-220323.26518488399</v>
      </c>
      <c r="AK53" s="67">
        <f t="shared" si="14"/>
        <v>125323515.10288143</v>
      </c>
      <c r="AL53" s="67">
        <f t="shared" si="15"/>
        <v>7272377.802218467</v>
      </c>
      <c r="AM53" s="67">
        <f t="shared" si="16"/>
        <v>40702672.54403691</v>
      </c>
      <c r="AN53" s="67">
        <f t="shared" si="17"/>
        <v>188385558.95925844</v>
      </c>
      <c r="AO53" s="67">
        <f t="shared" si="18"/>
        <v>0</v>
      </c>
      <c r="AP53" s="67">
        <f t="shared" si="19"/>
        <v>1040363.6060677652</v>
      </c>
      <c r="AQ53" s="67">
        <f t="shared" si="20"/>
        <v>216468.41876815184</v>
      </c>
      <c r="AR53" s="67">
        <f t="shared" si="21"/>
        <v>-139483.03051343717</v>
      </c>
      <c r="AS53" s="67">
        <f t="shared" si="22"/>
        <v>-220323.26518488399</v>
      </c>
      <c r="AT53" s="68">
        <v>21933</v>
      </c>
      <c r="AU53" s="68"/>
      <c r="AV53" s="68"/>
      <c r="AW53" s="68">
        <v>0</v>
      </c>
      <c r="AX53" s="68">
        <v>45470.608762349919</v>
      </c>
      <c r="AY53" s="68">
        <v>7066.997202335614</v>
      </c>
      <c r="AZ53" s="68">
        <v>14890.771503303535</v>
      </c>
      <c r="BA53" s="299"/>
      <c r="BB53" s="67"/>
      <c r="BC53" s="67"/>
      <c r="BD53" s="67"/>
      <c r="BE53" s="67"/>
      <c r="BF53" s="67"/>
      <c r="BG53" s="67"/>
      <c r="BH53" s="67"/>
      <c r="BN53" s="299"/>
      <c r="BO53" s="67">
        <v>112337075.10673136</v>
      </c>
      <c r="BP53" s="67">
        <v>168671903.75999996</v>
      </c>
      <c r="BQ53" s="67">
        <v>189545000</v>
      </c>
      <c r="BR53" s="67">
        <v>3486302.3899999997</v>
      </c>
      <c r="BS53" s="67">
        <v>2697000</v>
      </c>
      <c r="BT53" s="428">
        <v>0.61932753807635033</v>
      </c>
      <c r="BU53" s="428">
        <v>0.33464287704132478</v>
      </c>
      <c r="BV53" s="67">
        <f t="shared" si="23"/>
        <v>54874274.240701035</v>
      </c>
      <c r="BW53" s="299"/>
      <c r="BX53" s="67">
        <v>290882173.48000002</v>
      </c>
      <c r="BY53" s="67">
        <v>112337075.10673136</v>
      </c>
      <c r="BZ53" s="67">
        <v>233113789.65302029</v>
      </c>
      <c r="CA53" s="67">
        <v>104356380.96935751</v>
      </c>
      <c r="CB53" s="67">
        <f t="shared" si="24"/>
        <v>1738204.7489047754</v>
      </c>
      <c r="CC53" s="67">
        <f t="shared" si="25"/>
        <v>279.06964029742829</v>
      </c>
      <c r="CD53" s="67">
        <f t="shared" si="26"/>
        <v>328.80086658037987</v>
      </c>
      <c r="CE53" s="67">
        <f t="shared" si="27"/>
        <v>49.731226282951582</v>
      </c>
      <c r="CF53" s="67">
        <f t="shared" si="28"/>
        <v>-34.731226282951582</v>
      </c>
      <c r="CG53" s="67">
        <f t="shared" si="29"/>
        <v>-19.731226282951582</v>
      </c>
      <c r="CH53" s="67">
        <f t="shared" si="30"/>
        <v>-4.7312262829515817</v>
      </c>
      <c r="CI53" s="67">
        <f t="shared" si="31"/>
        <v>0</v>
      </c>
      <c r="CJ53" s="67">
        <f t="shared" si="32"/>
        <v>-1625317.1963632852</v>
      </c>
      <c r="CK53" s="67">
        <f t="shared" si="33"/>
        <v>-923362.19636328518</v>
      </c>
      <c r="CL53" s="67">
        <f t="shared" si="34"/>
        <v>-221407.19636328515</v>
      </c>
      <c r="CM53" s="67">
        <f t="shared" si="35"/>
        <v>0</v>
      </c>
      <c r="CN53" s="299"/>
      <c r="CO53" s="430">
        <v>202354.17835954783</v>
      </c>
      <c r="CP53" s="430">
        <v>21731.757348357984</v>
      </c>
      <c r="CQ53" s="430">
        <v>14654.46</v>
      </c>
      <c r="CR53" s="430">
        <v>50857926.460328028</v>
      </c>
      <c r="CS53" s="430">
        <v>10155253.91629112</v>
      </c>
      <c r="CT53" s="430">
        <v>21548308.828764878</v>
      </c>
      <c r="CU53" s="430">
        <v>6461000.2160802279</v>
      </c>
      <c r="CV53" s="430">
        <v>-1819232</v>
      </c>
      <c r="CW53" s="430">
        <v>589382.55002152431</v>
      </c>
      <c r="CX53" s="430">
        <v>-53011.93</v>
      </c>
      <c r="CY53" s="430">
        <v>107829206.15074152</v>
      </c>
      <c r="CZ53" s="519"/>
      <c r="DA53" s="524">
        <v>202099.91297</v>
      </c>
      <c r="DB53" s="524">
        <v>21561.816806499693</v>
      </c>
      <c r="DC53" s="520">
        <f t="shared" si="36"/>
        <v>-1</v>
      </c>
      <c r="DD53" s="440">
        <v>46880</v>
      </c>
      <c r="DE53" s="450">
        <v>112337075.10673136</v>
      </c>
      <c r="DF53" s="440">
        <v>76664960.919357508</v>
      </c>
      <c r="DG53" s="440">
        <v>14682231.827</v>
      </c>
      <c r="DH53" s="440">
        <v>13009188.222999999</v>
      </c>
      <c r="DI53" s="440">
        <v>10082029.642922226</v>
      </c>
      <c r="DJ53" s="440">
        <v>6376835.0187758319</v>
      </c>
      <c r="DK53" s="440">
        <v>1749488.2548557413</v>
      </c>
      <c r="DL53" s="440">
        <v>-2114194</v>
      </c>
      <c r="DM53" s="440">
        <v>-1062000</v>
      </c>
      <c r="DN53" s="440">
        <v>570747.15868601063</v>
      </c>
      <c r="DO53" s="457">
        <f t="shared" si="37"/>
        <v>7622211.9378659725</v>
      </c>
      <c r="DP53" s="459">
        <f t="shared" si="38"/>
        <v>162.5898450909977</v>
      </c>
      <c r="DQ53" s="440"/>
      <c r="DR53" s="450">
        <v>290882173.48000002</v>
      </c>
      <c r="DS53" s="440">
        <v>198917775.49152029</v>
      </c>
      <c r="DT53" s="440">
        <v>19513782.3345</v>
      </c>
      <c r="DU53" s="440">
        <v>50784902.950328007</v>
      </c>
      <c r="DV53" s="440">
        <v>21267606.522079367</v>
      </c>
      <c r="DW53" s="440">
        <v>11506037.827</v>
      </c>
      <c r="DX53" s="457">
        <f t="shared" si="39"/>
        <v>11107931.645427644</v>
      </c>
      <c r="DY53" s="459">
        <f t="shared" si="40"/>
        <v>236.94393441611868</v>
      </c>
      <c r="DZ53" s="440"/>
      <c r="EA53" s="457">
        <f t="shared" si="41"/>
        <v>-3485719.7075616717</v>
      </c>
      <c r="EB53" s="459">
        <f t="shared" si="42"/>
        <v>-74.354089325120981</v>
      </c>
      <c r="ED53" s="457">
        <v>3681008.4198144893</v>
      </c>
      <c r="EE53" s="458">
        <v>2917063.4301257445</v>
      </c>
      <c r="EF53" s="458">
        <v>2162826.7385584507</v>
      </c>
      <c r="EG53" s="458">
        <v>1403828.3346132324</v>
      </c>
      <c r="EH53" s="459">
        <v>654864.11814308842</v>
      </c>
    </row>
    <row r="54" spans="1:138" x14ac:dyDescent="0.2">
      <c r="A54" s="67">
        <v>108</v>
      </c>
      <c r="B54" s="67" t="s">
        <v>176</v>
      </c>
      <c r="C54" s="67">
        <v>6</v>
      </c>
      <c r="D54" s="67">
        <v>10257</v>
      </c>
      <c r="E54" s="82">
        <v>28558613.422894463</v>
      </c>
      <c r="F54" s="67">
        <v>16496801.584710617</v>
      </c>
      <c r="G54" s="67">
        <v>2246200</v>
      </c>
      <c r="H54" s="67">
        <v>2045862.9629852579</v>
      </c>
      <c r="I54" s="67">
        <v>7366367.8883408261</v>
      </c>
      <c r="J54" s="67">
        <v>1775454.7216311321</v>
      </c>
      <c r="K54" s="67">
        <v>1091735.9959059833</v>
      </c>
      <c r="L54" s="67">
        <v>-1083495</v>
      </c>
      <c r="M54" s="68">
        <v>-263009.33</v>
      </c>
      <c r="N54" s="68">
        <v>98475.221529288407</v>
      </c>
      <c r="O54" s="68">
        <v>-298513.22931666096</v>
      </c>
      <c r="P54" s="168">
        <f t="shared" si="8"/>
        <v>917267.39289197908</v>
      </c>
      <c r="Q54" s="169">
        <f t="shared" si="9"/>
        <v>89.428428672319299</v>
      </c>
      <c r="R54" s="67"/>
      <c r="S54" s="82">
        <v>67205835.569999993</v>
      </c>
      <c r="T54" s="67">
        <v>37622218.555366799</v>
      </c>
      <c r="U54" s="67">
        <v>3074834.3895197539</v>
      </c>
      <c r="V54" s="67">
        <v>20954612.435921509</v>
      </c>
      <c r="W54" s="67">
        <v>5921381.4229535628</v>
      </c>
      <c r="X54" s="67">
        <v>899695.66999999993</v>
      </c>
      <c r="Y54" s="168">
        <f t="shared" si="10"/>
        <v>1266906.9037616253</v>
      </c>
      <c r="Z54" s="169">
        <f t="shared" si="11"/>
        <v>123.51632092830509</v>
      </c>
      <c r="AA54" s="67"/>
      <c r="AB54" s="77">
        <f t="shared" si="12"/>
        <v>-349639.51086964621</v>
      </c>
      <c r="AC54" s="123">
        <f t="shared" si="13"/>
        <v>-34.087892255985786</v>
      </c>
      <c r="AE54" s="170"/>
      <c r="AF54" s="177">
        <v>207560.84954658744</v>
      </c>
      <c r="AG54" s="177">
        <v>26978.911898188333</v>
      </c>
      <c r="AH54" s="177">
        <v>-30571.990597181983</v>
      </c>
      <c r="AI54" s="178">
        <v>-48290.611171685254</v>
      </c>
      <c r="AK54" s="67">
        <f t="shared" si="14"/>
        <v>21125416.970656183</v>
      </c>
      <c r="AL54" s="67">
        <f t="shared" si="15"/>
        <v>1028971.426534496</v>
      </c>
      <c r="AM54" s="67">
        <f t="shared" si="16"/>
        <v>13588244.547580682</v>
      </c>
      <c r="AN54" s="67">
        <f t="shared" si="17"/>
        <v>38647222.14710553</v>
      </c>
      <c r="AO54" s="67">
        <f t="shared" si="18"/>
        <v>0</v>
      </c>
      <c r="AP54" s="67">
        <f t="shared" si="19"/>
        <v>207560.84954658744</v>
      </c>
      <c r="AQ54" s="67">
        <f t="shared" si="20"/>
        <v>26978.911898188333</v>
      </c>
      <c r="AR54" s="67">
        <f t="shared" si="21"/>
        <v>-30571.990597181983</v>
      </c>
      <c r="AS54" s="67">
        <f t="shared" si="22"/>
        <v>-48290.611171685254</v>
      </c>
      <c r="AT54" s="68">
        <v>5291</v>
      </c>
      <c r="AU54" s="68"/>
      <c r="AV54" s="68"/>
      <c r="AW54" s="68">
        <v>36</v>
      </c>
      <c r="AX54" s="68">
        <v>11218.927569692765</v>
      </c>
      <c r="AY54" s="68">
        <v>-2747.501464288945</v>
      </c>
      <c r="AZ54" s="68">
        <v>4151.9336887021727</v>
      </c>
      <c r="BA54" s="299"/>
      <c r="BB54" s="67"/>
      <c r="BC54" s="67"/>
      <c r="BD54" s="67"/>
      <c r="BE54" s="67"/>
      <c r="BF54" s="67"/>
      <c r="BG54" s="67"/>
      <c r="BH54" s="67"/>
      <c r="BN54" s="299"/>
      <c r="BO54" s="67">
        <v>28318463.422621377</v>
      </c>
      <c r="BP54" s="67">
        <v>36028907.240000002</v>
      </c>
      <c r="BQ54" s="67">
        <v>37128000</v>
      </c>
      <c r="BR54" s="67">
        <v>783768</v>
      </c>
      <c r="BS54" s="67">
        <v>815000</v>
      </c>
      <c r="BT54" s="428">
        <v>0.56151438649389929</v>
      </c>
      <c r="BU54" s="428">
        <v>0.33464287704132478</v>
      </c>
      <c r="BV54" s="67">
        <f t="shared" si="23"/>
        <v>18825907.244809099</v>
      </c>
      <c r="BW54" s="299"/>
      <c r="BX54" s="67">
        <v>66843171</v>
      </c>
      <c r="BY54" s="67">
        <v>28318463.422621377</v>
      </c>
      <c r="BZ54" s="67">
        <v>42134858.155377798</v>
      </c>
      <c r="CA54" s="67">
        <v>20574604.513965871</v>
      </c>
      <c r="CB54" s="67">
        <f t="shared" si="24"/>
        <v>630590.13544499374</v>
      </c>
      <c r="CC54" s="67">
        <f t="shared" si="25"/>
        <v>123.51632092830582</v>
      </c>
      <c r="CD54" s="67">
        <f t="shared" si="26"/>
        <v>73.572658842512595</v>
      </c>
      <c r="CE54" s="67">
        <f t="shared" si="27"/>
        <v>-49.943662085793221</v>
      </c>
      <c r="CF54" s="67">
        <f t="shared" si="28"/>
        <v>34.943662085793221</v>
      </c>
      <c r="CG54" s="67">
        <f t="shared" si="29"/>
        <v>19.943662085793221</v>
      </c>
      <c r="CH54" s="67">
        <f t="shared" si="30"/>
        <v>4.9436620857932212</v>
      </c>
      <c r="CI54" s="67">
        <f t="shared" si="31"/>
        <v>0</v>
      </c>
      <c r="CJ54" s="67">
        <f t="shared" si="32"/>
        <v>358417.14201398107</v>
      </c>
      <c r="CK54" s="67">
        <f t="shared" si="33"/>
        <v>204562.14201398107</v>
      </c>
      <c r="CL54" s="67">
        <f t="shared" si="34"/>
        <v>50707.142013981073</v>
      </c>
      <c r="CM54" s="67">
        <f t="shared" si="35"/>
        <v>0</v>
      </c>
      <c r="CN54" s="299"/>
      <c r="CO54" s="430">
        <v>37622.218555366802</v>
      </c>
      <c r="CP54" s="430">
        <v>3074.834389519754</v>
      </c>
      <c r="CQ54" s="430">
        <v>2246.1999999999998</v>
      </c>
      <c r="CR54" s="430">
        <v>20954612.435921509</v>
      </c>
      <c r="CS54" s="430">
        <v>7366367.8883408261</v>
      </c>
      <c r="CT54" s="430">
        <v>5921381.4229535628</v>
      </c>
      <c r="CU54" s="430">
        <v>1775454.7216311321</v>
      </c>
      <c r="CV54" s="430">
        <v>-1083495</v>
      </c>
      <c r="CW54" s="430">
        <v>98475.221529288407</v>
      </c>
      <c r="CX54" s="430">
        <v>-263009.33</v>
      </c>
      <c r="CY54" s="430">
        <v>28558613.422894463</v>
      </c>
      <c r="CZ54" s="519"/>
      <c r="DA54" s="524">
        <v>38456.471310000001</v>
      </c>
      <c r="DB54" s="524">
        <v>3050.7928731960983</v>
      </c>
      <c r="DC54" s="520">
        <f t="shared" si="36"/>
        <v>-1</v>
      </c>
      <c r="DD54" s="440">
        <v>10337</v>
      </c>
      <c r="DE54" s="450">
        <v>28318463.422621377</v>
      </c>
      <c r="DF54" s="440">
        <v>16491730.396465873</v>
      </c>
      <c r="DG54" s="440">
        <v>2242199.2614999996</v>
      </c>
      <c r="DH54" s="440">
        <v>1840674.8560000001</v>
      </c>
      <c r="DI54" s="440">
        <v>7350084.4754337315</v>
      </c>
      <c r="DJ54" s="440">
        <v>1778027.1583562582</v>
      </c>
      <c r="DK54" s="440">
        <v>632336.26354080834</v>
      </c>
      <c r="DL54" s="440">
        <v>-1291259</v>
      </c>
      <c r="DM54" s="440">
        <v>-300000</v>
      </c>
      <c r="DN54" s="440">
        <v>95570.838464279601</v>
      </c>
      <c r="DO54" s="457">
        <f t="shared" si="37"/>
        <v>520900.82713957131</v>
      </c>
      <c r="DP54" s="459">
        <f t="shared" si="38"/>
        <v>50.391876476692588</v>
      </c>
      <c r="DQ54" s="440"/>
      <c r="DR54" s="450">
        <v>66843171</v>
      </c>
      <c r="DS54" s="440">
        <v>37131646.609877795</v>
      </c>
      <c r="DT54" s="440">
        <v>2761012.284</v>
      </c>
      <c r="DU54" s="440">
        <v>20938367.965921495</v>
      </c>
      <c r="DV54" s="440">
        <v>5929960.8470584312</v>
      </c>
      <c r="DW54" s="440">
        <v>650940.26149999956</v>
      </c>
      <c r="DX54" s="457">
        <f t="shared" si="39"/>
        <v>568756.96835771203</v>
      </c>
      <c r="DY54" s="459">
        <f t="shared" si="40"/>
        <v>55.02147318929206</v>
      </c>
      <c r="DZ54" s="440"/>
      <c r="EA54" s="457">
        <f t="shared" si="41"/>
        <v>-47856.141218140721</v>
      </c>
      <c r="EB54" s="459">
        <f t="shared" si="42"/>
        <v>-4.6295967125994704</v>
      </c>
      <c r="ED54" s="457">
        <v>90917.135641304689</v>
      </c>
      <c r="EE54" s="458">
        <v>29666.776026976833</v>
      </c>
      <c r="EF54" s="458">
        <v>18413.229083053673</v>
      </c>
      <c r="EG54" s="458">
        <v>6109.7286226926717</v>
      </c>
      <c r="EH54" s="459">
        <v>-3981.2420610078002</v>
      </c>
    </row>
    <row r="55" spans="1:138" x14ac:dyDescent="0.2">
      <c r="A55" s="67">
        <v>109</v>
      </c>
      <c r="B55" s="67" t="s">
        <v>177</v>
      </c>
      <c r="C55" s="67">
        <v>5</v>
      </c>
      <c r="D55" s="67">
        <v>68043</v>
      </c>
      <c r="E55" s="82">
        <v>165056391.85773695</v>
      </c>
      <c r="F55" s="67">
        <v>110739555.97773445</v>
      </c>
      <c r="G55" s="67">
        <v>28863716</v>
      </c>
      <c r="H55" s="67">
        <v>15608473.279260576</v>
      </c>
      <c r="I55" s="67">
        <v>15971206.577255847</v>
      </c>
      <c r="J55" s="67">
        <v>10253299.304556016</v>
      </c>
      <c r="K55" s="67">
        <v>-6611610.9875822309</v>
      </c>
      <c r="L55" s="67">
        <v>-13709963</v>
      </c>
      <c r="M55" s="68">
        <v>-2855033.74</v>
      </c>
      <c r="N55" s="68">
        <v>757837.10718322324</v>
      </c>
      <c r="O55" s="68">
        <v>-1980280.360962617</v>
      </c>
      <c r="P55" s="168">
        <f t="shared" si="8"/>
        <v>-8019191.7002916811</v>
      </c>
      <c r="Q55" s="169">
        <f t="shared" si="9"/>
        <v>-117.85476390358569</v>
      </c>
      <c r="R55" s="67"/>
      <c r="S55" s="82">
        <v>452344713.56999999</v>
      </c>
      <c r="T55" s="67">
        <v>273383068.21826684</v>
      </c>
      <c r="U55" s="67">
        <v>23458790.385911305</v>
      </c>
      <c r="V55" s="67">
        <v>99223933.817556515</v>
      </c>
      <c r="W55" s="67">
        <v>34196138.76168143</v>
      </c>
      <c r="X55" s="67">
        <v>12298719.26</v>
      </c>
      <c r="Y55" s="168">
        <f t="shared" si="10"/>
        <v>-9784063.1265838742</v>
      </c>
      <c r="Z55" s="169">
        <f t="shared" si="11"/>
        <v>-143.79235375547631</v>
      </c>
      <c r="AA55" s="67"/>
      <c r="AB55" s="77">
        <f t="shared" si="12"/>
        <v>1764871.4262921931</v>
      </c>
      <c r="AC55" s="123">
        <f t="shared" si="13"/>
        <v>25.937589851890614</v>
      </c>
      <c r="AE55" s="170"/>
      <c r="AF55" s="177">
        <v>-666104.42057945731</v>
      </c>
      <c r="AG55" s="177">
        <v>-99179.448748591007</v>
      </c>
      <c r="AH55" s="177">
        <v>-202808.80922336486</v>
      </c>
      <c r="AI55" s="178">
        <v>-320350.79028516915</v>
      </c>
      <c r="AK55" s="67">
        <f t="shared" si="14"/>
        <v>162643512.2405324</v>
      </c>
      <c r="AL55" s="67">
        <f t="shared" si="15"/>
        <v>7850317.1066507287</v>
      </c>
      <c r="AM55" s="67">
        <f t="shared" si="16"/>
        <v>83252727.24030067</v>
      </c>
      <c r="AN55" s="67">
        <f t="shared" si="17"/>
        <v>287288321.71226305</v>
      </c>
      <c r="AO55" s="67">
        <f t="shared" si="18"/>
        <v>0</v>
      </c>
      <c r="AP55" s="67">
        <f t="shared" si="19"/>
        <v>-666104.42057945731</v>
      </c>
      <c r="AQ55" s="67">
        <f t="shared" si="20"/>
        <v>-99179.448748591007</v>
      </c>
      <c r="AR55" s="67">
        <f t="shared" si="21"/>
        <v>-202808.80922336486</v>
      </c>
      <c r="AS55" s="67">
        <f t="shared" si="22"/>
        <v>-320350.79028516915</v>
      </c>
      <c r="AT55" s="68">
        <v>22021</v>
      </c>
      <c r="AU55" s="68"/>
      <c r="AV55" s="68"/>
      <c r="AW55" s="68">
        <v>755</v>
      </c>
      <c r="AX55" s="68">
        <v>82067.678355447351</v>
      </c>
      <c r="AY55" s="68">
        <v>1457.8203472425546</v>
      </c>
      <c r="AZ55" s="68">
        <v>23851.720976826346</v>
      </c>
      <c r="BA55" s="299"/>
      <c r="BB55" s="67"/>
      <c r="BC55" s="67"/>
      <c r="BD55" s="67"/>
      <c r="BE55" s="67"/>
      <c r="BF55" s="67"/>
      <c r="BG55" s="67"/>
      <c r="BH55" s="67"/>
      <c r="BN55" s="299"/>
      <c r="BO55" s="67">
        <v>164281960.02496707</v>
      </c>
      <c r="BP55" s="67">
        <v>254386419.87000006</v>
      </c>
      <c r="BQ55" s="67">
        <v>290398000</v>
      </c>
      <c r="BR55" s="67">
        <v>4939575.7500000009</v>
      </c>
      <c r="BS55" s="67">
        <v>5983000</v>
      </c>
      <c r="BT55" s="428">
        <v>0.59492898847224551</v>
      </c>
      <c r="BU55" s="428">
        <v>0.33464287704132478</v>
      </c>
      <c r="BV55" s="67">
        <f t="shared" si="23"/>
        <v>100583955.70984384</v>
      </c>
      <c r="BW55" s="299"/>
      <c r="BX55" s="67">
        <v>435381000</v>
      </c>
      <c r="BY55" s="67">
        <v>164281960.02496707</v>
      </c>
      <c r="BZ55" s="67">
        <v>318867175.54088122</v>
      </c>
      <c r="CA55" s="67">
        <v>153226853.36220759</v>
      </c>
      <c r="CB55" s="67">
        <f t="shared" si="24"/>
        <v>-1070697.8509570984</v>
      </c>
      <c r="CC55" s="67">
        <f t="shared" si="25"/>
        <v>-143.79235375547648</v>
      </c>
      <c r="CD55" s="67">
        <f t="shared" si="26"/>
        <v>-7.3188748688907816</v>
      </c>
      <c r="CE55" s="67">
        <f t="shared" si="27"/>
        <v>136.4734788865857</v>
      </c>
      <c r="CF55" s="67">
        <f t="shared" si="28"/>
        <v>-121.4734788865857</v>
      </c>
      <c r="CG55" s="67">
        <f t="shared" si="29"/>
        <v>-106.4734788865857</v>
      </c>
      <c r="CH55" s="67">
        <f t="shared" si="30"/>
        <v>-91.473478886585696</v>
      </c>
      <c r="CI55" s="67">
        <f t="shared" si="31"/>
        <v>-76.473478886585696</v>
      </c>
      <c r="CJ55" s="67">
        <f t="shared" si="32"/>
        <v>-8265419.9238799503</v>
      </c>
      <c r="CK55" s="67">
        <f t="shared" si="33"/>
        <v>-7244774.9238799503</v>
      </c>
      <c r="CL55" s="67">
        <f t="shared" si="34"/>
        <v>-6224129.9238799503</v>
      </c>
      <c r="CM55" s="67">
        <f t="shared" si="35"/>
        <v>-5203484.9238799503</v>
      </c>
      <c r="CN55" s="299"/>
      <c r="CO55" s="430">
        <v>273383.06821826682</v>
      </c>
      <c r="CP55" s="430">
        <v>23458.790385911303</v>
      </c>
      <c r="CQ55" s="430">
        <v>28863.716</v>
      </c>
      <c r="CR55" s="430">
        <v>99223933.817556515</v>
      </c>
      <c r="CS55" s="430">
        <v>15971206.577255847</v>
      </c>
      <c r="CT55" s="430">
        <v>34196138.76168143</v>
      </c>
      <c r="CU55" s="430">
        <v>10253299.304556016</v>
      </c>
      <c r="CV55" s="430">
        <v>-13709963</v>
      </c>
      <c r="CW55" s="430">
        <v>757837.10718322324</v>
      </c>
      <c r="CX55" s="430">
        <v>-2855033.74</v>
      </c>
      <c r="CY55" s="430">
        <v>165056391.85773695</v>
      </c>
      <c r="CZ55" s="519"/>
      <c r="DA55" s="524">
        <v>274511.12088</v>
      </c>
      <c r="DB55" s="524">
        <v>23275.336329572619</v>
      </c>
      <c r="DC55" s="520">
        <f t="shared" si="36"/>
        <v>-1</v>
      </c>
      <c r="DD55" s="440">
        <v>67971</v>
      </c>
      <c r="DE55" s="450">
        <v>164281960.02496707</v>
      </c>
      <c r="DF55" s="440">
        <v>110293734.23910759</v>
      </c>
      <c r="DG55" s="440">
        <v>28890084.557500001</v>
      </c>
      <c r="DH55" s="440">
        <v>14043034.5656</v>
      </c>
      <c r="DI55" s="440">
        <v>15864625.433829265</v>
      </c>
      <c r="DJ55" s="440">
        <v>10214278.659057599</v>
      </c>
      <c r="DK55" s="440">
        <v>-1056323.821490908</v>
      </c>
      <c r="DL55" s="440">
        <v>-13699393</v>
      </c>
      <c r="DM55" s="440">
        <v>500000</v>
      </c>
      <c r="DN55" s="440">
        <v>734239.25049299921</v>
      </c>
      <c r="DO55" s="457">
        <f t="shared" si="37"/>
        <v>1502319.8591294885</v>
      </c>
      <c r="DP55" s="459">
        <f t="shared" si="38"/>
        <v>22.102365113496763</v>
      </c>
      <c r="DQ55" s="440"/>
      <c r="DR55" s="450">
        <v>435381000</v>
      </c>
      <c r="DS55" s="440">
        <v>268912539.13498122</v>
      </c>
      <c r="DT55" s="440">
        <v>21064551.8484</v>
      </c>
      <c r="DU55" s="440">
        <v>99117673.007556453</v>
      </c>
      <c r="DV55" s="440">
        <v>34065999.635883942</v>
      </c>
      <c r="DW55" s="440">
        <v>15690691.557500001</v>
      </c>
      <c r="DX55" s="457">
        <f t="shared" si="39"/>
        <v>3470455.1843216419</v>
      </c>
      <c r="DY55" s="459">
        <f t="shared" si="40"/>
        <v>51.057880336049813</v>
      </c>
      <c r="DZ55" s="440"/>
      <c r="EA55" s="457">
        <f t="shared" si="41"/>
        <v>-1968135.3251921535</v>
      </c>
      <c r="EB55" s="459">
        <f t="shared" si="42"/>
        <v>-28.95551522255305</v>
      </c>
      <c r="ED55" s="457">
        <v>2251283.1293844292</v>
      </c>
      <c r="EE55" s="458">
        <v>1143644.3731102473</v>
      </c>
      <c r="EF55" s="458">
        <v>121076.28847869221</v>
      </c>
      <c r="EG55" s="458">
        <v>40174.553953085378</v>
      </c>
      <c r="EH55" s="459">
        <v>-26178.67893283943</v>
      </c>
    </row>
    <row r="56" spans="1:138" x14ac:dyDescent="0.2">
      <c r="A56" s="67">
        <v>139</v>
      </c>
      <c r="B56" s="67" t="s">
        <v>178</v>
      </c>
      <c r="C56" s="67">
        <v>17</v>
      </c>
      <c r="D56" s="67">
        <v>9853</v>
      </c>
      <c r="E56" s="82">
        <v>31968177.870293148</v>
      </c>
      <c r="F56" s="67">
        <v>13461504.709503196</v>
      </c>
      <c r="G56" s="67">
        <v>4716627</v>
      </c>
      <c r="H56" s="67">
        <v>1349933.6769458293</v>
      </c>
      <c r="I56" s="67">
        <v>13792005.242565058</v>
      </c>
      <c r="J56" s="67">
        <v>1512124.5756525733</v>
      </c>
      <c r="K56" s="67">
        <v>-838010.09324529453</v>
      </c>
      <c r="L56" s="67">
        <v>-152546</v>
      </c>
      <c r="M56" s="68">
        <v>-339875.46</v>
      </c>
      <c r="N56" s="68">
        <v>83587.424451175233</v>
      </c>
      <c r="O56" s="68">
        <v>-286755.46928507951</v>
      </c>
      <c r="P56" s="168">
        <f t="shared" si="8"/>
        <v>1330417.7362943131</v>
      </c>
      <c r="Q56" s="169">
        <f t="shared" si="9"/>
        <v>135.02666561395648</v>
      </c>
      <c r="R56" s="67"/>
      <c r="S56" s="82">
        <v>70933781.350000009</v>
      </c>
      <c r="T56" s="67">
        <v>31587570.021629579</v>
      </c>
      <c r="U56" s="67">
        <v>2028885.8875411372</v>
      </c>
      <c r="V56" s="67">
        <v>28176988.221674427</v>
      </c>
      <c r="W56" s="67">
        <v>5043139.8009602064</v>
      </c>
      <c r="X56" s="67">
        <v>4224205.54</v>
      </c>
      <c r="Y56" s="168">
        <f t="shared" si="10"/>
        <v>127008.12180534005</v>
      </c>
      <c r="Z56" s="169">
        <f t="shared" si="11"/>
        <v>12.890299584425053</v>
      </c>
      <c r="AA56" s="67"/>
      <c r="AB56" s="77">
        <f t="shared" si="12"/>
        <v>1203409.614488973</v>
      </c>
      <c r="AC56" s="123">
        <f t="shared" si="13"/>
        <v>122.13636602953142</v>
      </c>
      <c r="AE56" s="170"/>
      <c r="AF56" s="177">
        <v>-1044302.119121515</v>
      </c>
      <c r="AG56" s="177">
        <v>-922181.34322697239</v>
      </c>
      <c r="AH56" s="177">
        <v>-789392.44361581397</v>
      </c>
      <c r="AI56" s="178">
        <v>-658618.16785492678</v>
      </c>
      <c r="AK56" s="67">
        <f t="shared" si="14"/>
        <v>18126065.312126383</v>
      </c>
      <c r="AL56" s="67">
        <f t="shared" si="15"/>
        <v>678952.21059530787</v>
      </c>
      <c r="AM56" s="67">
        <f t="shared" si="16"/>
        <v>14384982.979109369</v>
      </c>
      <c r="AN56" s="67">
        <f t="shared" si="17"/>
        <v>38965603.479706861</v>
      </c>
      <c r="AO56" s="67">
        <f t="shared" si="18"/>
        <v>0</v>
      </c>
      <c r="AP56" s="67">
        <f t="shared" si="19"/>
        <v>-1044302.119121515</v>
      </c>
      <c r="AQ56" s="67">
        <f t="shared" si="20"/>
        <v>-922181.34322697239</v>
      </c>
      <c r="AR56" s="67">
        <f t="shared" si="21"/>
        <v>-789392.44361581397</v>
      </c>
      <c r="AS56" s="67">
        <f t="shared" si="22"/>
        <v>-658618.16785492678</v>
      </c>
      <c r="AT56" s="68">
        <v>3895</v>
      </c>
      <c r="AU56" s="68"/>
      <c r="AV56" s="68"/>
      <c r="AW56" s="68">
        <v>0</v>
      </c>
      <c r="AX56" s="68">
        <v>11024.259897250138</v>
      </c>
      <c r="AY56" s="68">
        <v>-4005.459300851353</v>
      </c>
      <c r="AZ56" s="68">
        <v>3540.454564060863</v>
      </c>
      <c r="BA56" s="299"/>
      <c r="BB56" s="67"/>
      <c r="BC56" s="67"/>
      <c r="BD56" s="67"/>
      <c r="BE56" s="67"/>
      <c r="BF56" s="67"/>
      <c r="BG56" s="67"/>
      <c r="BH56" s="67"/>
      <c r="BN56" s="299"/>
      <c r="BO56" s="67">
        <v>34280608.35945227</v>
      </c>
      <c r="BP56" s="67">
        <v>36358037.780000009</v>
      </c>
      <c r="BQ56" s="67">
        <v>37474000</v>
      </c>
      <c r="BR56" s="67">
        <v>830678.24</v>
      </c>
      <c r="BS56" s="67">
        <v>709000</v>
      </c>
      <c r="BT56" s="428">
        <v>0.57383538207321949</v>
      </c>
      <c r="BU56" s="428">
        <v>0.33464287704132478</v>
      </c>
      <c r="BV56" s="67">
        <f t="shared" si="23"/>
        <v>17077988.111171708</v>
      </c>
      <c r="BW56" s="299"/>
      <c r="BX56" s="67">
        <v>72039203</v>
      </c>
      <c r="BY56" s="67">
        <v>34280608.35945227</v>
      </c>
      <c r="BZ56" s="67">
        <v>37868104.960865051</v>
      </c>
      <c r="CA56" s="67">
        <v>19484970.541843232</v>
      </c>
      <c r="CB56" s="67">
        <f t="shared" si="24"/>
        <v>-535889.16855911887</v>
      </c>
      <c r="CC56" s="67">
        <f t="shared" si="25"/>
        <v>12.890299584425243</v>
      </c>
      <c r="CD56" s="67">
        <f t="shared" si="26"/>
        <v>194.79286818893388</v>
      </c>
      <c r="CE56" s="67">
        <f t="shared" si="27"/>
        <v>181.90256860450864</v>
      </c>
      <c r="CF56" s="67">
        <f t="shared" si="28"/>
        <v>-166.90256860450864</v>
      </c>
      <c r="CG56" s="67">
        <f t="shared" si="29"/>
        <v>-151.90256860450864</v>
      </c>
      <c r="CH56" s="67">
        <f t="shared" si="30"/>
        <v>-136.90256860450864</v>
      </c>
      <c r="CI56" s="67">
        <f t="shared" si="31"/>
        <v>-121.90256860450864</v>
      </c>
      <c r="CJ56" s="67">
        <f t="shared" si="32"/>
        <v>-1644491.0084602237</v>
      </c>
      <c r="CK56" s="67">
        <f t="shared" si="33"/>
        <v>-1496696.0084602237</v>
      </c>
      <c r="CL56" s="67">
        <f t="shared" si="34"/>
        <v>-1348901.0084602237</v>
      </c>
      <c r="CM56" s="67">
        <f t="shared" si="35"/>
        <v>-1201106.0084602237</v>
      </c>
      <c r="CN56" s="299"/>
      <c r="CO56" s="430">
        <v>31587.570021629581</v>
      </c>
      <c r="CP56" s="430">
        <v>2028.8858875411372</v>
      </c>
      <c r="CQ56" s="430">
        <v>4716.6270000000004</v>
      </c>
      <c r="CR56" s="430">
        <v>28176988.221674427</v>
      </c>
      <c r="CS56" s="430">
        <v>13792005.242565058</v>
      </c>
      <c r="CT56" s="430">
        <v>5043139.8009602064</v>
      </c>
      <c r="CU56" s="430">
        <v>1512124.5756525733</v>
      </c>
      <c r="CV56" s="430">
        <v>-152546</v>
      </c>
      <c r="CW56" s="430">
        <v>83587.424451175233</v>
      </c>
      <c r="CX56" s="430">
        <v>-339875.46</v>
      </c>
      <c r="CY56" s="430">
        <v>31968177.870293148</v>
      </c>
      <c r="CZ56" s="519"/>
      <c r="DA56" s="524">
        <v>32251.55687</v>
      </c>
      <c r="DB56" s="524">
        <v>2013.0214137544576</v>
      </c>
      <c r="DC56" s="520">
        <f t="shared" si="36"/>
        <v>-1</v>
      </c>
      <c r="DD56" s="440">
        <v>9912</v>
      </c>
      <c r="DE56" s="450">
        <v>34280608.35945227</v>
      </c>
      <c r="DF56" s="440">
        <v>13515436.047843231</v>
      </c>
      <c r="DG56" s="440">
        <v>4754991.2810000004</v>
      </c>
      <c r="DH56" s="440">
        <v>1214543.213</v>
      </c>
      <c r="DI56" s="440">
        <v>13776421.35487641</v>
      </c>
      <c r="DJ56" s="440">
        <v>1516166.8850723635</v>
      </c>
      <c r="DK56" s="440">
        <v>-534634.40564460063</v>
      </c>
      <c r="DL56" s="440">
        <v>-64500</v>
      </c>
      <c r="DM56" s="440">
        <v>-198204</v>
      </c>
      <c r="DN56" s="440">
        <v>81487.518618654736</v>
      </c>
      <c r="DO56" s="457">
        <f t="shared" si="37"/>
        <v>-218900.46468621492</v>
      </c>
      <c r="DP56" s="459">
        <f t="shared" si="38"/>
        <v>-22.084389092636695</v>
      </c>
      <c r="DQ56" s="440"/>
      <c r="DR56" s="450">
        <v>72039203</v>
      </c>
      <c r="DS56" s="440">
        <v>31291298.860365048</v>
      </c>
      <c r="DT56" s="440">
        <v>1821814.8195</v>
      </c>
      <c r="DU56" s="440">
        <v>28161419.121674426</v>
      </c>
      <c r="DV56" s="440">
        <v>5056621.4491332266</v>
      </c>
      <c r="DW56" s="440">
        <v>4492287.2810000004</v>
      </c>
      <c r="DX56" s="457">
        <f t="shared" si="39"/>
        <v>-1215761.4683272988</v>
      </c>
      <c r="DY56" s="459">
        <f t="shared" si="40"/>
        <v>-122.65551536796799</v>
      </c>
      <c r="DZ56" s="440"/>
      <c r="EA56" s="457">
        <f t="shared" si="41"/>
        <v>996861.00364108384</v>
      </c>
      <c r="EB56" s="459">
        <f t="shared" si="42"/>
        <v>100.5711262753313</v>
      </c>
      <c r="ED56" s="457">
        <v>-955570.43802996108</v>
      </c>
      <c r="EE56" s="458">
        <v>-819733.96059384395</v>
      </c>
      <c r="EF56" s="458">
        <v>-681844.82422044431</v>
      </c>
      <c r="EG56" s="458">
        <v>-544962.47310920293</v>
      </c>
      <c r="EH56" s="459">
        <v>-405958.5591512692</v>
      </c>
    </row>
    <row r="57" spans="1:138" x14ac:dyDescent="0.2">
      <c r="A57" s="67">
        <v>140</v>
      </c>
      <c r="B57" s="67" t="s">
        <v>179</v>
      </c>
      <c r="C57" s="67">
        <v>11</v>
      </c>
      <c r="D57" s="67">
        <v>20801</v>
      </c>
      <c r="E57" s="82">
        <v>59030900.89550592</v>
      </c>
      <c r="F57" s="67">
        <v>27571201.52464886</v>
      </c>
      <c r="G57" s="67">
        <v>6029802</v>
      </c>
      <c r="H57" s="67">
        <v>4775121.6034720913</v>
      </c>
      <c r="I57" s="67">
        <v>11014549.300289499</v>
      </c>
      <c r="J57" s="67">
        <v>3637292.6335776355</v>
      </c>
      <c r="K57" s="67">
        <v>5474348.0838791365</v>
      </c>
      <c r="L57" s="67">
        <v>-1375841</v>
      </c>
      <c r="M57" s="68">
        <v>447603.39</v>
      </c>
      <c r="N57" s="68">
        <v>197014.18871714809</v>
      </c>
      <c r="O57" s="68">
        <v>-605379.12479437108</v>
      </c>
      <c r="P57" s="168">
        <f t="shared" si="8"/>
        <v>-1865188.2957159202</v>
      </c>
      <c r="Q57" s="169">
        <f t="shared" si="9"/>
        <v>-89.668203245801649</v>
      </c>
      <c r="R57" s="67"/>
      <c r="S57" s="82">
        <v>147693562.92000005</v>
      </c>
      <c r="T57" s="67">
        <v>69492661.188187525</v>
      </c>
      <c r="U57" s="67">
        <v>7176779.8655830584</v>
      </c>
      <c r="V57" s="67">
        <v>55047402.838075787</v>
      </c>
      <c r="W57" s="67">
        <v>12130862.459012985</v>
      </c>
      <c r="X57" s="67">
        <v>5101564.3899999997</v>
      </c>
      <c r="Y57" s="168">
        <f t="shared" si="10"/>
        <v>1255707.820859313</v>
      </c>
      <c r="Z57" s="169">
        <f t="shared" si="11"/>
        <v>60.367666018908373</v>
      </c>
      <c r="AA57" s="67"/>
      <c r="AB57" s="77">
        <f t="shared" si="12"/>
        <v>-3120896.1165752332</v>
      </c>
      <c r="AC57" s="123">
        <f t="shared" si="13"/>
        <v>-150.03586926471002</v>
      </c>
      <c r="AE57" s="170"/>
      <c r="AF57" s="177">
        <v>2832763.3063791664</v>
      </c>
      <c r="AG57" s="177">
        <v>2466546.5875506247</v>
      </c>
      <c r="AH57" s="177">
        <v>2122851.7038412681</v>
      </c>
      <c r="AI57" s="178">
        <v>1774903.6798995461</v>
      </c>
      <c r="AK57" s="67">
        <f t="shared" si="14"/>
        <v>41921459.663538665</v>
      </c>
      <c r="AL57" s="67">
        <f t="shared" si="15"/>
        <v>2401658.2621109672</v>
      </c>
      <c r="AM57" s="67">
        <f t="shared" si="16"/>
        <v>44032853.53778629</v>
      </c>
      <c r="AN57" s="67">
        <f t="shared" si="17"/>
        <v>88662662.024494126</v>
      </c>
      <c r="AO57" s="67">
        <f t="shared" si="18"/>
        <v>0</v>
      </c>
      <c r="AP57" s="67">
        <f t="shared" si="19"/>
        <v>2832763.3063791664</v>
      </c>
      <c r="AQ57" s="67">
        <f t="shared" si="20"/>
        <v>2466546.5875506247</v>
      </c>
      <c r="AR57" s="67">
        <f t="shared" si="21"/>
        <v>2122851.7038412681</v>
      </c>
      <c r="AS57" s="67">
        <f t="shared" si="22"/>
        <v>1774903.6798995461</v>
      </c>
      <c r="AT57" s="68">
        <v>8638</v>
      </c>
      <c r="AU57" s="68"/>
      <c r="AV57" s="68"/>
      <c r="AW57" s="68">
        <v>9</v>
      </c>
      <c r="AX57" s="68">
        <v>38927.494738741916</v>
      </c>
      <c r="AY57" s="68">
        <v>-5634.0280717219357</v>
      </c>
      <c r="AZ57" s="68">
        <v>8521.5445223669085</v>
      </c>
      <c r="BA57" s="299"/>
      <c r="BB57" s="67"/>
      <c r="BC57" s="67"/>
      <c r="BD57" s="67"/>
      <c r="BE57" s="67"/>
      <c r="BF57" s="67"/>
      <c r="BG57" s="67"/>
      <c r="BH57" s="67"/>
      <c r="BN57" s="299"/>
      <c r="BO57" s="67">
        <v>61523748.655211478</v>
      </c>
      <c r="BP57" s="67">
        <v>80155126.450000003</v>
      </c>
      <c r="BQ57" s="67">
        <v>86804000</v>
      </c>
      <c r="BR57" s="67">
        <v>1975545</v>
      </c>
      <c r="BS57" s="67">
        <v>2564000</v>
      </c>
      <c r="BT57" s="428">
        <v>0.60325016982749458</v>
      </c>
      <c r="BU57" s="428">
        <v>0.33464287704132484</v>
      </c>
      <c r="BV57" s="67">
        <f t="shared" si="23"/>
        <v>58000771.447100773</v>
      </c>
      <c r="BW57" s="299"/>
      <c r="BX57" s="67">
        <v>147991620</v>
      </c>
      <c r="BY57" s="67">
        <v>61523748.655211478</v>
      </c>
      <c r="BZ57" s="67">
        <v>82468466.238962829</v>
      </c>
      <c r="CA57" s="67">
        <v>38428846.326896444</v>
      </c>
      <c r="CB57" s="67">
        <f t="shared" si="24"/>
        <v>6269266.3104175441</v>
      </c>
      <c r="CC57" s="67">
        <f t="shared" si="25"/>
        <v>60.367666018908324</v>
      </c>
      <c r="CD57" s="67">
        <f t="shared" si="26"/>
        <v>-22.349451679397259</v>
      </c>
      <c r="CE57" s="67">
        <f t="shared" si="27"/>
        <v>-82.717117698305586</v>
      </c>
      <c r="CF57" s="67">
        <f t="shared" si="28"/>
        <v>67.717117698305586</v>
      </c>
      <c r="CG57" s="67">
        <f t="shared" si="29"/>
        <v>52.717117698305586</v>
      </c>
      <c r="CH57" s="67">
        <f t="shared" si="30"/>
        <v>37.717117698305586</v>
      </c>
      <c r="CI57" s="67">
        <f t="shared" si="31"/>
        <v>22.717117698305586</v>
      </c>
      <c r="CJ57" s="67">
        <f t="shared" si="32"/>
        <v>1408583.7652424546</v>
      </c>
      <c r="CK57" s="67">
        <f t="shared" si="33"/>
        <v>1096568.7652424546</v>
      </c>
      <c r="CL57" s="67">
        <f t="shared" si="34"/>
        <v>784553.76524245448</v>
      </c>
      <c r="CM57" s="67">
        <f t="shared" si="35"/>
        <v>472538.76524245448</v>
      </c>
      <c r="CN57" s="299"/>
      <c r="CO57" s="430">
        <v>69492.661188187529</v>
      </c>
      <c r="CP57" s="430">
        <v>7176.7798655830584</v>
      </c>
      <c r="CQ57" s="430">
        <v>6029.8019999999997</v>
      </c>
      <c r="CR57" s="430">
        <v>55047402.838075787</v>
      </c>
      <c r="CS57" s="430">
        <v>11014549.300289499</v>
      </c>
      <c r="CT57" s="430">
        <v>12130862.459012985</v>
      </c>
      <c r="CU57" s="430">
        <v>3637292.6335776355</v>
      </c>
      <c r="CV57" s="430">
        <v>-1375841</v>
      </c>
      <c r="CW57" s="430">
        <v>197014.18871714809</v>
      </c>
      <c r="CX57" s="430">
        <v>447603.39</v>
      </c>
      <c r="CY57" s="430">
        <v>59030900.89550592</v>
      </c>
      <c r="CZ57" s="519"/>
      <c r="DA57" s="524">
        <v>69710.615879999998</v>
      </c>
      <c r="DB57" s="524">
        <v>7120.6601727178795</v>
      </c>
      <c r="DC57" s="520">
        <f t="shared" si="36"/>
        <v>-1</v>
      </c>
      <c r="DD57" s="440">
        <v>20958</v>
      </c>
      <c r="DE57" s="450">
        <v>61523748.655211478</v>
      </c>
      <c r="DF57" s="440">
        <v>28104455.547896437</v>
      </c>
      <c r="DG57" s="440">
        <v>6028185.9847999997</v>
      </c>
      <c r="DH57" s="440">
        <v>4296204.7942000004</v>
      </c>
      <c r="DI57" s="440">
        <v>10981343.444849679</v>
      </c>
      <c r="DJ57" s="440">
        <v>3649272.5385136139</v>
      </c>
      <c r="DK57" s="440">
        <v>6270362.2196530169</v>
      </c>
      <c r="DL57" s="440">
        <v>-1329951</v>
      </c>
      <c r="DM57" s="440">
        <v>1099000</v>
      </c>
      <c r="DN57" s="440">
        <v>195215.85741273957</v>
      </c>
      <c r="DO57" s="457">
        <f t="shared" si="37"/>
        <v>-2229659.2678859904</v>
      </c>
      <c r="DP57" s="459">
        <f t="shared" si="38"/>
        <v>-106.38702490151687</v>
      </c>
      <c r="DQ57" s="440"/>
      <c r="DR57" s="450">
        <v>147991620</v>
      </c>
      <c r="DS57" s="440">
        <v>69995973.062862828</v>
      </c>
      <c r="DT57" s="440">
        <v>6444307.1913000001</v>
      </c>
      <c r="DU57" s="440">
        <v>55014290.90807578</v>
      </c>
      <c r="DV57" s="440">
        <v>12170817.060880521</v>
      </c>
      <c r="DW57" s="440">
        <v>5797234.9847999997</v>
      </c>
      <c r="DX57" s="457">
        <f t="shared" si="39"/>
        <v>1431003.2079191208</v>
      </c>
      <c r="DY57" s="459">
        <f t="shared" si="40"/>
        <v>68.279569038988484</v>
      </c>
      <c r="DZ57" s="440"/>
      <c r="EA57" s="457">
        <f t="shared" si="41"/>
        <v>-3660662.4758051112</v>
      </c>
      <c r="EB57" s="459">
        <f t="shared" si="42"/>
        <v>-174.66659394050535</v>
      </c>
      <c r="ED57" s="457">
        <v>3747967.5276693455</v>
      </c>
      <c r="EE57" s="458">
        <v>3406441.0964855421</v>
      </c>
      <c r="EF57" s="458">
        <v>3069254.821275061</v>
      </c>
      <c r="EG57" s="458">
        <v>2729939.7924806098</v>
      </c>
      <c r="EH57" s="459">
        <v>2395110.6105526816</v>
      </c>
    </row>
    <row r="58" spans="1:138" x14ac:dyDescent="0.2">
      <c r="A58" s="67">
        <v>142</v>
      </c>
      <c r="B58" s="67" t="s">
        <v>180</v>
      </c>
      <c r="C58" s="67">
        <v>7</v>
      </c>
      <c r="D58" s="67">
        <v>6504</v>
      </c>
      <c r="E58" s="82">
        <v>16701971.6660426</v>
      </c>
      <c r="F58" s="67">
        <v>9130359.4233212005</v>
      </c>
      <c r="G58" s="67">
        <v>3175787</v>
      </c>
      <c r="H58" s="67">
        <v>1157562.0733938082</v>
      </c>
      <c r="I58" s="67">
        <v>3256638.979477115</v>
      </c>
      <c r="J58" s="67">
        <v>1194931.4435847239</v>
      </c>
      <c r="K58" s="67">
        <v>142348.55369635462</v>
      </c>
      <c r="L58" s="67">
        <v>-722680</v>
      </c>
      <c r="M58" s="68">
        <v>113968.61</v>
      </c>
      <c r="N58" s="68">
        <v>58874.202536716817</v>
      </c>
      <c r="O58" s="68">
        <v>-189288.29516189557</v>
      </c>
      <c r="P58" s="168">
        <f t="shared" si="8"/>
        <v>616530.3248054235</v>
      </c>
      <c r="Q58" s="169">
        <f t="shared" si="9"/>
        <v>94.792485363687504</v>
      </c>
      <c r="R58" s="67"/>
      <c r="S58" s="82">
        <v>45148761.619999997</v>
      </c>
      <c r="T58" s="67">
        <v>21793340.083503876</v>
      </c>
      <c r="U58" s="67">
        <v>1739760.5488108729</v>
      </c>
      <c r="V58" s="67">
        <v>15933190.863620613</v>
      </c>
      <c r="W58" s="67">
        <v>3985257.841577163</v>
      </c>
      <c r="X58" s="67">
        <v>2567075.61</v>
      </c>
      <c r="Y58" s="168">
        <f t="shared" si="10"/>
        <v>869863.32751252502</v>
      </c>
      <c r="Z58" s="169">
        <f t="shared" si="11"/>
        <v>133.74282403329104</v>
      </c>
      <c r="AA58" s="67"/>
      <c r="AB58" s="77">
        <f t="shared" si="12"/>
        <v>-253333.00270710152</v>
      </c>
      <c r="AC58" s="123">
        <f t="shared" si="13"/>
        <v>-38.950338669603553</v>
      </c>
      <c r="AE58" s="170"/>
      <c r="AF58" s="177">
        <v>163240.42073917328</v>
      </c>
      <c r="AG58" s="177">
        <v>48732.774988448116</v>
      </c>
      <c r="AH58" s="177">
        <v>-19385.807433369562</v>
      </c>
      <c r="AI58" s="178">
        <v>-30621.247446684305</v>
      </c>
      <c r="AK58" s="67">
        <f t="shared" si="14"/>
        <v>12662980.660182675</v>
      </c>
      <c r="AL58" s="67">
        <f t="shared" si="15"/>
        <v>582198.47541706474</v>
      </c>
      <c r="AM58" s="67">
        <f t="shared" si="16"/>
        <v>12676551.884143498</v>
      </c>
      <c r="AN58" s="67">
        <f t="shared" si="17"/>
        <v>28446789.953957397</v>
      </c>
      <c r="AO58" s="67">
        <f t="shared" si="18"/>
        <v>0</v>
      </c>
      <c r="AP58" s="67">
        <f t="shared" si="19"/>
        <v>163240.42073917328</v>
      </c>
      <c r="AQ58" s="67">
        <f t="shared" si="20"/>
        <v>48732.774988448116</v>
      </c>
      <c r="AR58" s="67">
        <f t="shared" si="21"/>
        <v>-19385.807433369562</v>
      </c>
      <c r="AS58" s="67">
        <f t="shared" si="22"/>
        <v>-30621.247446684305</v>
      </c>
      <c r="AT58" s="68">
        <v>1662</v>
      </c>
      <c r="AU58" s="68"/>
      <c r="AV58" s="68"/>
      <c r="AW58" s="68">
        <v>0</v>
      </c>
      <c r="AX58" s="68">
        <v>10384.527972500835</v>
      </c>
      <c r="AY58" s="68">
        <v>-2133.5899447331376</v>
      </c>
      <c r="AZ58" s="68">
        <v>2801.0941829248959</v>
      </c>
      <c r="BA58" s="299"/>
      <c r="BB58" s="67"/>
      <c r="BC58" s="67"/>
      <c r="BD58" s="67"/>
      <c r="BE58" s="67"/>
      <c r="BF58" s="67"/>
      <c r="BG58" s="67"/>
      <c r="BH58" s="67"/>
      <c r="BN58" s="299"/>
      <c r="BO58" s="67">
        <v>16183366.973097425</v>
      </c>
      <c r="BP58" s="67">
        <v>26033994.470000003</v>
      </c>
      <c r="BQ58" s="67">
        <v>27640000</v>
      </c>
      <c r="BR58" s="67">
        <v>666428.07999999996</v>
      </c>
      <c r="BS58" s="67">
        <v>684000</v>
      </c>
      <c r="BT58" s="428">
        <v>0.58104818314507556</v>
      </c>
      <c r="BU58" s="428">
        <v>0.33464287704132484</v>
      </c>
      <c r="BV58" s="67">
        <f t="shared" si="23"/>
        <v>15609226.83583229</v>
      </c>
      <c r="BW58" s="299"/>
      <c r="BX58" s="67">
        <v>44808705</v>
      </c>
      <c r="BY58" s="67">
        <v>16183366.973097425</v>
      </c>
      <c r="BZ58" s="67">
        <v>26794528.163125977</v>
      </c>
      <c r="CA58" s="67">
        <v>13546142.800338015</v>
      </c>
      <c r="CB58" s="67">
        <f t="shared" si="24"/>
        <v>-71661.918670460291</v>
      </c>
      <c r="CC58" s="67">
        <f t="shared" si="25"/>
        <v>133.74282403329141</v>
      </c>
      <c r="CD58" s="67">
        <f t="shared" si="26"/>
        <v>90.991412607703623</v>
      </c>
      <c r="CE58" s="67">
        <f t="shared" si="27"/>
        <v>-42.75141142558779</v>
      </c>
      <c r="CF58" s="67">
        <f t="shared" si="28"/>
        <v>27.75141142558779</v>
      </c>
      <c r="CG58" s="67">
        <f t="shared" si="29"/>
        <v>12.75141142558779</v>
      </c>
      <c r="CH58" s="67">
        <f t="shared" si="30"/>
        <v>0</v>
      </c>
      <c r="CI58" s="67">
        <f t="shared" si="31"/>
        <v>0</v>
      </c>
      <c r="CJ58" s="67">
        <f t="shared" si="32"/>
        <v>180495.17991202298</v>
      </c>
      <c r="CK58" s="67">
        <f t="shared" si="33"/>
        <v>82935.179912022984</v>
      </c>
      <c r="CL58" s="67">
        <f t="shared" si="34"/>
        <v>0</v>
      </c>
      <c r="CM58" s="67">
        <f t="shared" si="35"/>
        <v>0</v>
      </c>
      <c r="CN58" s="299"/>
      <c r="CO58" s="430">
        <v>21793.340083503877</v>
      </c>
      <c r="CP58" s="430">
        <v>1739.7605488108729</v>
      </c>
      <c r="CQ58" s="430">
        <v>3175.7869999999998</v>
      </c>
      <c r="CR58" s="430">
        <v>15933190.863620613</v>
      </c>
      <c r="CS58" s="430">
        <v>3256638.979477115</v>
      </c>
      <c r="CT58" s="430">
        <v>3985257.841577163</v>
      </c>
      <c r="CU58" s="430">
        <v>1194931.4435847239</v>
      </c>
      <c r="CV58" s="430">
        <v>-722680</v>
      </c>
      <c r="CW58" s="430">
        <v>58874.202536716817</v>
      </c>
      <c r="CX58" s="430">
        <v>113968.61</v>
      </c>
      <c r="CY58" s="430">
        <v>16701971.6660426</v>
      </c>
      <c r="CZ58" s="519"/>
      <c r="DA58" s="524">
        <v>22051.433300000001</v>
      </c>
      <c r="DB58" s="524">
        <v>1726.1547396207015</v>
      </c>
      <c r="DC58" s="520">
        <f t="shared" si="36"/>
        <v>-1</v>
      </c>
      <c r="DD58" s="440">
        <v>6559</v>
      </c>
      <c r="DE58" s="450">
        <v>16183366.973097425</v>
      </c>
      <c r="DF58" s="440">
        <v>9332315.1245380156</v>
      </c>
      <c r="DG58" s="440">
        <v>3172362.318</v>
      </c>
      <c r="DH58" s="440">
        <v>1041465.3578</v>
      </c>
      <c r="DI58" s="440">
        <v>3246241.5461297757</v>
      </c>
      <c r="DJ58" s="440">
        <v>1199542.6477803397</v>
      </c>
      <c r="DK58" s="440">
        <v>-71566.627596771534</v>
      </c>
      <c r="DL58" s="440">
        <v>-694731</v>
      </c>
      <c r="DM58" s="440">
        <v>-37000</v>
      </c>
      <c r="DN58" s="440">
        <v>58726.549254854574</v>
      </c>
      <c r="DO58" s="457">
        <f t="shared" si="37"/>
        <v>1063988.9428087883</v>
      </c>
      <c r="DP58" s="459">
        <f t="shared" si="38"/>
        <v>162.21816478255653</v>
      </c>
      <c r="DQ58" s="440"/>
      <c r="DR58" s="450">
        <v>44808705</v>
      </c>
      <c r="DS58" s="440">
        <v>22059967.808425978</v>
      </c>
      <c r="DT58" s="440">
        <v>1562198.0367000001</v>
      </c>
      <c r="DU58" s="440">
        <v>15922827.743620619</v>
      </c>
      <c r="DV58" s="440">
        <v>4000636.8307052357</v>
      </c>
      <c r="DW58" s="440">
        <v>2440631.318</v>
      </c>
      <c r="DX58" s="457">
        <f t="shared" si="39"/>
        <v>1177556.7374518365</v>
      </c>
      <c r="DY58" s="459">
        <f t="shared" si="40"/>
        <v>179.53296805181225</v>
      </c>
      <c r="DZ58" s="440"/>
      <c r="EA58" s="457">
        <f t="shared" si="41"/>
        <v>-113567.7946430482</v>
      </c>
      <c r="EB58" s="459">
        <f t="shared" si="42"/>
        <v>-17.314803269255709</v>
      </c>
      <c r="ED58" s="457">
        <v>140890.71835605195</v>
      </c>
      <c r="EE58" s="458">
        <v>34006.861970205602</v>
      </c>
      <c r="EF58" s="458">
        <v>11683.502907589151</v>
      </c>
      <c r="EG58" s="458">
        <v>3876.7253590249816</v>
      </c>
      <c r="EH58" s="459">
        <v>-2526.1649103366703</v>
      </c>
    </row>
    <row r="59" spans="1:138" x14ac:dyDescent="0.2">
      <c r="A59" s="67">
        <v>143</v>
      </c>
      <c r="B59" s="67" t="s">
        <v>181</v>
      </c>
      <c r="C59" s="67">
        <v>6</v>
      </c>
      <c r="D59" s="67">
        <v>6804</v>
      </c>
      <c r="E59" s="82">
        <v>17662390.569266334</v>
      </c>
      <c r="F59" s="67">
        <v>9702417.4321151786</v>
      </c>
      <c r="G59" s="67">
        <v>2755514</v>
      </c>
      <c r="H59" s="67">
        <v>1569375.1652450738</v>
      </c>
      <c r="I59" s="67">
        <v>3188846.0528499563</v>
      </c>
      <c r="J59" s="67">
        <v>1342994.9263631422</v>
      </c>
      <c r="K59" s="67">
        <v>-591575.92840823764</v>
      </c>
      <c r="L59" s="67">
        <v>-806133</v>
      </c>
      <c r="M59" s="68">
        <v>46833.52</v>
      </c>
      <c r="N59" s="68">
        <v>58275.857679159621</v>
      </c>
      <c r="O59" s="68">
        <v>-198019.30508633723</v>
      </c>
      <c r="P59" s="168">
        <f t="shared" si="8"/>
        <v>-593861.84850839921</v>
      </c>
      <c r="Q59" s="169">
        <f t="shared" si="9"/>
        <v>-87.281282849558963</v>
      </c>
      <c r="R59" s="67"/>
      <c r="S59" s="82">
        <v>48647088.63000001</v>
      </c>
      <c r="T59" s="67">
        <v>22023663.580633819</v>
      </c>
      <c r="U59" s="67">
        <v>2358695.9710695795</v>
      </c>
      <c r="V59" s="67">
        <v>17139110.743279897</v>
      </c>
      <c r="W59" s="67">
        <v>4479069.5652219411</v>
      </c>
      <c r="X59" s="67">
        <v>1996214.52</v>
      </c>
      <c r="Y59" s="168">
        <f t="shared" si="10"/>
        <v>-650334.24979478121</v>
      </c>
      <c r="Z59" s="169">
        <f t="shared" si="11"/>
        <v>-95.581165460726226</v>
      </c>
      <c r="AA59" s="67"/>
      <c r="AB59" s="77">
        <f t="shared" si="12"/>
        <v>56472.401286381995</v>
      </c>
      <c r="AC59" s="123">
        <f t="shared" si="13"/>
        <v>8.2998826111672539</v>
      </c>
      <c r="AE59" s="170"/>
      <c r="AF59" s="177">
        <v>7811.8561331743449</v>
      </c>
      <c r="AG59" s="177">
        <v>-9917.5075949827788</v>
      </c>
      <c r="AH59" s="177">
        <v>-20279.986743026831</v>
      </c>
      <c r="AI59" s="178">
        <v>-32033.666609354244</v>
      </c>
      <c r="AK59" s="67">
        <f t="shared" si="14"/>
        <v>12321246.148518641</v>
      </c>
      <c r="AL59" s="67">
        <f t="shared" si="15"/>
        <v>789320.80582450563</v>
      </c>
      <c r="AM59" s="67">
        <f t="shared" si="16"/>
        <v>13950264.690429941</v>
      </c>
      <c r="AN59" s="67">
        <f t="shared" si="17"/>
        <v>30984698.060733676</v>
      </c>
      <c r="AO59" s="67">
        <f t="shared" si="18"/>
        <v>0</v>
      </c>
      <c r="AP59" s="67">
        <f t="shared" si="19"/>
        <v>7811.8561331743449</v>
      </c>
      <c r="AQ59" s="67">
        <f t="shared" si="20"/>
        <v>-9917.5075949827788</v>
      </c>
      <c r="AR59" s="67">
        <f t="shared" si="21"/>
        <v>-20279.986743026831</v>
      </c>
      <c r="AS59" s="67">
        <f t="shared" si="22"/>
        <v>-32033.666609354244</v>
      </c>
      <c r="AT59" s="68">
        <v>2058</v>
      </c>
      <c r="AU59" s="68"/>
      <c r="AV59" s="68"/>
      <c r="AW59" s="68">
        <v>79</v>
      </c>
      <c r="AX59" s="68">
        <v>10980.069950264129</v>
      </c>
      <c r="AY59" s="68">
        <v>-2632.2831891800347</v>
      </c>
      <c r="AZ59" s="68">
        <v>3135.3950896452625</v>
      </c>
      <c r="BA59" s="299"/>
      <c r="BB59" s="67"/>
      <c r="BC59" s="67"/>
      <c r="BD59" s="67"/>
      <c r="BE59" s="67"/>
      <c r="BF59" s="67"/>
      <c r="BG59" s="67"/>
      <c r="BH59" s="67"/>
      <c r="BN59" s="299"/>
      <c r="BO59" s="67">
        <v>16522736.449886274</v>
      </c>
      <c r="BP59" s="67">
        <v>28996624.760000005</v>
      </c>
      <c r="BQ59" s="67">
        <v>29829000</v>
      </c>
      <c r="BR59" s="67">
        <v>545821.68000000005</v>
      </c>
      <c r="BS59" s="67">
        <v>563000</v>
      </c>
      <c r="BT59" s="428">
        <v>0.55945488376207964</v>
      </c>
      <c r="BU59" s="428">
        <v>0.33464287704132484</v>
      </c>
      <c r="BV59" s="67">
        <f t="shared" si="23"/>
        <v>16494763.400880506</v>
      </c>
      <c r="BW59" s="299"/>
      <c r="BX59" s="67">
        <v>46561000</v>
      </c>
      <c r="BY59" s="67">
        <v>16522736.449886274</v>
      </c>
      <c r="BZ59" s="67">
        <v>27396585.450481839</v>
      </c>
      <c r="CA59" s="67">
        <v>14339746.822446739</v>
      </c>
      <c r="CB59" s="67">
        <f t="shared" si="24"/>
        <v>-176942.68229292409</v>
      </c>
      <c r="CC59" s="67">
        <f t="shared" si="25"/>
        <v>-95.58116546072533</v>
      </c>
      <c r="CD59" s="67">
        <f t="shared" si="26"/>
        <v>2.7617140936584783</v>
      </c>
      <c r="CE59" s="67">
        <f t="shared" si="27"/>
        <v>98.342879554383813</v>
      </c>
      <c r="CF59" s="67">
        <f t="shared" si="28"/>
        <v>-83.342879554383813</v>
      </c>
      <c r="CG59" s="67">
        <f t="shared" si="29"/>
        <v>-68.342879554383813</v>
      </c>
      <c r="CH59" s="67">
        <f t="shared" si="30"/>
        <v>-53.342879554383813</v>
      </c>
      <c r="CI59" s="67">
        <f t="shared" si="31"/>
        <v>-38.342879554383813</v>
      </c>
      <c r="CJ59" s="67">
        <f t="shared" si="32"/>
        <v>-567064.95248802751</v>
      </c>
      <c r="CK59" s="67">
        <f t="shared" si="33"/>
        <v>-465004.95248802745</v>
      </c>
      <c r="CL59" s="67">
        <f t="shared" si="34"/>
        <v>-362944.95248802745</v>
      </c>
      <c r="CM59" s="67">
        <f t="shared" si="35"/>
        <v>-260884.95248802745</v>
      </c>
      <c r="CN59" s="299"/>
      <c r="CO59" s="430">
        <v>22023.66358063382</v>
      </c>
      <c r="CP59" s="430">
        <v>2358.6959710695796</v>
      </c>
      <c r="CQ59" s="430">
        <v>2755.5140000000001</v>
      </c>
      <c r="CR59" s="430">
        <v>17139110.743279897</v>
      </c>
      <c r="CS59" s="430">
        <v>3188846.0528499563</v>
      </c>
      <c r="CT59" s="430">
        <v>4479069.5652219411</v>
      </c>
      <c r="CU59" s="430">
        <v>1342994.9263631422</v>
      </c>
      <c r="CV59" s="430">
        <v>-806133</v>
      </c>
      <c r="CW59" s="430">
        <v>58275.857679159621</v>
      </c>
      <c r="CX59" s="430">
        <v>46833.52</v>
      </c>
      <c r="CY59" s="430">
        <v>17662390.569266334</v>
      </c>
      <c r="CZ59" s="519"/>
      <c r="DA59" s="524">
        <v>22316.97177</v>
      </c>
      <c r="DB59" s="524">
        <v>2340.2503670311471</v>
      </c>
      <c r="DC59" s="520">
        <f t="shared" si="36"/>
        <v>-1</v>
      </c>
      <c r="DD59" s="440">
        <v>6877</v>
      </c>
      <c r="DE59" s="450">
        <v>16522736.449886274</v>
      </c>
      <c r="DF59" s="440">
        <v>9920320.5707467403</v>
      </c>
      <c r="DG59" s="440">
        <v>3007450.2500999998</v>
      </c>
      <c r="DH59" s="440">
        <v>1411976.0015999998</v>
      </c>
      <c r="DI59" s="440">
        <v>3178055.2340931664</v>
      </c>
      <c r="DJ59" s="440">
        <v>1342703.9157045712</v>
      </c>
      <c r="DK59" s="440">
        <v>-176703.40341126439</v>
      </c>
      <c r="DL59" s="440">
        <v>-806133</v>
      </c>
      <c r="DM59" s="440">
        <v>-10000</v>
      </c>
      <c r="DN59" s="440">
        <v>57877.473805655587</v>
      </c>
      <c r="DO59" s="457">
        <f t="shared" si="37"/>
        <v>1402810.5927525945</v>
      </c>
      <c r="DP59" s="459">
        <f t="shared" si="38"/>
        <v>203.98583579360107</v>
      </c>
      <c r="DQ59" s="440"/>
      <c r="DR59" s="450">
        <v>46561000</v>
      </c>
      <c r="DS59" s="440">
        <v>22271171.197981842</v>
      </c>
      <c r="DT59" s="440">
        <v>2117964.0024000001</v>
      </c>
      <c r="DU59" s="440">
        <v>17128351.173279904</v>
      </c>
      <c r="DV59" s="440">
        <v>4478099.0053498335</v>
      </c>
      <c r="DW59" s="440">
        <v>2191317.2500999998</v>
      </c>
      <c r="DX59" s="457">
        <f t="shared" si="39"/>
        <v>1625902.6291115731</v>
      </c>
      <c r="DY59" s="459">
        <f t="shared" si="40"/>
        <v>236.42614935459838</v>
      </c>
      <c r="DZ59" s="440"/>
      <c r="EA59" s="457">
        <f t="shared" si="41"/>
        <v>-223092.0363589786</v>
      </c>
      <c r="EB59" s="459">
        <f t="shared" si="42"/>
        <v>-32.440313560997325</v>
      </c>
      <c r="ED59" s="457">
        <v>251739.65739487231</v>
      </c>
      <c r="EE59" s="458">
        <v>139673.75095098375</v>
      </c>
      <c r="EF59" s="458">
        <v>29031.990543383898</v>
      </c>
      <c r="EG59" s="458">
        <v>4064.6806363797527</v>
      </c>
      <c r="EH59" s="459">
        <v>-2648.6409648399576</v>
      </c>
    </row>
    <row r="60" spans="1:138" x14ac:dyDescent="0.2">
      <c r="A60" s="67">
        <v>145</v>
      </c>
      <c r="B60" s="67" t="s">
        <v>182</v>
      </c>
      <c r="C60" s="67">
        <v>14</v>
      </c>
      <c r="D60" s="67">
        <v>12369</v>
      </c>
      <c r="E60" s="82">
        <v>36861142.713039763</v>
      </c>
      <c r="F60" s="67">
        <v>17392343.372430321</v>
      </c>
      <c r="G60" s="67">
        <v>2985516</v>
      </c>
      <c r="H60" s="67">
        <v>1960067.8953609329</v>
      </c>
      <c r="I60" s="67">
        <v>11509993.451151609</v>
      </c>
      <c r="J60" s="67">
        <v>2122898.0546115059</v>
      </c>
      <c r="K60" s="67">
        <v>1237032.9892987425</v>
      </c>
      <c r="L60" s="67">
        <v>-278944</v>
      </c>
      <c r="M60" s="68">
        <v>-81792.62</v>
      </c>
      <c r="N60" s="68">
        <v>113713.03025061431</v>
      </c>
      <c r="O60" s="68">
        <v>-359979.53918473038</v>
      </c>
      <c r="P60" s="168">
        <f t="shared" si="8"/>
        <v>-260294.07912077371</v>
      </c>
      <c r="Q60" s="169">
        <f t="shared" si="9"/>
        <v>-21.044068164020835</v>
      </c>
      <c r="R60" s="67"/>
      <c r="S60" s="82">
        <v>83677501.739999995</v>
      </c>
      <c r="T60" s="67">
        <v>41989025.646189369</v>
      </c>
      <c r="U60" s="67">
        <v>2945888.4976612343</v>
      </c>
      <c r="V60" s="67">
        <v>28510910.018499196</v>
      </c>
      <c r="W60" s="67">
        <v>7080151.890244863</v>
      </c>
      <c r="X60" s="67">
        <v>2624779.38</v>
      </c>
      <c r="Y60" s="168">
        <f t="shared" si="10"/>
        <v>-526746.30740533769</v>
      </c>
      <c r="Z60" s="169">
        <f t="shared" si="11"/>
        <v>-42.586005934621852</v>
      </c>
      <c r="AA60" s="67"/>
      <c r="AB60" s="77">
        <f t="shared" si="12"/>
        <v>266452.22828456399</v>
      </c>
      <c r="AC60" s="123">
        <f t="shared" si="13"/>
        <v>21.541937770601017</v>
      </c>
      <c r="AE60" s="170"/>
      <c r="AF60" s="177">
        <v>-66716.045375832939</v>
      </c>
      <c r="AG60" s="177">
        <v>-18029.049300755731</v>
      </c>
      <c r="AH60" s="177">
        <v>-36867.012937169144</v>
      </c>
      <c r="AI60" s="178">
        <v>-58234.042076881633</v>
      </c>
      <c r="AK60" s="67">
        <f t="shared" si="14"/>
        <v>24596682.273759048</v>
      </c>
      <c r="AL60" s="67">
        <f t="shared" si="15"/>
        <v>985820.60230030143</v>
      </c>
      <c r="AM60" s="67">
        <f t="shared" si="16"/>
        <v>17000916.567347586</v>
      </c>
      <c r="AN60" s="67">
        <f t="shared" si="17"/>
        <v>46816359.026960231</v>
      </c>
      <c r="AO60" s="67">
        <f t="shared" si="18"/>
        <v>0</v>
      </c>
      <c r="AP60" s="67">
        <f t="shared" si="19"/>
        <v>-66716.045375832939</v>
      </c>
      <c r="AQ60" s="67">
        <f t="shared" si="20"/>
        <v>-18029.049300755731</v>
      </c>
      <c r="AR60" s="67">
        <f t="shared" si="21"/>
        <v>-36867.012937169144</v>
      </c>
      <c r="AS60" s="67">
        <f t="shared" si="22"/>
        <v>-58234.042076881633</v>
      </c>
      <c r="AT60" s="68">
        <v>3262</v>
      </c>
      <c r="AU60" s="68"/>
      <c r="AV60" s="68"/>
      <c r="AW60" s="68">
        <v>58</v>
      </c>
      <c r="AX60" s="68">
        <v>14449.719479450308</v>
      </c>
      <c r="AY60" s="68">
        <v>-3642.3379757143612</v>
      </c>
      <c r="AZ60" s="68">
        <v>5007.7304624211865</v>
      </c>
      <c r="BA60" s="299"/>
      <c r="BB60" s="67"/>
      <c r="BC60" s="67"/>
      <c r="BD60" s="67"/>
      <c r="BE60" s="67"/>
      <c r="BF60" s="67"/>
      <c r="BG60" s="67"/>
      <c r="BH60" s="67"/>
      <c r="BN60" s="299"/>
      <c r="BO60" s="67">
        <v>34407605.397734061</v>
      </c>
      <c r="BP60" s="67">
        <v>42890037.710000001</v>
      </c>
      <c r="BQ60" s="67">
        <v>45192000</v>
      </c>
      <c r="BR60" s="67">
        <v>1204840.1599999999</v>
      </c>
      <c r="BS60" s="67">
        <v>1269000</v>
      </c>
      <c r="BT60" s="428">
        <v>0.58578835529590989</v>
      </c>
      <c r="BU60" s="428">
        <v>0.33464287704132478</v>
      </c>
      <c r="BV60" s="67">
        <f t="shared" si="23"/>
        <v>23195203.392279688</v>
      </c>
      <c r="BW60" s="299"/>
      <c r="BX60" s="67">
        <v>79547945</v>
      </c>
      <c r="BY60" s="67">
        <v>34407605.397734061</v>
      </c>
      <c r="BZ60" s="67">
        <v>46917207.214938596</v>
      </c>
      <c r="CA60" s="67">
        <v>22105681.008929618</v>
      </c>
      <c r="CB60" s="67">
        <f t="shared" si="24"/>
        <v>1591137.1154360555</v>
      </c>
      <c r="CC60" s="67">
        <f t="shared" si="25"/>
        <v>-42.586005934621554</v>
      </c>
      <c r="CD60" s="67">
        <f t="shared" si="26"/>
        <v>36.687653504832753</v>
      </c>
      <c r="CE60" s="67">
        <f t="shared" si="27"/>
        <v>79.273659439454306</v>
      </c>
      <c r="CF60" s="67">
        <f t="shared" si="28"/>
        <v>-64.273659439454306</v>
      </c>
      <c r="CG60" s="67">
        <f t="shared" si="29"/>
        <v>-49.273659439454306</v>
      </c>
      <c r="CH60" s="67">
        <f t="shared" si="30"/>
        <v>-34.273659439454306</v>
      </c>
      <c r="CI60" s="67">
        <f t="shared" si="31"/>
        <v>-19.273659439454306</v>
      </c>
      <c r="CJ60" s="67">
        <f t="shared" si="32"/>
        <v>-795000.89360661036</v>
      </c>
      <c r="CK60" s="67">
        <f t="shared" si="33"/>
        <v>-609465.89360661036</v>
      </c>
      <c r="CL60" s="67">
        <f t="shared" si="34"/>
        <v>-423930.89360661031</v>
      </c>
      <c r="CM60" s="67">
        <f t="shared" si="35"/>
        <v>-238395.89360661031</v>
      </c>
      <c r="CN60" s="299"/>
      <c r="CO60" s="430">
        <v>41989.025646189366</v>
      </c>
      <c r="CP60" s="430">
        <v>2945.8884976612344</v>
      </c>
      <c r="CQ60" s="430">
        <v>2985.5160000000001</v>
      </c>
      <c r="CR60" s="430">
        <v>28510910.018499196</v>
      </c>
      <c r="CS60" s="430">
        <v>11509993.451151609</v>
      </c>
      <c r="CT60" s="430">
        <v>7080151.890244863</v>
      </c>
      <c r="CU60" s="430">
        <v>2122898.0546115059</v>
      </c>
      <c r="CV60" s="430">
        <v>-278944</v>
      </c>
      <c r="CW60" s="430">
        <v>113713.03025061431</v>
      </c>
      <c r="CX60" s="430">
        <v>-81792.62</v>
      </c>
      <c r="CY60" s="430">
        <v>36861142.713039763</v>
      </c>
      <c r="CZ60" s="519"/>
      <c r="DA60" s="524">
        <v>42101.217579999997</v>
      </c>
      <c r="DB60" s="524">
        <v>2922.8509805479816</v>
      </c>
      <c r="DC60" s="520">
        <f t="shared" si="36"/>
        <v>-1</v>
      </c>
      <c r="DD60" s="440">
        <v>12366</v>
      </c>
      <c r="DE60" s="450">
        <v>34407605.397734061</v>
      </c>
      <c r="DF60" s="440">
        <v>17349960.000629619</v>
      </c>
      <c r="DG60" s="440">
        <v>2992236.4756999998</v>
      </c>
      <c r="DH60" s="440">
        <v>1763484.5326</v>
      </c>
      <c r="DI60" s="440">
        <v>11490592.113609971</v>
      </c>
      <c r="DJ60" s="440">
        <v>2144514.2026572246</v>
      </c>
      <c r="DK60" s="440">
        <v>1593397.3832346916</v>
      </c>
      <c r="DL60" s="440">
        <v>-229583</v>
      </c>
      <c r="DM60" s="440">
        <v>-362500</v>
      </c>
      <c r="DN60" s="440">
        <v>109982.86024484066</v>
      </c>
      <c r="DO60" s="457">
        <f t="shared" si="37"/>
        <v>2444479.1709422842</v>
      </c>
      <c r="DP60" s="459">
        <f t="shared" si="38"/>
        <v>197.67743578701959</v>
      </c>
      <c r="DQ60" s="440"/>
      <c r="DR60" s="450">
        <v>79547945</v>
      </c>
      <c r="DS60" s="440">
        <v>41279743.940338597</v>
      </c>
      <c r="DT60" s="440">
        <v>2645226.7988999998</v>
      </c>
      <c r="DU60" s="440">
        <v>28491542.018499181</v>
      </c>
      <c r="DV60" s="440">
        <v>7152244.6650784109</v>
      </c>
      <c r="DW60" s="440">
        <v>2400153.4756999998</v>
      </c>
      <c r="DX60" s="457">
        <f t="shared" si="39"/>
        <v>2420965.8985161781</v>
      </c>
      <c r="DY60" s="459">
        <f t="shared" si="40"/>
        <v>195.77599049944834</v>
      </c>
      <c r="DZ60" s="440"/>
      <c r="EA60" s="457">
        <f t="shared" si="41"/>
        <v>23513.272426106036</v>
      </c>
      <c r="EB60" s="459">
        <f t="shared" si="42"/>
        <v>1.9014452875712466</v>
      </c>
      <c r="ED60" s="457">
        <v>27999.957431393192</v>
      </c>
      <c r="EE60" s="458">
        <v>35489.924770203688</v>
      </c>
      <c r="EF60" s="458">
        <v>22027.473236049311</v>
      </c>
      <c r="EG60" s="458">
        <v>7308.97786090912</v>
      </c>
      <c r="EH60" s="459">
        <v>-4762.7009119108498</v>
      </c>
    </row>
    <row r="61" spans="1:138" x14ac:dyDescent="0.2">
      <c r="A61" s="67">
        <v>146</v>
      </c>
      <c r="B61" s="67" t="s">
        <v>183</v>
      </c>
      <c r="C61" s="67">
        <v>12</v>
      </c>
      <c r="D61" s="67">
        <v>4492</v>
      </c>
      <c r="E61" s="82">
        <v>13632260.26318913</v>
      </c>
      <c r="F61" s="67">
        <v>5301276.6383747952</v>
      </c>
      <c r="G61" s="67">
        <v>1530347</v>
      </c>
      <c r="H61" s="67">
        <v>2431186.2481289143</v>
      </c>
      <c r="I61" s="67">
        <v>2778937.2437989609</v>
      </c>
      <c r="J61" s="67">
        <v>1024664.5193722118</v>
      </c>
      <c r="K61" s="67">
        <v>123812.17788787231</v>
      </c>
      <c r="L61" s="67">
        <v>-48166</v>
      </c>
      <c r="M61" s="68">
        <v>297199.53000000003</v>
      </c>
      <c r="N61" s="68">
        <v>38619.709084436559</v>
      </c>
      <c r="O61" s="68">
        <v>-130732.32193530673</v>
      </c>
      <c r="P61" s="168">
        <f t="shared" si="8"/>
        <v>-285115.51847724564</v>
      </c>
      <c r="Q61" s="169">
        <f t="shared" si="9"/>
        <v>-63.471842937944267</v>
      </c>
      <c r="R61" s="67"/>
      <c r="S61" s="82">
        <v>42146490.030000001</v>
      </c>
      <c r="T61" s="67">
        <v>12766945.797980862</v>
      </c>
      <c r="U61" s="67">
        <v>3653956.8965881704</v>
      </c>
      <c r="V61" s="67">
        <v>20049251.216199763</v>
      </c>
      <c r="W61" s="67">
        <v>3417394.6402846212</v>
      </c>
      <c r="X61" s="67">
        <v>1779380.53</v>
      </c>
      <c r="Y61" s="168">
        <f t="shared" si="10"/>
        <v>-479560.94894658774</v>
      </c>
      <c r="Z61" s="169">
        <f t="shared" si="11"/>
        <v>-106.75889335409344</v>
      </c>
      <c r="AA61" s="67"/>
      <c r="AB61" s="77">
        <f t="shared" si="12"/>
        <v>194445.4304693421</v>
      </c>
      <c r="AC61" s="123">
        <f t="shared" si="13"/>
        <v>43.287050416149178</v>
      </c>
      <c r="AE61" s="170"/>
      <c r="AF61" s="177">
        <v>-121908.0439687215</v>
      </c>
      <c r="AG61" s="177">
        <v>-66232.967817469558</v>
      </c>
      <c r="AH61" s="177">
        <v>-13388.844863268154</v>
      </c>
      <c r="AI61" s="178">
        <v>-21148.622929044574</v>
      </c>
      <c r="AK61" s="67">
        <f t="shared" si="14"/>
        <v>7465669.1596060665</v>
      </c>
      <c r="AL61" s="67">
        <f t="shared" si="15"/>
        <v>1222770.6484592562</v>
      </c>
      <c r="AM61" s="67">
        <f t="shared" si="16"/>
        <v>17270313.972400803</v>
      </c>
      <c r="AN61" s="67">
        <f t="shared" si="17"/>
        <v>28514229.766810872</v>
      </c>
      <c r="AO61" s="67">
        <f t="shared" si="18"/>
        <v>0</v>
      </c>
      <c r="AP61" s="67">
        <f t="shared" si="19"/>
        <v>-121908.0439687215</v>
      </c>
      <c r="AQ61" s="67">
        <f t="shared" si="20"/>
        <v>-66232.967817469558</v>
      </c>
      <c r="AR61" s="67">
        <f t="shared" si="21"/>
        <v>-13388.844863268154</v>
      </c>
      <c r="AS61" s="67">
        <f t="shared" si="22"/>
        <v>-21148.622929044574</v>
      </c>
      <c r="AT61" s="68">
        <v>3703</v>
      </c>
      <c r="AU61" s="68"/>
      <c r="AV61" s="68"/>
      <c r="AW61" s="68">
        <v>0</v>
      </c>
      <c r="AX61" s="68">
        <v>15692.5905770719</v>
      </c>
      <c r="AY61" s="68">
        <v>-1854.7102777234938</v>
      </c>
      <c r="AZ61" s="68">
        <v>2396.3416570445488</v>
      </c>
      <c r="BA61" s="299"/>
      <c r="BB61" s="67"/>
      <c r="BC61" s="67"/>
      <c r="BD61" s="67"/>
      <c r="BE61" s="67"/>
      <c r="BF61" s="67"/>
      <c r="BG61" s="67"/>
      <c r="BH61" s="67"/>
      <c r="BN61" s="299"/>
      <c r="BO61" s="67">
        <v>14087340.912234455</v>
      </c>
      <c r="BP61" s="67">
        <v>25888502.290000003</v>
      </c>
      <c r="BQ61" s="67">
        <v>28156000</v>
      </c>
      <c r="BR61" s="67">
        <v>574016.12</v>
      </c>
      <c r="BS61" s="67">
        <v>537000</v>
      </c>
      <c r="BT61" s="428">
        <v>0.58476547780024168</v>
      </c>
      <c r="BU61" s="428">
        <v>0.33464287704132489</v>
      </c>
      <c r="BV61" s="67">
        <f t="shared" si="23"/>
        <v>19786856.271201082</v>
      </c>
      <c r="BW61" s="299"/>
      <c r="BX61" s="67">
        <v>40862355</v>
      </c>
      <c r="BY61" s="67">
        <v>14087340.912234455</v>
      </c>
      <c r="BZ61" s="67">
        <v>18408748.473279938</v>
      </c>
      <c r="CA61" s="67">
        <v>9402899.9092971645</v>
      </c>
      <c r="CB61" s="67">
        <f t="shared" si="24"/>
        <v>1280345.0531128498</v>
      </c>
      <c r="CC61" s="67">
        <f t="shared" si="25"/>
        <v>-106.75889335409349</v>
      </c>
      <c r="CD61" s="67">
        <f t="shared" si="26"/>
        <v>223.09654467565429</v>
      </c>
      <c r="CE61" s="67">
        <f t="shared" si="27"/>
        <v>329.8554380297478</v>
      </c>
      <c r="CF61" s="67">
        <f t="shared" si="28"/>
        <v>-314.8554380297478</v>
      </c>
      <c r="CG61" s="67">
        <f t="shared" si="29"/>
        <v>-299.8554380297478</v>
      </c>
      <c r="CH61" s="67">
        <f t="shared" si="30"/>
        <v>-284.8554380297478</v>
      </c>
      <c r="CI61" s="67">
        <f t="shared" si="31"/>
        <v>-269.8554380297478</v>
      </c>
      <c r="CJ61" s="67">
        <f t="shared" si="32"/>
        <v>-1414330.6276296272</v>
      </c>
      <c r="CK61" s="67">
        <f t="shared" si="33"/>
        <v>-1346950.6276296272</v>
      </c>
      <c r="CL61" s="67">
        <f t="shared" si="34"/>
        <v>-1279570.6276296272</v>
      </c>
      <c r="CM61" s="67">
        <f t="shared" si="35"/>
        <v>-1212190.6276296272</v>
      </c>
      <c r="CN61" s="299"/>
      <c r="CO61" s="430">
        <v>12766.945797980861</v>
      </c>
      <c r="CP61" s="430">
        <v>3653.9568965881704</v>
      </c>
      <c r="CQ61" s="430">
        <v>1530.347</v>
      </c>
      <c r="CR61" s="430">
        <v>20049251.216199763</v>
      </c>
      <c r="CS61" s="430">
        <v>2778937.2437989609</v>
      </c>
      <c r="CT61" s="430">
        <v>3417394.6402846212</v>
      </c>
      <c r="CU61" s="430">
        <v>1024664.5193722118</v>
      </c>
      <c r="CV61" s="430">
        <v>-48166</v>
      </c>
      <c r="CW61" s="430">
        <v>38619.709084436559</v>
      </c>
      <c r="CX61" s="430">
        <v>297199.53000000003</v>
      </c>
      <c r="CY61" s="430">
        <v>13632260.26318913</v>
      </c>
      <c r="CZ61" s="519"/>
      <c r="DA61" s="524">
        <v>13137.575210000001</v>
      </c>
      <c r="DB61" s="524">
        <v>3625.3814784319497</v>
      </c>
      <c r="DC61" s="520">
        <f t="shared" si="36"/>
        <v>-1</v>
      </c>
      <c r="DD61" s="440">
        <v>4643</v>
      </c>
      <c r="DE61" s="450">
        <v>14087340.912234455</v>
      </c>
      <c r="DF61" s="440">
        <v>5682266.088297165</v>
      </c>
      <c r="DG61" s="440">
        <v>1533281.355</v>
      </c>
      <c r="DH61" s="440">
        <v>2187352.466</v>
      </c>
      <c r="DI61" s="440">
        <v>2771510.6897143479</v>
      </c>
      <c r="DJ61" s="440">
        <v>1026211.1262806533</v>
      </c>
      <c r="DK61" s="440">
        <v>1279545.0623940355</v>
      </c>
      <c r="DL61" s="440">
        <v>-48166</v>
      </c>
      <c r="DM61" s="440">
        <v>262650</v>
      </c>
      <c r="DN61" s="440">
        <v>39920.518221036917</v>
      </c>
      <c r="DO61" s="457">
        <f t="shared" si="37"/>
        <v>647230.39367278293</v>
      </c>
      <c r="DP61" s="459">
        <f t="shared" si="38"/>
        <v>139.3991802009009</v>
      </c>
      <c r="DQ61" s="440"/>
      <c r="DR61" s="450">
        <v>40862355</v>
      </c>
      <c r="DS61" s="440">
        <v>13594438.419279939</v>
      </c>
      <c r="DT61" s="440">
        <v>3281028.699</v>
      </c>
      <c r="DU61" s="440">
        <v>20041857.406199757</v>
      </c>
      <c r="DV61" s="440">
        <v>3422552.7833252018</v>
      </c>
      <c r="DW61" s="440">
        <v>1747765.355</v>
      </c>
      <c r="DX61" s="457">
        <f t="shared" si="39"/>
        <v>1225287.6628049016</v>
      </c>
      <c r="DY61" s="459">
        <f t="shared" si="40"/>
        <v>263.89999198899454</v>
      </c>
      <c r="DZ61" s="440"/>
      <c r="EA61" s="457">
        <f t="shared" si="41"/>
        <v>-578057.26913211867</v>
      </c>
      <c r="EB61" s="459">
        <f t="shared" si="42"/>
        <v>-124.50081178809361</v>
      </c>
      <c r="ED61" s="457">
        <v>597398.68318906042</v>
      </c>
      <c r="EE61" s="458">
        <v>521737.49319066358</v>
      </c>
      <c r="EF61" s="458">
        <v>447037.81403223891</v>
      </c>
      <c r="EG61" s="458">
        <v>371866.53439235728</v>
      </c>
      <c r="EH61" s="459">
        <v>297689.04170739831</v>
      </c>
    </row>
    <row r="62" spans="1:138" x14ac:dyDescent="0.2">
      <c r="A62" s="67">
        <v>153</v>
      </c>
      <c r="B62" s="67" t="s">
        <v>184</v>
      </c>
      <c r="C62" s="67">
        <v>9</v>
      </c>
      <c r="D62" s="67">
        <v>25208</v>
      </c>
      <c r="E62" s="82">
        <v>67738650.691070482</v>
      </c>
      <c r="F62" s="67">
        <v>34857735.021234594</v>
      </c>
      <c r="G62" s="67">
        <v>12513161</v>
      </c>
      <c r="H62" s="67">
        <v>3226694.4474077611</v>
      </c>
      <c r="I62" s="67">
        <v>6835019.9496215405</v>
      </c>
      <c r="J62" s="67">
        <v>3864099.0672433544</v>
      </c>
      <c r="K62" s="67">
        <v>4949720.6378521398</v>
      </c>
      <c r="L62" s="67">
        <v>-1153477</v>
      </c>
      <c r="M62" s="68">
        <v>-8717298.9399999995</v>
      </c>
      <c r="N62" s="68">
        <v>265553.9812294959</v>
      </c>
      <c r="O62" s="68">
        <v>-733637.66058441938</v>
      </c>
      <c r="P62" s="168">
        <f t="shared" si="8"/>
        <v>-11831080.187066019</v>
      </c>
      <c r="Q62" s="169">
        <f t="shared" si="9"/>
        <v>-469.33831272080363</v>
      </c>
      <c r="R62" s="67"/>
      <c r="S62" s="82">
        <v>180842709.18000001</v>
      </c>
      <c r="T62" s="67">
        <v>92977667.563267142</v>
      </c>
      <c r="U62" s="67">
        <v>4849567.752516822</v>
      </c>
      <c r="V62" s="67">
        <v>59805318.432155721</v>
      </c>
      <c r="W62" s="67">
        <v>12887292.564806219</v>
      </c>
      <c r="X62" s="67">
        <v>2642385.0600000005</v>
      </c>
      <c r="Y62" s="168">
        <f t="shared" si="10"/>
        <v>-7680477.8072541058</v>
      </c>
      <c r="Z62" s="169">
        <f t="shared" si="11"/>
        <v>-304.68414024333964</v>
      </c>
      <c r="AA62" s="67"/>
      <c r="AB62" s="77">
        <f t="shared" si="12"/>
        <v>-4150602.3798119128</v>
      </c>
      <c r="AC62" s="123">
        <f t="shared" si="13"/>
        <v>-164.65417247746402</v>
      </c>
      <c r="AE62" s="170"/>
      <c r="AF62" s="177">
        <v>3801424.3653211729</v>
      </c>
      <c r="AG62" s="177">
        <v>3357619.2094041561</v>
      </c>
      <c r="AH62" s="177">
        <v>2941107.4730191035</v>
      </c>
      <c r="AI62" s="178">
        <v>2519441.5056366255</v>
      </c>
      <c r="AK62" s="67">
        <f t="shared" si="14"/>
        <v>58119932.542032547</v>
      </c>
      <c r="AL62" s="67">
        <f t="shared" si="15"/>
        <v>1622873.3051090608</v>
      </c>
      <c r="AM62" s="67">
        <f t="shared" si="16"/>
        <v>52970298.482534178</v>
      </c>
      <c r="AN62" s="67">
        <f t="shared" si="17"/>
        <v>113104058.48892953</v>
      </c>
      <c r="AO62" s="67">
        <f t="shared" si="18"/>
        <v>0</v>
      </c>
      <c r="AP62" s="67">
        <f t="shared" si="19"/>
        <v>3801424.3653211729</v>
      </c>
      <c r="AQ62" s="67">
        <f t="shared" si="20"/>
        <v>3357619.2094041561</v>
      </c>
      <c r="AR62" s="67">
        <f t="shared" si="21"/>
        <v>2941107.4730191035</v>
      </c>
      <c r="AS62" s="67">
        <f t="shared" si="22"/>
        <v>2519441.5056366255</v>
      </c>
      <c r="AT62" s="68">
        <v>8523</v>
      </c>
      <c r="AU62" s="68"/>
      <c r="AV62" s="68"/>
      <c r="AW62" s="68">
        <v>124</v>
      </c>
      <c r="AX62" s="68">
        <v>49864.172720510149</v>
      </c>
      <c r="AY62" s="68">
        <v>-2255.3371407802529</v>
      </c>
      <c r="AZ62" s="68">
        <v>9048.4916084770302</v>
      </c>
      <c r="BA62" s="299"/>
      <c r="BB62" s="67"/>
      <c r="BC62" s="67"/>
      <c r="BD62" s="67"/>
      <c r="BE62" s="67"/>
      <c r="BF62" s="67"/>
      <c r="BG62" s="67"/>
      <c r="BH62" s="67"/>
      <c r="BN62" s="299"/>
      <c r="BO62" s="67">
        <v>71475352.554919332</v>
      </c>
      <c r="BP62" s="67">
        <v>101521755.85999998</v>
      </c>
      <c r="BQ62" s="67">
        <v>111785000</v>
      </c>
      <c r="BR62" s="67">
        <v>2794349.26</v>
      </c>
      <c r="BS62" s="67">
        <v>2675000</v>
      </c>
      <c r="BT62" s="428">
        <v>0.62509561774589084</v>
      </c>
      <c r="BU62" s="428">
        <v>0.33464287704132484</v>
      </c>
      <c r="BV62" s="67">
        <f t="shared" si="23"/>
        <v>66943212.61794918</v>
      </c>
      <c r="BW62" s="299"/>
      <c r="BX62" s="67">
        <v>180749309.46000001</v>
      </c>
      <c r="BY62" s="67">
        <v>71475352.554919332</v>
      </c>
      <c r="BZ62" s="67">
        <v>112811654.38275689</v>
      </c>
      <c r="CA62" s="67">
        <v>51763342.042125702</v>
      </c>
      <c r="CB62" s="67">
        <f t="shared" si="24"/>
        <v>7599519.8501480557</v>
      </c>
      <c r="CC62" s="67">
        <f t="shared" si="25"/>
        <v>-304.68414024333958</v>
      </c>
      <c r="CD62" s="67">
        <f t="shared" si="26"/>
        <v>-335.11755451387188</v>
      </c>
      <c r="CE62" s="67">
        <f t="shared" si="27"/>
        <v>-30.433414270532296</v>
      </c>
      <c r="CF62" s="67">
        <f t="shared" si="28"/>
        <v>15.433414270532296</v>
      </c>
      <c r="CG62" s="67">
        <f t="shared" si="29"/>
        <v>0.43341427053229609</v>
      </c>
      <c r="CH62" s="67">
        <f t="shared" si="30"/>
        <v>0</v>
      </c>
      <c r="CI62" s="67">
        <f t="shared" si="31"/>
        <v>0</v>
      </c>
      <c r="CJ62" s="67">
        <f t="shared" si="32"/>
        <v>389045.5069315781</v>
      </c>
      <c r="CK62" s="67">
        <f t="shared" si="33"/>
        <v>10925.50693157812</v>
      </c>
      <c r="CL62" s="67">
        <f t="shared" si="34"/>
        <v>0</v>
      </c>
      <c r="CM62" s="67">
        <f t="shared" si="35"/>
        <v>0</v>
      </c>
      <c r="CN62" s="299"/>
      <c r="CO62" s="430">
        <v>92977.667563267139</v>
      </c>
      <c r="CP62" s="430">
        <v>4849.5677525168221</v>
      </c>
      <c r="CQ62" s="430">
        <v>12513.161</v>
      </c>
      <c r="CR62" s="430">
        <v>59805318.432155721</v>
      </c>
      <c r="CS62" s="430">
        <v>6835019.9496215405</v>
      </c>
      <c r="CT62" s="430">
        <v>12887292.564806219</v>
      </c>
      <c r="CU62" s="430">
        <v>3864099.0672433544</v>
      </c>
      <c r="CV62" s="430">
        <v>-1153477</v>
      </c>
      <c r="CW62" s="430">
        <v>265553.9812294959</v>
      </c>
      <c r="CX62" s="430">
        <v>-8717298.9399999995</v>
      </c>
      <c r="CY62" s="430">
        <v>67738650.691070482</v>
      </c>
      <c r="CZ62" s="519"/>
      <c r="DA62" s="524">
        <v>93572.792279999994</v>
      </c>
      <c r="DB62" s="524">
        <v>4811.6469967070507</v>
      </c>
      <c r="DC62" s="520">
        <f t="shared" si="36"/>
        <v>-1</v>
      </c>
      <c r="DD62" s="440">
        <v>25655</v>
      </c>
      <c r="DE62" s="450">
        <v>71475352.554919332</v>
      </c>
      <c r="DF62" s="440">
        <v>36317417.230825707</v>
      </c>
      <c r="DG62" s="440">
        <v>12542848.9725</v>
      </c>
      <c r="DH62" s="440">
        <v>2903075.8388</v>
      </c>
      <c r="DI62" s="440">
        <v>6794148.4251743881</v>
      </c>
      <c r="DJ62" s="440">
        <v>3874932.7490005866</v>
      </c>
      <c r="DK62" s="440">
        <v>7596460.1907860134</v>
      </c>
      <c r="DL62" s="440">
        <v>-1173353</v>
      </c>
      <c r="DM62" s="440">
        <v>-37601</v>
      </c>
      <c r="DN62" s="440">
        <v>270610.84225914837</v>
      </c>
      <c r="DO62" s="457">
        <f t="shared" si="37"/>
        <v>-2386812.3055734932</v>
      </c>
      <c r="DP62" s="459">
        <f t="shared" si="38"/>
        <v>-93.034975855524976</v>
      </c>
      <c r="DQ62" s="440"/>
      <c r="DR62" s="450">
        <v>180749309.46000001</v>
      </c>
      <c r="DS62" s="440">
        <v>95914191.652056888</v>
      </c>
      <c r="DT62" s="440">
        <v>4354613.7582</v>
      </c>
      <c r="DU62" s="440">
        <v>59764596.162155665</v>
      </c>
      <c r="DV62" s="440">
        <v>12923424.357477617</v>
      </c>
      <c r="DW62" s="440">
        <v>11331894.9725</v>
      </c>
      <c r="DX62" s="457">
        <f t="shared" si="39"/>
        <v>3539411.4423901737</v>
      </c>
      <c r="DY62" s="459">
        <f t="shared" si="40"/>
        <v>137.96185704112935</v>
      </c>
      <c r="DZ62" s="440"/>
      <c r="EA62" s="457">
        <f t="shared" si="41"/>
        <v>-5926223.7479636669</v>
      </c>
      <c r="EB62" s="459">
        <f t="shared" si="42"/>
        <v>-230.99683289665433</v>
      </c>
      <c r="ED62" s="457">
        <v>6033095.1624867953</v>
      </c>
      <c r="EE62" s="458">
        <v>5615027.5705400221</v>
      </c>
      <c r="EF62" s="458">
        <v>5202272.8281731503</v>
      </c>
      <c r="EG62" s="458">
        <v>4786912.246833249</v>
      </c>
      <c r="EH62" s="459">
        <v>4377042.8574658949</v>
      </c>
    </row>
    <row r="63" spans="1:138" x14ac:dyDescent="0.2">
      <c r="A63" s="67">
        <v>148</v>
      </c>
      <c r="B63" s="67" t="s">
        <v>185</v>
      </c>
      <c r="C63" s="67">
        <v>19</v>
      </c>
      <c r="D63" s="67">
        <v>7047</v>
      </c>
      <c r="E63" s="82">
        <v>25777157.686309665</v>
      </c>
      <c r="F63" s="67">
        <v>7720538.0081954384</v>
      </c>
      <c r="G63" s="67">
        <v>4903682</v>
      </c>
      <c r="H63" s="67">
        <v>2527478.2946304027</v>
      </c>
      <c r="I63" s="67">
        <v>7653283.9203694966</v>
      </c>
      <c r="J63" s="67">
        <v>1153919.8395595718</v>
      </c>
      <c r="K63" s="67">
        <v>-5334.4993273097652</v>
      </c>
      <c r="L63" s="67">
        <v>-702904</v>
      </c>
      <c r="M63" s="68">
        <v>909324.63</v>
      </c>
      <c r="N63" s="68">
        <v>69878.045193239523</v>
      </c>
      <c r="O63" s="68">
        <v>-205091.42312513501</v>
      </c>
      <c r="P63" s="168">
        <f t="shared" si="8"/>
        <v>-1752382.8708139604</v>
      </c>
      <c r="Q63" s="169">
        <f t="shared" si="9"/>
        <v>-248.67076356094231</v>
      </c>
      <c r="R63" s="67"/>
      <c r="S63" s="82">
        <v>59381182.480000004</v>
      </c>
      <c r="T63" s="67">
        <v>22170097.361159049</v>
      </c>
      <c r="U63" s="67">
        <v>3798679.2467049044</v>
      </c>
      <c r="V63" s="67">
        <v>24669274.057985581</v>
      </c>
      <c r="W63" s="67">
        <v>3848478.6000446281</v>
      </c>
      <c r="X63" s="67">
        <v>5110102.63</v>
      </c>
      <c r="Y63" s="168">
        <f t="shared" si="10"/>
        <v>215449.41589415818</v>
      </c>
      <c r="Z63" s="169">
        <f t="shared" si="11"/>
        <v>30.573210712949933</v>
      </c>
      <c r="AA63" s="67"/>
      <c r="AB63" s="77">
        <f t="shared" si="12"/>
        <v>-1967832.2867081186</v>
      </c>
      <c r="AC63" s="123">
        <f t="shared" si="13"/>
        <v>-279.24397427389226</v>
      </c>
      <c r="AE63" s="170"/>
      <c r="AF63" s="177">
        <v>1870218.137703205</v>
      </c>
      <c r="AG63" s="177">
        <v>1746150.5824133281</v>
      </c>
      <c r="AH63" s="177">
        <v>1629713.0147242823</v>
      </c>
      <c r="AI63" s="178">
        <v>1511834.5605770147</v>
      </c>
      <c r="AK63" s="67">
        <f t="shared" si="14"/>
        <v>14449559.352963611</v>
      </c>
      <c r="AL63" s="67">
        <f t="shared" si="15"/>
        <v>1271200.9520745017</v>
      </c>
      <c r="AM63" s="67">
        <f t="shared" si="16"/>
        <v>17015990.137616083</v>
      </c>
      <c r="AN63" s="67">
        <f t="shared" si="17"/>
        <v>33604024.793690339</v>
      </c>
      <c r="AO63" s="67">
        <f t="shared" si="18"/>
        <v>0</v>
      </c>
      <c r="AP63" s="67">
        <f t="shared" si="19"/>
        <v>1870218.137703205</v>
      </c>
      <c r="AQ63" s="67">
        <f t="shared" si="20"/>
        <v>1746150.5824133281</v>
      </c>
      <c r="AR63" s="67">
        <f t="shared" si="21"/>
        <v>1629713.0147242823</v>
      </c>
      <c r="AS63" s="67">
        <f t="shared" si="22"/>
        <v>1511834.5605770147</v>
      </c>
      <c r="AT63" s="68">
        <v>3689</v>
      </c>
      <c r="AU63" s="68"/>
      <c r="AV63" s="68"/>
      <c r="AW63" s="68">
        <v>210</v>
      </c>
      <c r="AX63" s="68">
        <v>14161.99640012103</v>
      </c>
      <c r="AY63" s="68">
        <v>-882.60511790207283</v>
      </c>
      <c r="AZ63" s="68">
        <v>2697.1714374986104</v>
      </c>
      <c r="BA63" s="299"/>
      <c r="BB63" s="67"/>
      <c r="BC63" s="67"/>
      <c r="BD63" s="67"/>
      <c r="BE63" s="67"/>
      <c r="BF63" s="67"/>
      <c r="BG63" s="67"/>
      <c r="BH63" s="67"/>
      <c r="BN63" s="299"/>
      <c r="BO63" s="67">
        <v>26047025.871376816</v>
      </c>
      <c r="BP63" s="67">
        <v>30416608.870000001</v>
      </c>
      <c r="BQ63" s="67">
        <v>32868000</v>
      </c>
      <c r="BR63" s="67">
        <v>845096.33000000007</v>
      </c>
      <c r="BS63" s="67">
        <v>870000</v>
      </c>
      <c r="BT63" s="428">
        <v>0.65175894889296015</v>
      </c>
      <c r="BU63" s="428">
        <v>0.33464287704132478</v>
      </c>
      <c r="BV63" s="67">
        <f t="shared" si="23"/>
        <v>19705214.39877383</v>
      </c>
      <c r="BW63" s="299"/>
      <c r="BX63" s="67">
        <v>59078046.390000001</v>
      </c>
      <c r="BY63" s="67">
        <v>26047025.871376816</v>
      </c>
      <c r="BZ63" s="67">
        <v>30271399.259992056</v>
      </c>
      <c r="CA63" s="67">
        <v>15005676.578269519</v>
      </c>
      <c r="CB63" s="67">
        <f t="shared" si="24"/>
        <v>-57876.163259926579</v>
      </c>
      <c r="CC63" s="67">
        <f t="shared" si="25"/>
        <v>30.573210712950331</v>
      </c>
      <c r="CD63" s="67">
        <f t="shared" si="26"/>
        <v>-227.02328815402925</v>
      </c>
      <c r="CE63" s="67">
        <f t="shared" si="27"/>
        <v>-257.59649886697957</v>
      </c>
      <c r="CF63" s="67">
        <f t="shared" si="28"/>
        <v>242.59649886697957</v>
      </c>
      <c r="CG63" s="67">
        <f t="shared" si="29"/>
        <v>227.59649886697957</v>
      </c>
      <c r="CH63" s="67">
        <f t="shared" si="30"/>
        <v>212.59649886697957</v>
      </c>
      <c r="CI63" s="67">
        <f t="shared" si="31"/>
        <v>197.59649886697957</v>
      </c>
      <c r="CJ63" s="67">
        <f t="shared" si="32"/>
        <v>1709577.5275156051</v>
      </c>
      <c r="CK63" s="67">
        <f t="shared" si="33"/>
        <v>1603872.5275156051</v>
      </c>
      <c r="CL63" s="67">
        <f t="shared" si="34"/>
        <v>1498167.5275156051</v>
      </c>
      <c r="CM63" s="67">
        <f t="shared" si="35"/>
        <v>1392462.5275156051</v>
      </c>
      <c r="CN63" s="299"/>
      <c r="CO63" s="430">
        <v>22170.097361159049</v>
      </c>
      <c r="CP63" s="430">
        <v>3798.6792467049045</v>
      </c>
      <c r="CQ63" s="430">
        <v>4903.6819999999998</v>
      </c>
      <c r="CR63" s="430">
        <v>24669274.057985581</v>
      </c>
      <c r="CS63" s="430">
        <v>7653283.9203694966</v>
      </c>
      <c r="CT63" s="430">
        <v>3848478.6000446281</v>
      </c>
      <c r="CU63" s="430">
        <v>1153919.8395595718</v>
      </c>
      <c r="CV63" s="430">
        <v>-702904</v>
      </c>
      <c r="CW63" s="430">
        <v>69878.045193239523</v>
      </c>
      <c r="CX63" s="430">
        <v>909324.63</v>
      </c>
      <c r="CY63" s="430">
        <v>25777157.686309665</v>
      </c>
      <c r="CZ63" s="519"/>
      <c r="DA63" s="524">
        <v>23648.466899999999</v>
      </c>
      <c r="DB63" s="524">
        <v>3768.9714862259289</v>
      </c>
      <c r="DC63" s="520">
        <f t="shared" si="36"/>
        <v>-1</v>
      </c>
      <c r="DD63" s="440">
        <v>7008</v>
      </c>
      <c r="DE63" s="450">
        <v>26047025.871376816</v>
      </c>
      <c r="DF63" s="440">
        <v>7750450.8981695184</v>
      </c>
      <c r="DG63" s="440">
        <v>4981238.6974999998</v>
      </c>
      <c r="DH63" s="440">
        <v>2273986.9826000002</v>
      </c>
      <c r="DI63" s="440">
        <v>7642526.966575426</v>
      </c>
      <c r="DJ63" s="440">
        <v>1155038.6942991759</v>
      </c>
      <c r="DK63" s="440">
        <v>-56517.299530779419</v>
      </c>
      <c r="DL63" s="440">
        <v>-678015</v>
      </c>
      <c r="DM63" s="440">
        <v>890760</v>
      </c>
      <c r="DN63" s="440">
        <v>67668.86608667238</v>
      </c>
      <c r="DO63" s="457">
        <f t="shared" si="37"/>
        <v>-2019887.0656768046</v>
      </c>
      <c r="DP63" s="459">
        <f t="shared" si="38"/>
        <v>-288.22589407488653</v>
      </c>
      <c r="DQ63" s="440"/>
      <c r="DR63" s="450">
        <v>59078046.390000001</v>
      </c>
      <c r="DS63" s="440">
        <v>21879180.088592052</v>
      </c>
      <c r="DT63" s="440">
        <v>3410980.4739000001</v>
      </c>
      <c r="DU63" s="440">
        <v>24658555.217985582</v>
      </c>
      <c r="DV63" s="440">
        <v>3852210.1317977863</v>
      </c>
      <c r="DW63" s="440">
        <v>5193983.6974999998</v>
      </c>
      <c r="DX63" s="457">
        <f t="shared" si="39"/>
        <v>-83136.780224584043</v>
      </c>
      <c r="DY63" s="459">
        <f t="shared" si="40"/>
        <v>-11.86312503204681</v>
      </c>
      <c r="DZ63" s="440"/>
      <c r="EA63" s="457">
        <f t="shared" si="41"/>
        <v>-1936750.2854522206</v>
      </c>
      <c r="EB63" s="459">
        <f t="shared" si="42"/>
        <v>-276.36276904283972</v>
      </c>
      <c r="ED63" s="457">
        <v>1965943.6151336939</v>
      </c>
      <c r="EE63" s="458">
        <v>1851742.9647979701</v>
      </c>
      <c r="EF63" s="458">
        <v>1738993.589061972</v>
      </c>
      <c r="EG63" s="458">
        <v>1625532.3942059975</v>
      </c>
      <c r="EH63" s="459">
        <v>1513571.1905152388</v>
      </c>
    </row>
    <row r="64" spans="1:138" x14ac:dyDescent="0.2">
      <c r="A64" s="67">
        <v>149</v>
      </c>
      <c r="B64" s="67" t="s">
        <v>186</v>
      </c>
      <c r="C64" s="67">
        <v>33</v>
      </c>
      <c r="D64" s="67">
        <v>5384</v>
      </c>
      <c r="E64" s="82">
        <v>16465826.843191355</v>
      </c>
      <c r="F64" s="67">
        <v>9413376.4026359413</v>
      </c>
      <c r="G64" s="67">
        <v>2987441</v>
      </c>
      <c r="H64" s="67">
        <v>1194091.1893919087</v>
      </c>
      <c r="I64" s="67">
        <v>2432785.6239520474</v>
      </c>
      <c r="J64" s="67">
        <v>863024.10490355967</v>
      </c>
      <c r="K64" s="67">
        <v>445377.01042662899</v>
      </c>
      <c r="L64" s="67">
        <v>-1115005</v>
      </c>
      <c r="M64" s="68">
        <v>-86942.66</v>
      </c>
      <c r="N64" s="68">
        <v>66747.362269006073</v>
      </c>
      <c r="O64" s="68">
        <v>-156692.52477731332</v>
      </c>
      <c r="P64" s="168">
        <f t="shared" si="8"/>
        <v>-421624.33438957634</v>
      </c>
      <c r="Q64" s="169">
        <f t="shared" si="9"/>
        <v>-78.310611885136765</v>
      </c>
      <c r="R64" s="67"/>
      <c r="S64" s="82">
        <v>37078673.960000001</v>
      </c>
      <c r="T64" s="67">
        <v>23829242.810054984</v>
      </c>
      <c r="U64" s="67">
        <v>1794662.0667140174</v>
      </c>
      <c r="V64" s="67">
        <v>6717196.7093502264</v>
      </c>
      <c r="W64" s="67">
        <v>2878302.0147324139</v>
      </c>
      <c r="X64" s="67">
        <v>1785493.34</v>
      </c>
      <c r="Y64" s="168">
        <f t="shared" si="10"/>
        <v>-73777.019148357213</v>
      </c>
      <c r="Z64" s="169">
        <f t="shared" si="11"/>
        <v>-13.703012471834549</v>
      </c>
      <c r="AA64" s="67"/>
      <c r="AB64" s="77">
        <f t="shared" si="12"/>
        <v>-347847.31524121913</v>
      </c>
      <c r="AC64" s="123">
        <f t="shared" si="13"/>
        <v>-64.607599413302211</v>
      </c>
      <c r="AE64" s="170"/>
      <c r="AF64" s="177">
        <v>273268.831029138</v>
      </c>
      <c r="AG64" s="177">
        <v>178479.59906082557</v>
      </c>
      <c r="AH64" s="177">
        <v>89519.777230568478</v>
      </c>
      <c r="AI64" s="178">
        <v>-540.90066483228861</v>
      </c>
      <c r="AK64" s="67">
        <f t="shared" si="14"/>
        <v>14415866.407419043</v>
      </c>
      <c r="AL64" s="67">
        <f t="shared" si="15"/>
        <v>600570.87732210872</v>
      </c>
      <c r="AM64" s="67">
        <f t="shared" si="16"/>
        <v>4284411.0853981785</v>
      </c>
      <c r="AN64" s="67">
        <f t="shared" si="17"/>
        <v>20612847.116808645</v>
      </c>
      <c r="AO64" s="67">
        <f t="shared" si="18"/>
        <v>0</v>
      </c>
      <c r="AP64" s="67">
        <f t="shared" si="19"/>
        <v>273268.831029138</v>
      </c>
      <c r="AQ64" s="67">
        <f t="shared" si="20"/>
        <v>178479.59906082557</v>
      </c>
      <c r="AR64" s="67">
        <f t="shared" si="21"/>
        <v>89519.777230568478</v>
      </c>
      <c r="AS64" s="67">
        <f t="shared" si="22"/>
        <v>-540.90066483228861</v>
      </c>
      <c r="AT64" s="68">
        <v>1912</v>
      </c>
      <c r="AU64" s="68"/>
      <c r="AV64" s="68"/>
      <c r="AW64" s="68">
        <v>14</v>
      </c>
      <c r="AX64" s="68">
        <v>5051.0057105073265</v>
      </c>
      <c r="AY64" s="68">
        <v>817.52393339926834</v>
      </c>
      <c r="AZ64" s="68">
        <v>1994.3607660314092</v>
      </c>
      <c r="BA64" s="299"/>
      <c r="BB64" s="67"/>
      <c r="BC64" s="67"/>
      <c r="BD64" s="67"/>
      <c r="BE64" s="67"/>
      <c r="BF64" s="67"/>
      <c r="BG64" s="67"/>
      <c r="BH64" s="67"/>
      <c r="BN64" s="299"/>
      <c r="BO64" s="67">
        <v>16037159.111408591</v>
      </c>
      <c r="BP64" s="67">
        <v>18349401.940000005</v>
      </c>
      <c r="BQ64" s="67">
        <v>20758000</v>
      </c>
      <c r="BR64" s="67">
        <v>372452.32</v>
      </c>
      <c r="BS64" s="67">
        <v>392000</v>
      </c>
      <c r="BT64" s="428">
        <v>0.60496535799853979</v>
      </c>
      <c r="BU64" s="428">
        <v>0.33464287704132478</v>
      </c>
      <c r="BV64" s="67">
        <f t="shared" si="23"/>
        <v>6745066.0056536635</v>
      </c>
      <c r="BW64" s="299"/>
      <c r="BX64" s="67">
        <v>36539624</v>
      </c>
      <c r="BY64" s="67">
        <v>16037159.111408591</v>
      </c>
      <c r="BZ64" s="67">
        <v>28406372.66918144</v>
      </c>
      <c r="CA64" s="67">
        <v>13591816.74506332</v>
      </c>
      <c r="CB64" s="67">
        <f t="shared" si="24"/>
        <v>282510.21869984875</v>
      </c>
      <c r="CC64" s="67">
        <f t="shared" si="25"/>
        <v>-13.703012471835025</v>
      </c>
      <c r="CD64" s="67">
        <f t="shared" si="26"/>
        <v>-79.457392522110624</v>
      </c>
      <c r="CE64" s="67">
        <f t="shared" si="27"/>
        <v>-65.7543800502756</v>
      </c>
      <c r="CF64" s="67">
        <f t="shared" si="28"/>
        <v>50.7543800502756</v>
      </c>
      <c r="CG64" s="67">
        <f t="shared" si="29"/>
        <v>35.7543800502756</v>
      </c>
      <c r="CH64" s="67">
        <f t="shared" si="30"/>
        <v>20.7543800502756</v>
      </c>
      <c r="CI64" s="67">
        <f t="shared" si="31"/>
        <v>5.7543800502756</v>
      </c>
      <c r="CJ64" s="67">
        <f t="shared" si="32"/>
        <v>273261.58219068381</v>
      </c>
      <c r="CK64" s="67">
        <f t="shared" si="33"/>
        <v>192501.58219068384</v>
      </c>
      <c r="CL64" s="67">
        <f t="shared" si="34"/>
        <v>111741.58219068382</v>
      </c>
      <c r="CM64" s="67">
        <f t="shared" si="35"/>
        <v>30981.582190683832</v>
      </c>
      <c r="CN64" s="299"/>
      <c r="CO64" s="430">
        <v>23829.242810054984</v>
      </c>
      <c r="CP64" s="430">
        <v>1794.6620667140173</v>
      </c>
      <c r="CQ64" s="430">
        <v>2987.4409999999998</v>
      </c>
      <c r="CR64" s="430">
        <v>6717196.7093502264</v>
      </c>
      <c r="CS64" s="430">
        <v>2432785.6239520474</v>
      </c>
      <c r="CT64" s="430">
        <v>2878302.0147324139</v>
      </c>
      <c r="CU64" s="430">
        <v>863024.10490355967</v>
      </c>
      <c r="CV64" s="430">
        <v>-1115005</v>
      </c>
      <c r="CW64" s="430">
        <v>66747.362269006073</v>
      </c>
      <c r="CX64" s="430">
        <v>-86942.66</v>
      </c>
      <c r="CY64" s="430">
        <v>16465826.843191355</v>
      </c>
      <c r="CZ64" s="519"/>
      <c r="DA64" s="524">
        <v>24276.582859999999</v>
      </c>
      <c r="DB64" s="524">
        <v>1780.6276754518465</v>
      </c>
      <c r="DC64" s="520">
        <f t="shared" si="36"/>
        <v>-1</v>
      </c>
      <c r="DD64" s="440">
        <v>5353</v>
      </c>
      <c r="DE64" s="450">
        <v>16037159.111408591</v>
      </c>
      <c r="DF64" s="440">
        <v>9537675.651263319</v>
      </c>
      <c r="DG64" s="440">
        <v>2979810.2770000002</v>
      </c>
      <c r="DH64" s="440">
        <v>1074330.8168000001</v>
      </c>
      <c r="DI64" s="440">
        <v>2424406.8893583822</v>
      </c>
      <c r="DJ64" s="440">
        <v>854066.53174956329</v>
      </c>
      <c r="DK64" s="440">
        <v>283177.42182702594</v>
      </c>
      <c r="DL64" s="440">
        <v>-1115005</v>
      </c>
      <c r="DM64" s="440">
        <v>-41760</v>
      </c>
      <c r="DN64" s="440">
        <v>65668.96450719166</v>
      </c>
      <c r="DO64" s="457">
        <f t="shared" si="37"/>
        <v>25212.441096890718</v>
      </c>
      <c r="DP64" s="459">
        <f t="shared" si="38"/>
        <v>4.7099647107959495</v>
      </c>
      <c r="DQ64" s="440"/>
      <c r="DR64" s="450">
        <v>36539624</v>
      </c>
      <c r="DS64" s="440">
        <v>23815066.16698144</v>
      </c>
      <c r="DT64" s="440">
        <v>1611496.2252</v>
      </c>
      <c r="DU64" s="440">
        <v>6708837.2593502291</v>
      </c>
      <c r="DV64" s="440">
        <v>2848427.2977809724</v>
      </c>
      <c r="DW64" s="440">
        <v>1823045.2770000002</v>
      </c>
      <c r="DX64" s="457">
        <f t="shared" si="39"/>
        <v>267248.22631263733</v>
      </c>
      <c r="DY64" s="459">
        <f t="shared" si="40"/>
        <v>49.924944201875086</v>
      </c>
      <c r="DZ64" s="440"/>
      <c r="EA64" s="457">
        <f t="shared" si="41"/>
        <v>-242035.78521574661</v>
      </c>
      <c r="EB64" s="459">
        <f t="shared" si="42"/>
        <v>-45.214979491079134</v>
      </c>
      <c r="ED64" s="457">
        <v>264334.85681748361</v>
      </c>
      <c r="EE64" s="458">
        <v>177103.68084043902</v>
      </c>
      <c r="EF64" s="458">
        <v>90981.048375427825</v>
      </c>
      <c r="EG64" s="458">
        <v>4314.6990512223147</v>
      </c>
      <c r="EH64" s="459">
        <v>-2061.6802508053356</v>
      </c>
    </row>
    <row r="65" spans="1:138" x14ac:dyDescent="0.2">
      <c r="A65" s="67">
        <v>151</v>
      </c>
      <c r="B65" s="67" t="s">
        <v>187</v>
      </c>
      <c r="C65" s="67">
        <v>14</v>
      </c>
      <c r="D65" s="67">
        <v>1852</v>
      </c>
      <c r="E65" s="82">
        <v>3672790.1175352074</v>
      </c>
      <c r="F65" s="67">
        <v>2615680.9380952609</v>
      </c>
      <c r="G65" s="67">
        <v>1012485</v>
      </c>
      <c r="H65" s="67">
        <v>664718.03637757176</v>
      </c>
      <c r="I65" s="67">
        <v>1198552.1442879618</v>
      </c>
      <c r="J65" s="67">
        <v>490914.03063922725</v>
      </c>
      <c r="K65" s="67">
        <v>-320465.66286763974</v>
      </c>
      <c r="L65" s="67">
        <v>-508908</v>
      </c>
      <c r="M65" s="68">
        <v>64804.13</v>
      </c>
      <c r="N65" s="68">
        <v>15000.907057501621</v>
      </c>
      <c r="O65" s="68">
        <v>-53899.434600219953</v>
      </c>
      <c r="P65" s="168">
        <f t="shared" si="8"/>
        <v>1506091.9714544555</v>
      </c>
      <c r="Q65" s="169">
        <f t="shared" si="9"/>
        <v>813.2246066168766</v>
      </c>
      <c r="R65" s="67"/>
      <c r="S65" s="82">
        <v>14896756.850000001</v>
      </c>
      <c r="T65" s="67">
        <v>5656177.1975362152</v>
      </c>
      <c r="U65" s="67">
        <v>999039.48337058211</v>
      </c>
      <c r="V65" s="67">
        <v>7172435.543499398</v>
      </c>
      <c r="W65" s="67">
        <v>1637264.6319156941</v>
      </c>
      <c r="X65" s="67">
        <v>568381.13</v>
      </c>
      <c r="Y65" s="168">
        <f t="shared" si="10"/>
        <v>1136541.1363218874</v>
      </c>
      <c r="Z65" s="169">
        <f t="shared" si="11"/>
        <v>613.68311896430203</v>
      </c>
      <c r="AA65" s="67"/>
      <c r="AB65" s="77">
        <f t="shared" si="12"/>
        <v>369550.83513256814</v>
      </c>
      <c r="AC65" s="123">
        <f t="shared" si="13"/>
        <v>199.5414876525746</v>
      </c>
      <c r="AE65" s="170"/>
      <c r="AF65" s="177">
        <v>-339644.50392171583</v>
      </c>
      <c r="AG65" s="177">
        <v>-316690.30956906255</v>
      </c>
      <c r="AH65" s="177">
        <v>-291730.90207085235</v>
      </c>
      <c r="AI65" s="178">
        <v>-267150.16943011718</v>
      </c>
      <c r="AK65" s="67">
        <f t="shared" si="14"/>
        <v>3040496.2594409543</v>
      </c>
      <c r="AL65" s="67">
        <f t="shared" si="15"/>
        <v>334321.44699301035</v>
      </c>
      <c r="AM65" s="67">
        <f t="shared" si="16"/>
        <v>5973883.3992114365</v>
      </c>
      <c r="AN65" s="67">
        <f t="shared" si="17"/>
        <v>11223966.732464794</v>
      </c>
      <c r="AO65" s="67">
        <f t="shared" si="18"/>
        <v>0</v>
      </c>
      <c r="AP65" s="67">
        <f t="shared" si="19"/>
        <v>-339644.50392171583</v>
      </c>
      <c r="AQ65" s="67">
        <f t="shared" si="20"/>
        <v>-316690.30956906255</v>
      </c>
      <c r="AR65" s="67">
        <f t="shared" si="21"/>
        <v>-291730.90207085235</v>
      </c>
      <c r="AS65" s="67">
        <f t="shared" si="22"/>
        <v>-267150.16943011718</v>
      </c>
      <c r="AT65" s="68">
        <v>487</v>
      </c>
      <c r="AU65" s="68"/>
      <c r="AV65" s="68"/>
      <c r="AW65" s="68">
        <v>0</v>
      </c>
      <c r="AX65" s="68">
        <v>5145.6670988943315</v>
      </c>
      <c r="AY65" s="68">
        <v>-984.12336020458372</v>
      </c>
      <c r="AZ65" s="68">
        <v>1147.3481396790855</v>
      </c>
      <c r="BA65" s="299"/>
      <c r="BB65" s="67"/>
      <c r="BC65" s="67"/>
      <c r="BD65" s="67"/>
      <c r="BE65" s="67"/>
      <c r="BF65" s="67"/>
      <c r="BG65" s="67"/>
      <c r="BH65" s="67"/>
      <c r="BN65" s="299"/>
      <c r="BO65" s="67">
        <v>4696039.9409419186</v>
      </c>
      <c r="BP65" s="67">
        <v>10209238.52</v>
      </c>
      <c r="BQ65" s="67">
        <v>11110000</v>
      </c>
      <c r="BR65" s="67">
        <v>193577.11</v>
      </c>
      <c r="BS65" s="67">
        <v>198000</v>
      </c>
      <c r="BT65" s="428">
        <v>0.53755321894182695</v>
      </c>
      <c r="BU65" s="428">
        <v>0.33464287704132478</v>
      </c>
      <c r="BV65" s="67">
        <f t="shared" si="23"/>
        <v>6799768.3376202621</v>
      </c>
      <c r="BW65" s="299"/>
      <c r="BX65" s="67">
        <v>15223609</v>
      </c>
      <c r="BY65" s="67">
        <v>4696039.9409419186</v>
      </c>
      <c r="BZ65" s="67">
        <v>7222245.6500995131</v>
      </c>
      <c r="CA65" s="67">
        <v>3897773.9085982395</v>
      </c>
      <c r="CB65" s="67">
        <f t="shared" si="24"/>
        <v>34942.129656383979</v>
      </c>
      <c r="CC65" s="67">
        <f t="shared" si="25"/>
        <v>613.68311896430203</v>
      </c>
      <c r="CD65" s="67">
        <f t="shared" si="26"/>
        <v>1034.2328286062095</v>
      </c>
      <c r="CE65" s="67">
        <f t="shared" si="27"/>
        <v>420.5497096419075</v>
      </c>
      <c r="CF65" s="67">
        <f t="shared" si="28"/>
        <v>-405.5497096419075</v>
      </c>
      <c r="CG65" s="67">
        <f t="shared" si="29"/>
        <v>-390.5497096419075</v>
      </c>
      <c r="CH65" s="67">
        <f t="shared" si="30"/>
        <v>-375.5497096419075</v>
      </c>
      <c r="CI65" s="67">
        <f t="shared" si="31"/>
        <v>-360.5497096419075</v>
      </c>
      <c r="CJ65" s="67">
        <f t="shared" si="32"/>
        <v>-751078.0622568127</v>
      </c>
      <c r="CK65" s="67">
        <f t="shared" si="33"/>
        <v>-723298.0622568127</v>
      </c>
      <c r="CL65" s="67">
        <f t="shared" si="34"/>
        <v>-695518.0622568127</v>
      </c>
      <c r="CM65" s="67">
        <f t="shared" si="35"/>
        <v>-667738.0622568127</v>
      </c>
      <c r="CN65" s="299"/>
      <c r="CO65" s="430">
        <v>5656.1771975362153</v>
      </c>
      <c r="CP65" s="430">
        <v>999.03948337058216</v>
      </c>
      <c r="CQ65" s="430">
        <v>1012.485</v>
      </c>
      <c r="CR65" s="430">
        <v>7172435.543499398</v>
      </c>
      <c r="CS65" s="430">
        <v>1198552.1442879618</v>
      </c>
      <c r="CT65" s="430">
        <v>1637264.6319156941</v>
      </c>
      <c r="CU65" s="430">
        <v>490914.03063922725</v>
      </c>
      <c r="CV65" s="430">
        <v>-508908</v>
      </c>
      <c r="CW65" s="430">
        <v>15000.907057501621</v>
      </c>
      <c r="CX65" s="430">
        <v>64804.13</v>
      </c>
      <c r="CY65" s="430">
        <v>3672790.1175352074</v>
      </c>
      <c r="CZ65" s="519"/>
      <c r="DA65" s="524">
        <v>5789.4274500000001</v>
      </c>
      <c r="DB65" s="524">
        <v>991.22630614190496</v>
      </c>
      <c r="DC65" s="520">
        <f t="shared" si="36"/>
        <v>-1</v>
      </c>
      <c r="DD65" s="440">
        <v>1891</v>
      </c>
      <c r="DE65" s="450">
        <v>4696039.9409419186</v>
      </c>
      <c r="DF65" s="440">
        <v>2633358.5177982398</v>
      </c>
      <c r="DG65" s="440">
        <v>666364.69140000001</v>
      </c>
      <c r="DH65" s="440">
        <v>598050.69940000004</v>
      </c>
      <c r="DI65" s="440">
        <v>1195535.956585269</v>
      </c>
      <c r="DJ65" s="440">
        <v>491341.21722368337</v>
      </c>
      <c r="DK65" s="440">
        <v>35097.668524151108</v>
      </c>
      <c r="DL65" s="440">
        <v>-508908</v>
      </c>
      <c r="DM65" s="440">
        <v>-11543</v>
      </c>
      <c r="DN65" s="440">
        <v>14736.494155885714</v>
      </c>
      <c r="DO65" s="457">
        <f t="shared" si="37"/>
        <v>417994.30414531007</v>
      </c>
      <c r="DP65" s="459">
        <f t="shared" si="38"/>
        <v>221.04405295891596</v>
      </c>
      <c r="DQ65" s="440"/>
      <c r="DR65" s="450">
        <v>15223609</v>
      </c>
      <c r="DS65" s="440">
        <v>5658804.9095995128</v>
      </c>
      <c r="DT65" s="440">
        <v>897076.04909999995</v>
      </c>
      <c r="DU65" s="440">
        <v>7169430.9334993949</v>
      </c>
      <c r="DV65" s="440">
        <v>1638689.3569027688</v>
      </c>
      <c r="DW65" s="440">
        <v>145913.69140000001</v>
      </c>
      <c r="DX65" s="457">
        <f t="shared" si="39"/>
        <v>286305.94050167687</v>
      </c>
      <c r="DY65" s="459">
        <f t="shared" si="40"/>
        <v>151.40451639432939</v>
      </c>
      <c r="DZ65" s="440"/>
      <c r="EA65" s="457">
        <f t="shared" si="41"/>
        <v>131688.3636436332</v>
      </c>
      <c r="EB65" s="459">
        <f t="shared" si="42"/>
        <v>69.639536564586564</v>
      </c>
      <c r="ED65" s="457">
        <v>-123810.99685885968</v>
      </c>
      <c r="EE65" s="458">
        <v>-97896.269373821633</v>
      </c>
      <c r="EF65" s="458">
        <v>-71589.937969251521</v>
      </c>
      <c r="EG65" s="458">
        <v>-45475.67990313394</v>
      </c>
      <c r="EH65" s="459">
        <v>-18956.672508616924</v>
      </c>
    </row>
    <row r="66" spans="1:138" x14ac:dyDescent="0.2">
      <c r="A66" s="67">
        <v>152</v>
      </c>
      <c r="B66" s="67" t="s">
        <v>188</v>
      </c>
      <c r="C66" s="67">
        <v>14</v>
      </c>
      <c r="D66" s="67">
        <v>4406</v>
      </c>
      <c r="E66" s="82">
        <v>11926322.122090727</v>
      </c>
      <c r="F66" s="67">
        <v>6237116.3520881264</v>
      </c>
      <c r="G66" s="67">
        <v>961638</v>
      </c>
      <c r="H66" s="67">
        <v>821804.4044866967</v>
      </c>
      <c r="I66" s="67">
        <v>3572978.6031887098</v>
      </c>
      <c r="J66" s="67">
        <v>925649.11707802257</v>
      </c>
      <c r="K66" s="67">
        <v>173614.71514203303</v>
      </c>
      <c r="L66" s="67">
        <v>-38836</v>
      </c>
      <c r="M66" s="68">
        <v>104990.6</v>
      </c>
      <c r="N66" s="68">
        <v>38746.212690805398</v>
      </c>
      <c r="O66" s="68">
        <v>-128229.43242363344</v>
      </c>
      <c r="P66" s="168">
        <f t="shared" si="8"/>
        <v>743150.45016003319</v>
      </c>
      <c r="Q66" s="169">
        <f t="shared" si="9"/>
        <v>168.66782799819183</v>
      </c>
      <c r="R66" s="67"/>
      <c r="S66" s="82">
        <v>31259201.329999994</v>
      </c>
      <c r="T66" s="67">
        <v>14540687.820388349</v>
      </c>
      <c r="U66" s="67">
        <v>1235132.7973049118</v>
      </c>
      <c r="V66" s="67">
        <v>11833585.9342265</v>
      </c>
      <c r="W66" s="67">
        <v>3087164.8931737309</v>
      </c>
      <c r="X66" s="67">
        <v>1027792.6</v>
      </c>
      <c r="Y66" s="168">
        <f t="shared" si="10"/>
        <v>465162.71509349719</v>
      </c>
      <c r="Z66" s="169">
        <f t="shared" si="11"/>
        <v>105.57483320324494</v>
      </c>
      <c r="AA66" s="67"/>
      <c r="AB66" s="77">
        <f t="shared" si="12"/>
        <v>277987.735066536</v>
      </c>
      <c r="AC66" s="123">
        <f t="shared" si="13"/>
        <v>63.09299479494689</v>
      </c>
      <c r="AE66" s="170"/>
      <c r="AF66" s="177">
        <v>-206839.08748823497</v>
      </c>
      <c r="AG66" s="177">
        <v>-152229.9188501192</v>
      </c>
      <c r="AH66" s="177">
        <v>-92850.248527703268</v>
      </c>
      <c r="AI66" s="178">
        <v>-34371.464502282724</v>
      </c>
      <c r="AK66" s="67">
        <f t="shared" si="14"/>
        <v>8303571.4683002224</v>
      </c>
      <c r="AL66" s="67">
        <f t="shared" si="15"/>
        <v>413328.39281821507</v>
      </c>
      <c r="AM66" s="67">
        <f t="shared" si="16"/>
        <v>8260607.3310377896</v>
      </c>
      <c r="AN66" s="67">
        <f t="shared" si="17"/>
        <v>19332879.207909267</v>
      </c>
      <c r="AO66" s="67">
        <f t="shared" si="18"/>
        <v>0</v>
      </c>
      <c r="AP66" s="67">
        <f t="shared" si="19"/>
        <v>-206839.08748823497</v>
      </c>
      <c r="AQ66" s="67">
        <f t="shared" si="20"/>
        <v>-152229.9188501192</v>
      </c>
      <c r="AR66" s="67">
        <f t="shared" si="21"/>
        <v>-92850.248527703268</v>
      </c>
      <c r="AS66" s="67">
        <f t="shared" si="22"/>
        <v>-34371.464502282724</v>
      </c>
      <c r="AT66" s="68">
        <v>1628</v>
      </c>
      <c r="AU66" s="68"/>
      <c r="AV66" s="68"/>
      <c r="AW66" s="68">
        <v>21</v>
      </c>
      <c r="AX66" s="68">
        <v>6901.7753058805911</v>
      </c>
      <c r="AY66" s="68">
        <v>-1752.5629036517626</v>
      </c>
      <c r="AZ66" s="68">
        <v>2166.3049037023329</v>
      </c>
      <c r="BA66" s="299"/>
      <c r="BB66" s="67"/>
      <c r="BC66" s="67"/>
      <c r="BD66" s="67"/>
      <c r="BE66" s="67"/>
      <c r="BF66" s="67"/>
      <c r="BG66" s="67"/>
      <c r="BH66" s="67"/>
      <c r="BN66" s="299"/>
      <c r="BO66" s="67">
        <v>11692863.285265647</v>
      </c>
      <c r="BP66" s="67">
        <v>18572902.149999999</v>
      </c>
      <c r="BQ66" s="67">
        <v>17838000</v>
      </c>
      <c r="BR66" s="67">
        <v>510370.22000000003</v>
      </c>
      <c r="BS66" s="67">
        <v>474000</v>
      </c>
      <c r="BT66" s="428">
        <v>0.57105768109932864</v>
      </c>
      <c r="BU66" s="428">
        <v>0.33464287704132473</v>
      </c>
      <c r="BV66" s="67">
        <f t="shared" si="23"/>
        <v>10595737.822275529</v>
      </c>
      <c r="BW66" s="299"/>
      <c r="BX66" s="67">
        <v>30574397</v>
      </c>
      <c r="BY66" s="67">
        <v>11692863.285265647</v>
      </c>
      <c r="BZ66" s="67">
        <v>16556150.243533242</v>
      </c>
      <c r="CA66" s="67">
        <v>7969779.3722703494</v>
      </c>
      <c r="CB66" s="67">
        <f t="shared" si="24"/>
        <v>290893.50666618178</v>
      </c>
      <c r="CC66" s="67">
        <f t="shared" si="25"/>
        <v>105.57483320324481</v>
      </c>
      <c r="CD66" s="67">
        <f t="shared" si="26"/>
        <v>224.38916797726182</v>
      </c>
      <c r="CE66" s="67">
        <f t="shared" si="27"/>
        <v>118.81433477401701</v>
      </c>
      <c r="CF66" s="67">
        <f t="shared" si="28"/>
        <v>-103.81433477401701</v>
      </c>
      <c r="CG66" s="67">
        <f t="shared" si="29"/>
        <v>-88.814334774017013</v>
      </c>
      <c r="CH66" s="67">
        <f t="shared" si="30"/>
        <v>-73.814334774017013</v>
      </c>
      <c r="CI66" s="67">
        <f t="shared" si="31"/>
        <v>-58.814334774017013</v>
      </c>
      <c r="CJ66" s="67">
        <f t="shared" si="32"/>
        <v>-457405.95901431894</v>
      </c>
      <c r="CK66" s="67">
        <f t="shared" si="33"/>
        <v>-391315.95901431894</v>
      </c>
      <c r="CL66" s="67">
        <f t="shared" si="34"/>
        <v>-325225.95901431894</v>
      </c>
      <c r="CM66" s="67">
        <f t="shared" si="35"/>
        <v>-259135.95901431897</v>
      </c>
      <c r="CN66" s="299"/>
      <c r="CO66" s="430">
        <v>14540.687820388348</v>
      </c>
      <c r="CP66" s="430">
        <v>1235.1327973049117</v>
      </c>
      <c r="CQ66" s="430">
        <v>961.63800000000003</v>
      </c>
      <c r="CR66" s="430">
        <v>11833585.9342265</v>
      </c>
      <c r="CS66" s="430">
        <v>3572978.6031887098</v>
      </c>
      <c r="CT66" s="430">
        <v>3087164.8931737309</v>
      </c>
      <c r="CU66" s="430">
        <v>925649.11707802257</v>
      </c>
      <c r="CV66" s="430">
        <v>-38836</v>
      </c>
      <c r="CW66" s="430">
        <v>38746.212690805398</v>
      </c>
      <c r="CX66" s="430">
        <v>104990.6</v>
      </c>
      <c r="CY66" s="430">
        <v>11926322.122090727</v>
      </c>
      <c r="CZ66" s="519"/>
      <c r="DA66" s="524">
        <v>14960.076509999999</v>
      </c>
      <c r="DB66" s="524">
        <v>1225.4740942245189</v>
      </c>
      <c r="DC66" s="520">
        <f t="shared" si="36"/>
        <v>-1</v>
      </c>
      <c r="DD66" s="440">
        <v>4480</v>
      </c>
      <c r="DE66" s="450">
        <v>11692863.285265647</v>
      </c>
      <c r="DF66" s="440">
        <v>6275819.7601703499</v>
      </c>
      <c r="DG66" s="440">
        <v>954577.38989999995</v>
      </c>
      <c r="DH66" s="440">
        <v>739382.22219999996</v>
      </c>
      <c r="DI66" s="440">
        <v>3565938.4662892935</v>
      </c>
      <c r="DJ66" s="440">
        <v>927700.01663178764</v>
      </c>
      <c r="DK66" s="440">
        <v>291295.78330893617</v>
      </c>
      <c r="DL66" s="440">
        <v>83201</v>
      </c>
      <c r="DM66" s="440">
        <v>-30000</v>
      </c>
      <c r="DN66" s="440">
        <v>38061.085791480618</v>
      </c>
      <c r="DO66" s="457">
        <f t="shared" si="37"/>
        <v>1153112.4390261993</v>
      </c>
      <c r="DP66" s="459">
        <f t="shared" si="38"/>
        <v>257.39116942549089</v>
      </c>
      <c r="DQ66" s="440"/>
      <c r="DR66" s="450">
        <v>30574397</v>
      </c>
      <c r="DS66" s="440">
        <v>14492499.520333242</v>
      </c>
      <c r="DT66" s="440">
        <v>1109073.3333000001</v>
      </c>
      <c r="DU66" s="440">
        <v>11826562.554226499</v>
      </c>
      <c r="DV66" s="440">
        <v>3094004.9203341207</v>
      </c>
      <c r="DW66" s="440">
        <v>1007778.3899</v>
      </c>
      <c r="DX66" s="457">
        <f t="shared" si="39"/>
        <v>955521.71809386089</v>
      </c>
      <c r="DY66" s="459">
        <f t="shared" si="40"/>
        <v>213.28609778880823</v>
      </c>
      <c r="DZ66" s="440"/>
      <c r="EA66" s="457">
        <f t="shared" si="41"/>
        <v>197590.72093233839</v>
      </c>
      <c r="EB66" s="459">
        <f t="shared" si="42"/>
        <v>44.105071636682673</v>
      </c>
      <c r="ED66" s="457">
        <v>-178928.31839623422</v>
      </c>
      <c r="EE66" s="458">
        <v>-117533.30034601185</v>
      </c>
      <c r="EF66" s="458">
        <v>-55210.526843910258</v>
      </c>
      <c r="EG66" s="458">
        <v>2647.9234042433172</v>
      </c>
      <c r="EH66" s="459">
        <v>-1725.4488181595189</v>
      </c>
    </row>
    <row r="67" spans="1:138" x14ac:dyDescent="0.2">
      <c r="A67" s="67">
        <v>165</v>
      </c>
      <c r="B67" s="67" t="s">
        <v>189</v>
      </c>
      <c r="C67" s="67">
        <v>5</v>
      </c>
      <c r="D67" s="67">
        <v>16280</v>
      </c>
      <c r="E67" s="82">
        <v>41976305.89355024</v>
      </c>
      <c r="F67" s="67">
        <v>25519560.847041529</v>
      </c>
      <c r="G67" s="67">
        <v>4004301</v>
      </c>
      <c r="H67" s="67">
        <v>2364627.8323380291</v>
      </c>
      <c r="I67" s="67">
        <v>8730737.5847372413</v>
      </c>
      <c r="J67" s="67">
        <v>2504254.798647468</v>
      </c>
      <c r="K67" s="67">
        <v>925513.01380768744</v>
      </c>
      <c r="L67" s="67">
        <v>-2136157</v>
      </c>
      <c r="M67" s="68">
        <v>-77836.160000000003</v>
      </c>
      <c r="N67" s="68">
        <v>170865.45146857935</v>
      </c>
      <c r="O67" s="68">
        <v>-473802.80523303506</v>
      </c>
      <c r="P67" s="168">
        <f t="shared" si="8"/>
        <v>-444241.33074274269</v>
      </c>
      <c r="Q67" s="169">
        <f t="shared" si="9"/>
        <v>-27.287551028423998</v>
      </c>
      <c r="R67" s="67"/>
      <c r="S67" s="82">
        <v>101939215.90000001</v>
      </c>
      <c r="T67" s="67">
        <v>62770591.468282685</v>
      </c>
      <c r="U67" s="67">
        <v>3553922.7743187388</v>
      </c>
      <c r="V67" s="67">
        <v>25140761.042079184</v>
      </c>
      <c r="W67" s="67">
        <v>8352028.1662999392</v>
      </c>
      <c r="X67" s="67">
        <v>1790307.84</v>
      </c>
      <c r="Y67" s="168">
        <f t="shared" si="10"/>
        <v>-331604.60901945829</v>
      </c>
      <c r="Z67" s="169">
        <f t="shared" si="11"/>
        <v>-20.368833477853702</v>
      </c>
      <c r="AA67" s="67"/>
      <c r="AB67" s="77">
        <f t="shared" si="12"/>
        <v>-112636.7217232844</v>
      </c>
      <c r="AC67" s="123">
        <f t="shared" si="13"/>
        <v>-6.9187175505702951</v>
      </c>
      <c r="AE67" s="170"/>
      <c r="AF67" s="177">
        <v>18691.507620234912</v>
      </c>
      <c r="AG67" s="177">
        <v>-23729.721288406767</v>
      </c>
      <c r="AH67" s="177">
        <v>-48524.130537401055</v>
      </c>
      <c r="AI67" s="178">
        <v>-76647.279894222083</v>
      </c>
      <c r="AK67" s="67">
        <f t="shared" si="14"/>
        <v>37251030.621241152</v>
      </c>
      <c r="AL67" s="67">
        <f t="shared" si="15"/>
        <v>1189294.9419807098</v>
      </c>
      <c r="AM67" s="67">
        <f t="shared" si="16"/>
        <v>16410023.457341943</v>
      </c>
      <c r="AN67" s="67">
        <f t="shared" si="17"/>
        <v>59962910.006449766</v>
      </c>
      <c r="AO67" s="67">
        <f t="shared" si="18"/>
        <v>0</v>
      </c>
      <c r="AP67" s="67">
        <f t="shared" si="19"/>
        <v>18691.507620234912</v>
      </c>
      <c r="AQ67" s="67">
        <f t="shared" si="20"/>
        <v>-23729.721288406767</v>
      </c>
      <c r="AR67" s="67">
        <f t="shared" si="21"/>
        <v>-48524.130537401055</v>
      </c>
      <c r="AS67" s="67">
        <f t="shared" si="22"/>
        <v>-76647.279894222083</v>
      </c>
      <c r="AT67" s="68">
        <v>6160</v>
      </c>
      <c r="AU67" s="68"/>
      <c r="AV67" s="68"/>
      <c r="AW67" s="68">
        <v>40</v>
      </c>
      <c r="AX67" s="68">
        <v>15829.259797616887</v>
      </c>
      <c r="AY67" s="68">
        <v>-1085.1356138736032</v>
      </c>
      <c r="AZ67" s="68">
        <v>5852.320707778842</v>
      </c>
      <c r="BA67" s="299"/>
      <c r="BB67" s="67"/>
      <c r="BC67" s="67"/>
      <c r="BD67" s="67"/>
      <c r="BE67" s="67"/>
      <c r="BF67" s="67"/>
      <c r="BG67" s="67"/>
      <c r="BH67" s="67"/>
      <c r="BN67" s="299"/>
      <c r="BO67" s="67">
        <v>41717887.719350748</v>
      </c>
      <c r="BP67" s="67">
        <v>54502976.390000001</v>
      </c>
      <c r="BQ67" s="67">
        <v>58930000</v>
      </c>
      <c r="BR67" s="67">
        <v>1255633.79</v>
      </c>
      <c r="BS67" s="67">
        <v>1298000</v>
      </c>
      <c r="BT67" s="428">
        <v>0.59344718203051672</v>
      </c>
      <c r="BU67" s="428">
        <v>0.33464287704132484</v>
      </c>
      <c r="BV67" s="67">
        <f t="shared" si="23"/>
        <v>23183309.838802103</v>
      </c>
      <c r="BW67" s="299"/>
      <c r="BX67" s="67">
        <v>100087131.26000001</v>
      </c>
      <c r="BY67" s="67">
        <v>41717887.719350748</v>
      </c>
      <c r="BZ67" s="67">
        <v>70594975.283580869</v>
      </c>
      <c r="CA67" s="67">
        <v>32229401.695328869</v>
      </c>
      <c r="CB67" s="67">
        <f t="shared" si="24"/>
        <v>1551070.5760968449</v>
      </c>
      <c r="CC67" s="67">
        <f t="shared" si="25"/>
        <v>-20.368833477853688</v>
      </c>
      <c r="CD67" s="67">
        <f t="shared" si="26"/>
        <v>40.240727074904925</v>
      </c>
      <c r="CE67" s="67">
        <f t="shared" si="27"/>
        <v>60.609560552758609</v>
      </c>
      <c r="CF67" s="67">
        <f t="shared" si="28"/>
        <v>-45.609560552758609</v>
      </c>
      <c r="CG67" s="67">
        <f t="shared" si="29"/>
        <v>-30.609560552758609</v>
      </c>
      <c r="CH67" s="67">
        <f t="shared" si="30"/>
        <v>-15.609560552758609</v>
      </c>
      <c r="CI67" s="67">
        <f t="shared" si="31"/>
        <v>-0.60956055275860876</v>
      </c>
      <c r="CJ67" s="67">
        <f t="shared" si="32"/>
        <v>-742523.64579891018</v>
      </c>
      <c r="CK67" s="67">
        <f t="shared" si="33"/>
        <v>-498323.64579891018</v>
      </c>
      <c r="CL67" s="67">
        <f t="shared" si="34"/>
        <v>-254123.64579891015</v>
      </c>
      <c r="CM67" s="67">
        <f t="shared" si="35"/>
        <v>-9923.6457989101509</v>
      </c>
      <c r="CN67" s="299"/>
      <c r="CO67" s="430">
        <v>62770.591468282684</v>
      </c>
      <c r="CP67" s="430">
        <v>3553.9227743187389</v>
      </c>
      <c r="CQ67" s="430">
        <v>4004.3009999999999</v>
      </c>
      <c r="CR67" s="430">
        <v>25140761.042079184</v>
      </c>
      <c r="CS67" s="430">
        <v>8730737.5847372413</v>
      </c>
      <c r="CT67" s="430">
        <v>8352028.1662999392</v>
      </c>
      <c r="CU67" s="430">
        <v>2504254.798647468</v>
      </c>
      <c r="CV67" s="430">
        <v>-2136157</v>
      </c>
      <c r="CW67" s="430">
        <v>170865.45146857935</v>
      </c>
      <c r="CX67" s="430">
        <v>-77836.160000000003</v>
      </c>
      <c r="CY67" s="430">
        <v>41976305.89355024</v>
      </c>
      <c r="CZ67" s="519"/>
      <c r="DA67" s="524">
        <v>63780.519770000006</v>
      </c>
      <c r="DB67" s="524">
        <v>3526.1364631996489</v>
      </c>
      <c r="DC67" s="520">
        <f t="shared" si="36"/>
        <v>-1</v>
      </c>
      <c r="DD67" s="440">
        <v>16340</v>
      </c>
      <c r="DE67" s="450">
        <v>41717887.719350748</v>
      </c>
      <c r="DF67" s="440">
        <v>26123009.934728868</v>
      </c>
      <c r="DG67" s="440">
        <v>3978922.2900000005</v>
      </c>
      <c r="DH67" s="440">
        <v>2127469.4706000001</v>
      </c>
      <c r="DI67" s="440">
        <v>8705195.0113556404</v>
      </c>
      <c r="DJ67" s="440">
        <v>2506202.154951592</v>
      </c>
      <c r="DK67" s="440">
        <v>1551576.2857019408</v>
      </c>
      <c r="DL67" s="440">
        <v>-2047241</v>
      </c>
      <c r="DM67" s="440">
        <v>-187000</v>
      </c>
      <c r="DN67" s="440">
        <v>170064.32748776081</v>
      </c>
      <c r="DO67" s="457">
        <f t="shared" si="37"/>
        <v>1210310.7554750517</v>
      </c>
      <c r="DP67" s="459">
        <f t="shared" si="38"/>
        <v>74.070425671667792</v>
      </c>
      <c r="DQ67" s="440"/>
      <c r="DR67" s="450">
        <v>100087131.26000001</v>
      </c>
      <c r="DS67" s="440">
        <v>63424848.787680872</v>
      </c>
      <c r="DT67" s="440">
        <v>3191204.2059000004</v>
      </c>
      <c r="DU67" s="440">
        <v>25115283.902079154</v>
      </c>
      <c r="DV67" s="440">
        <v>8358522.8627304342</v>
      </c>
      <c r="DW67" s="440">
        <v>1744681.2900000005</v>
      </c>
      <c r="DX67" s="457">
        <f t="shared" si="39"/>
        <v>1747409.7883904427</v>
      </c>
      <c r="DY67" s="459">
        <f t="shared" si="40"/>
        <v>106.9406235245069</v>
      </c>
      <c r="DZ67" s="440"/>
      <c r="EA67" s="457">
        <f t="shared" si="41"/>
        <v>-537099.03291539103</v>
      </c>
      <c r="EB67" s="459">
        <f t="shared" si="42"/>
        <v>-32.870197852839105</v>
      </c>
      <c r="ED67" s="457">
        <v>605166.81359396409</v>
      </c>
      <c r="EE67" s="458">
        <v>338894.17853606975</v>
      </c>
      <c r="EF67" s="458">
        <v>76005.365818288526</v>
      </c>
      <c r="EG67" s="458">
        <v>9657.8277735124557</v>
      </c>
      <c r="EH67" s="459">
        <v>-6293.2664483764593</v>
      </c>
    </row>
    <row r="68" spans="1:138" x14ac:dyDescent="0.2">
      <c r="A68" s="67">
        <v>167</v>
      </c>
      <c r="B68" s="67" t="s">
        <v>190</v>
      </c>
      <c r="C68" s="67">
        <v>12</v>
      </c>
      <c r="D68" s="67">
        <v>77513</v>
      </c>
      <c r="E68" s="82">
        <v>199534844.30132937</v>
      </c>
      <c r="F68" s="67">
        <v>100404632.47761203</v>
      </c>
      <c r="G68" s="67">
        <v>22629163</v>
      </c>
      <c r="H68" s="67">
        <v>23549143.402056679</v>
      </c>
      <c r="I68" s="67">
        <v>28884470.246551573</v>
      </c>
      <c r="J68" s="67">
        <v>12349810.145103786</v>
      </c>
      <c r="K68" s="67">
        <v>2187725.9854646823</v>
      </c>
      <c r="L68" s="67">
        <v>-1129493</v>
      </c>
      <c r="M68" s="68">
        <v>-4771129.51</v>
      </c>
      <c r="N68" s="68">
        <v>731899.62135911093</v>
      </c>
      <c r="O68" s="68">
        <v>-2255889.2409108258</v>
      </c>
      <c r="P68" s="168">
        <f t="shared" si="8"/>
        <v>-16954511.174092349</v>
      </c>
      <c r="Q68" s="169">
        <f t="shared" si="9"/>
        <v>-218.73119572319931</v>
      </c>
      <c r="R68" s="67"/>
      <c r="S68" s="82">
        <v>495616586.06000006</v>
      </c>
      <c r="T68" s="67">
        <v>253219100.40123835</v>
      </c>
      <c r="U68" s="67">
        <v>35393238.592441276</v>
      </c>
      <c r="V68" s="67">
        <v>135529896.06323686</v>
      </c>
      <c r="W68" s="67">
        <v>41188285.727183998</v>
      </c>
      <c r="X68" s="67">
        <v>16728540.49</v>
      </c>
      <c r="Y68" s="168">
        <f t="shared" si="10"/>
        <v>-13557524.78589952</v>
      </c>
      <c r="Z68" s="169">
        <f t="shared" si="11"/>
        <v>-174.90646454013546</v>
      </c>
      <c r="AA68" s="67"/>
      <c r="AB68" s="77">
        <f t="shared" si="12"/>
        <v>-3396986.3881928287</v>
      </c>
      <c r="AC68" s="123">
        <f t="shared" si="13"/>
        <v>-43.824731183063854</v>
      </c>
      <c r="AE68" s="170"/>
      <c r="AF68" s="177">
        <v>2323286.156630537</v>
      </c>
      <c r="AG68" s="177">
        <v>958613.47134825564</v>
      </c>
      <c r="AH68" s="177">
        <v>-231035.06943154597</v>
      </c>
      <c r="AI68" s="178">
        <v>-364936.15518678358</v>
      </c>
      <c r="AK68" s="67">
        <f t="shared" si="14"/>
        <v>152814467.9236263</v>
      </c>
      <c r="AL68" s="67">
        <f t="shared" si="15"/>
        <v>11844095.190384597</v>
      </c>
      <c r="AM68" s="67">
        <f t="shared" si="16"/>
        <v>106645425.81668529</v>
      </c>
      <c r="AN68" s="67">
        <f t="shared" si="17"/>
        <v>296081741.75867069</v>
      </c>
      <c r="AO68" s="67">
        <f t="shared" si="18"/>
        <v>0</v>
      </c>
      <c r="AP68" s="67">
        <f t="shared" si="19"/>
        <v>2323286.156630537</v>
      </c>
      <c r="AQ68" s="67">
        <f t="shared" si="20"/>
        <v>958613.47134825564</v>
      </c>
      <c r="AR68" s="67">
        <f t="shared" si="21"/>
        <v>-231035.06943154597</v>
      </c>
      <c r="AS68" s="67">
        <f t="shared" si="22"/>
        <v>-364936.15518678358</v>
      </c>
      <c r="AT68" s="68">
        <v>35356</v>
      </c>
      <c r="AU68" s="68"/>
      <c r="AV68" s="68"/>
      <c r="AW68" s="68">
        <v>2</v>
      </c>
      <c r="AX68" s="68">
        <v>83082.84675990761</v>
      </c>
      <c r="AY68" s="68">
        <v>-21624.076658894825</v>
      </c>
      <c r="AZ68" s="68">
        <v>28893.955472115762</v>
      </c>
      <c r="BA68" s="299"/>
      <c r="BB68" s="67"/>
      <c r="BC68" s="67"/>
      <c r="BD68" s="67"/>
      <c r="BE68" s="67"/>
      <c r="BF68" s="67"/>
      <c r="BG68" s="67"/>
      <c r="BH68" s="67"/>
      <c r="BN68" s="299"/>
      <c r="BO68" s="67">
        <v>187436254.7361595</v>
      </c>
      <c r="BP68" s="67">
        <v>264507078.97000003</v>
      </c>
      <c r="BQ68" s="67">
        <v>294150000</v>
      </c>
      <c r="BR68" s="67">
        <v>6674728.9199999999</v>
      </c>
      <c r="BS68" s="67">
        <v>7377000</v>
      </c>
      <c r="BT68" s="428">
        <v>0.60348712905734248</v>
      </c>
      <c r="BU68" s="428">
        <v>0.33464287704132478</v>
      </c>
      <c r="BV68" s="67">
        <f t="shared" si="23"/>
        <v>137671627.3842302</v>
      </c>
      <c r="BW68" s="299"/>
      <c r="BX68" s="67">
        <v>466265093</v>
      </c>
      <c r="BY68" s="67">
        <v>187436254.7361595</v>
      </c>
      <c r="BZ68" s="67">
        <v>301047689.95283586</v>
      </c>
      <c r="CA68" s="67">
        <v>143065423.59628224</v>
      </c>
      <c r="CB68" s="67">
        <f t="shared" si="24"/>
        <v>7193266.9781220416</v>
      </c>
      <c r="CC68" s="67">
        <f t="shared" si="25"/>
        <v>-174.90646454013597</v>
      </c>
      <c r="CD68" s="67">
        <f t="shared" si="26"/>
        <v>-125.05103583301056</v>
      </c>
      <c r="CE68" s="67">
        <f t="shared" si="27"/>
        <v>49.855428707125412</v>
      </c>
      <c r="CF68" s="67">
        <f t="shared" si="28"/>
        <v>-34.855428707125412</v>
      </c>
      <c r="CG68" s="67">
        <f t="shared" si="29"/>
        <v>-19.855428707125412</v>
      </c>
      <c r="CH68" s="67">
        <f t="shared" si="30"/>
        <v>-4.8554287071254123</v>
      </c>
      <c r="CI68" s="67">
        <f t="shared" si="31"/>
        <v>0</v>
      </c>
      <c r="CJ68" s="67">
        <f t="shared" si="32"/>
        <v>-2701748.8453754121</v>
      </c>
      <c r="CK68" s="67">
        <f t="shared" si="33"/>
        <v>-1539053.8453754121</v>
      </c>
      <c r="CL68" s="67">
        <f t="shared" si="34"/>
        <v>-376358.84537541209</v>
      </c>
      <c r="CM68" s="67">
        <f t="shared" si="35"/>
        <v>0</v>
      </c>
      <c r="CN68" s="299"/>
      <c r="CO68" s="430">
        <v>253219.10040123836</v>
      </c>
      <c r="CP68" s="430">
        <v>35393.238592441274</v>
      </c>
      <c r="CQ68" s="430">
        <v>22629.163</v>
      </c>
      <c r="CR68" s="430">
        <v>135529896.06323686</v>
      </c>
      <c r="CS68" s="430">
        <v>28884470.246551573</v>
      </c>
      <c r="CT68" s="430">
        <v>41188285.727183998</v>
      </c>
      <c r="CU68" s="430">
        <v>12349810.145103786</v>
      </c>
      <c r="CV68" s="430">
        <v>-1129493</v>
      </c>
      <c r="CW68" s="430">
        <v>731899.62135911093</v>
      </c>
      <c r="CX68" s="430">
        <v>-4771129.51</v>
      </c>
      <c r="CY68" s="430">
        <v>199534844.30132937</v>
      </c>
      <c r="CZ68" s="519"/>
      <c r="DA68" s="524">
        <v>250757.54728999999</v>
      </c>
      <c r="DB68" s="524">
        <v>35116.494176151115</v>
      </c>
      <c r="DC68" s="520">
        <f t="shared" si="36"/>
        <v>-1</v>
      </c>
      <c r="DD68" s="440">
        <v>77261</v>
      </c>
      <c r="DE68" s="450">
        <v>187436254.7361595</v>
      </c>
      <c r="DF68" s="440">
        <v>99182619.814282224</v>
      </c>
      <c r="DG68" s="440">
        <v>22695501.932000007</v>
      </c>
      <c r="DH68" s="440">
        <v>21187301.849999998</v>
      </c>
      <c r="DI68" s="440">
        <v>28763766.264301326</v>
      </c>
      <c r="DJ68" s="440">
        <v>12373568.894308858</v>
      </c>
      <c r="DK68" s="440">
        <v>7212540.3294365508</v>
      </c>
      <c r="DL68" s="440">
        <v>-85859</v>
      </c>
      <c r="DM68" s="440">
        <v>1503000</v>
      </c>
      <c r="DN68" s="440">
        <v>700293.13705208467</v>
      </c>
      <c r="DO68" s="457">
        <f t="shared" si="37"/>
        <v>6096478.4852215648</v>
      </c>
      <c r="DP68" s="459">
        <f t="shared" si="38"/>
        <v>78.907579311962891</v>
      </c>
      <c r="DQ68" s="440"/>
      <c r="DR68" s="450">
        <v>466265093</v>
      </c>
      <c r="DS68" s="440">
        <v>246571235.24583587</v>
      </c>
      <c r="DT68" s="440">
        <v>31780952.774999999</v>
      </c>
      <c r="DU68" s="440">
        <v>135409591.96323687</v>
      </c>
      <c r="DV68" s="440">
        <v>41267524.36642462</v>
      </c>
      <c r="DW68" s="440">
        <v>24112642.932000007</v>
      </c>
      <c r="DX68" s="457">
        <f t="shared" si="39"/>
        <v>12876854.282497406</v>
      </c>
      <c r="DY68" s="459">
        <f t="shared" si="40"/>
        <v>166.66693781464653</v>
      </c>
      <c r="DZ68" s="440"/>
      <c r="EA68" s="457">
        <f t="shared" si="41"/>
        <v>-6780375.7972758412</v>
      </c>
      <c r="EB68" s="459">
        <f t="shared" si="42"/>
        <v>-87.759358502683654</v>
      </c>
      <c r="ED68" s="457">
        <v>7102223.0924413921</v>
      </c>
      <c r="EE68" s="458">
        <v>5843196.7731508184</v>
      </c>
      <c r="EF68" s="458">
        <v>4600170.3007280221</v>
      </c>
      <c r="EG68" s="458">
        <v>3349296.2459666841</v>
      </c>
      <c r="EH68" s="459">
        <v>2114959.1229142137</v>
      </c>
    </row>
    <row r="69" spans="1:138" x14ac:dyDescent="0.2">
      <c r="A69" s="67">
        <v>169</v>
      </c>
      <c r="B69" s="67" t="s">
        <v>191</v>
      </c>
      <c r="C69" s="67">
        <v>5</v>
      </c>
      <c r="D69" s="67">
        <v>4990</v>
      </c>
      <c r="E69" s="82">
        <v>12472483.659390189</v>
      </c>
      <c r="F69" s="67">
        <v>7689451.2770112669</v>
      </c>
      <c r="G69" s="67">
        <v>1233655</v>
      </c>
      <c r="H69" s="67">
        <v>700664.16849741153</v>
      </c>
      <c r="I69" s="67">
        <v>2183733.3428474567</v>
      </c>
      <c r="J69" s="67">
        <v>903455.06860090652</v>
      </c>
      <c r="K69" s="67">
        <v>97419.297665465638</v>
      </c>
      <c r="L69" s="67">
        <v>-1291424</v>
      </c>
      <c r="M69" s="68">
        <v>-14915.91</v>
      </c>
      <c r="N69" s="68">
        <v>49020.439626575782</v>
      </c>
      <c r="O69" s="68">
        <v>-145225.79840987991</v>
      </c>
      <c r="P69" s="168">
        <f t="shared" si="8"/>
        <v>-1066650.7735509861</v>
      </c>
      <c r="Q69" s="169">
        <f t="shared" si="9"/>
        <v>-213.7576700502978</v>
      </c>
      <c r="R69" s="67"/>
      <c r="S69" s="82">
        <v>31958239.460000005</v>
      </c>
      <c r="T69" s="67">
        <v>18365386.927432057</v>
      </c>
      <c r="U69" s="67">
        <v>1053064.8043290419</v>
      </c>
      <c r="V69" s="67">
        <v>8621066.6541193351</v>
      </c>
      <c r="W69" s="67">
        <v>3013144.7423068089</v>
      </c>
      <c r="X69" s="67">
        <v>-72684.91</v>
      </c>
      <c r="Y69" s="168">
        <f t="shared" si="10"/>
        <v>-978261.24181276187</v>
      </c>
      <c r="Z69" s="169">
        <f t="shared" si="11"/>
        <v>-196.04433703662562</v>
      </c>
      <c r="AA69" s="67"/>
      <c r="AB69" s="77">
        <f t="shared" si="12"/>
        <v>-88389.531738224206</v>
      </c>
      <c r="AC69" s="123">
        <f t="shared" si="13"/>
        <v>-17.713333013672187</v>
      </c>
      <c r="AE69" s="170"/>
      <c r="AF69" s="177">
        <v>19268.685486684313</v>
      </c>
      <c r="AG69" s="177">
        <v>-7273.4219428224678</v>
      </c>
      <c r="AH69" s="177">
        <v>-14873.182517299219</v>
      </c>
      <c r="AI69" s="178">
        <v>-23493.238739076671</v>
      </c>
      <c r="AK69" s="67">
        <f t="shared" si="14"/>
        <v>10675935.650420789</v>
      </c>
      <c r="AL69" s="67">
        <f t="shared" si="15"/>
        <v>352400.63583163032</v>
      </c>
      <c r="AM69" s="67">
        <f t="shared" si="16"/>
        <v>6437333.311271878</v>
      </c>
      <c r="AN69" s="67">
        <f t="shared" si="17"/>
        <v>19485755.800609816</v>
      </c>
      <c r="AO69" s="67">
        <f t="shared" si="18"/>
        <v>0</v>
      </c>
      <c r="AP69" s="67">
        <f t="shared" si="19"/>
        <v>19268.685486684313</v>
      </c>
      <c r="AQ69" s="67">
        <f t="shared" si="20"/>
        <v>-7273.4219428224678</v>
      </c>
      <c r="AR69" s="67">
        <f t="shared" si="21"/>
        <v>-14873.182517299219</v>
      </c>
      <c r="AS69" s="67">
        <f t="shared" si="22"/>
        <v>-23493.238739076671</v>
      </c>
      <c r="AT69" s="68">
        <v>1469</v>
      </c>
      <c r="AU69" s="68"/>
      <c r="AV69" s="68"/>
      <c r="AW69" s="68">
        <v>186</v>
      </c>
      <c r="AX69" s="68">
        <v>5671.5772887738813</v>
      </c>
      <c r="AY69" s="68">
        <v>-742.3126892034262</v>
      </c>
      <c r="AZ69" s="68">
        <v>2120.0152957597534</v>
      </c>
      <c r="BA69" s="299"/>
      <c r="BB69" s="67"/>
      <c r="BC69" s="67"/>
      <c r="BD69" s="67"/>
      <c r="BE69" s="67"/>
      <c r="BF69" s="67"/>
      <c r="BG69" s="67"/>
      <c r="BH69" s="67"/>
      <c r="BN69" s="299"/>
      <c r="BO69" s="67">
        <v>12467115.724654842</v>
      </c>
      <c r="BP69" s="67">
        <v>17689982.870000001</v>
      </c>
      <c r="BQ69" s="67">
        <v>19278000</v>
      </c>
      <c r="BR69" s="67">
        <v>413712.64000000001</v>
      </c>
      <c r="BS69" s="67">
        <v>310000</v>
      </c>
      <c r="BT69" s="428">
        <v>0.58130741773125028</v>
      </c>
      <c r="BU69" s="428">
        <v>0.33464287704132478</v>
      </c>
      <c r="BV69" s="67">
        <f t="shared" si="23"/>
        <v>8644442.2826432474</v>
      </c>
      <c r="BW69" s="299"/>
      <c r="BX69" s="67">
        <v>31567210</v>
      </c>
      <c r="BY69" s="67">
        <v>12467115.724654842</v>
      </c>
      <c r="BZ69" s="67">
        <v>20888570.18470829</v>
      </c>
      <c r="CA69" s="67">
        <v>9779867.6629657205</v>
      </c>
      <c r="CB69" s="67">
        <f t="shared" si="24"/>
        <v>294796.89945984836</v>
      </c>
      <c r="CC69" s="67">
        <f t="shared" si="25"/>
        <v>-196.04433703662579</v>
      </c>
      <c r="CD69" s="67">
        <f t="shared" si="26"/>
        <v>-145.09967401737933</v>
      </c>
      <c r="CE69" s="67">
        <f t="shared" si="27"/>
        <v>50.944663019246462</v>
      </c>
      <c r="CF69" s="67">
        <f t="shared" si="28"/>
        <v>-35.944663019246462</v>
      </c>
      <c r="CG69" s="67">
        <f t="shared" si="29"/>
        <v>-20.944663019246462</v>
      </c>
      <c r="CH69" s="67">
        <f t="shared" si="30"/>
        <v>-5.9446630192464625</v>
      </c>
      <c r="CI69" s="67">
        <f t="shared" si="31"/>
        <v>0</v>
      </c>
      <c r="CJ69" s="67">
        <f t="shared" si="32"/>
        <v>-179363.86846603986</v>
      </c>
      <c r="CK69" s="67">
        <f t="shared" si="33"/>
        <v>-104513.86846603984</v>
      </c>
      <c r="CL69" s="67">
        <f t="shared" si="34"/>
        <v>-29663.868466039847</v>
      </c>
      <c r="CM69" s="67">
        <f t="shared" si="35"/>
        <v>0</v>
      </c>
      <c r="CN69" s="299"/>
      <c r="CO69" s="430">
        <v>18365.386927432057</v>
      </c>
      <c r="CP69" s="430">
        <v>1053.0648043290419</v>
      </c>
      <c r="CQ69" s="430">
        <v>1233.655</v>
      </c>
      <c r="CR69" s="430">
        <v>8621066.6541193351</v>
      </c>
      <c r="CS69" s="430">
        <v>2183733.3428474567</v>
      </c>
      <c r="CT69" s="430">
        <v>3013144.7423068089</v>
      </c>
      <c r="CU69" s="430">
        <v>903455.06860090652</v>
      </c>
      <c r="CV69" s="430">
        <v>-1291424</v>
      </c>
      <c r="CW69" s="430">
        <v>49020.439626575782</v>
      </c>
      <c r="CX69" s="430">
        <v>-14915.91</v>
      </c>
      <c r="CY69" s="430">
        <v>12472483.659390189</v>
      </c>
      <c r="CZ69" s="519"/>
      <c r="DA69" s="524">
        <v>18724.17598</v>
      </c>
      <c r="DB69" s="524">
        <v>1044.8293605980325</v>
      </c>
      <c r="DC69" s="520">
        <f t="shared" si="36"/>
        <v>-1</v>
      </c>
      <c r="DD69" s="440">
        <v>5046</v>
      </c>
      <c r="DE69" s="450">
        <v>12467115.724654842</v>
      </c>
      <c r="DF69" s="440">
        <v>7939292.54156572</v>
      </c>
      <c r="DG69" s="440">
        <v>1210183.4770000002</v>
      </c>
      <c r="DH69" s="440">
        <v>630391.64439999999</v>
      </c>
      <c r="DI69" s="440">
        <v>2175773.3907675445</v>
      </c>
      <c r="DJ69" s="440">
        <v>907876.92063785903</v>
      </c>
      <c r="DK69" s="440">
        <v>294662.53420430375</v>
      </c>
      <c r="DL69" s="440">
        <v>-1291424</v>
      </c>
      <c r="DM69" s="440">
        <v>-48160</v>
      </c>
      <c r="DN69" s="440">
        <v>49241.907442776668</v>
      </c>
      <c r="DO69" s="457">
        <f t="shared" si="37"/>
        <v>-599277.30863663927</v>
      </c>
      <c r="DP69" s="459">
        <f t="shared" si="38"/>
        <v>-118.76284356651591</v>
      </c>
      <c r="DQ69" s="440"/>
      <c r="DR69" s="450">
        <v>31567210</v>
      </c>
      <c r="DS69" s="440">
        <v>18732799.241108287</v>
      </c>
      <c r="DT69" s="440">
        <v>945587.46659999993</v>
      </c>
      <c r="DU69" s="440">
        <v>8613127.8341193385</v>
      </c>
      <c r="DV69" s="440">
        <v>3027892.2163976124</v>
      </c>
      <c r="DW69" s="440">
        <v>-129400.52299999981</v>
      </c>
      <c r="DX69" s="457">
        <f t="shared" si="39"/>
        <v>-377203.76477476209</v>
      </c>
      <c r="DY69" s="459">
        <f t="shared" si="40"/>
        <v>-74.75302512381333</v>
      </c>
      <c r="DZ69" s="440"/>
      <c r="EA69" s="457">
        <f t="shared" si="41"/>
        <v>-222073.54386187717</v>
      </c>
      <c r="EB69" s="459">
        <f t="shared" si="42"/>
        <v>-44.009818442702574</v>
      </c>
      <c r="ED69" s="457">
        <v>243093.74100410703</v>
      </c>
      <c r="EE69" s="458">
        <v>160865.36178121014</v>
      </c>
      <c r="EF69" s="458">
        <v>79681.949971300477</v>
      </c>
      <c r="EG69" s="458">
        <v>2982.4601557615574</v>
      </c>
      <c r="EH69" s="459">
        <v>-1943.4407893823509</v>
      </c>
    </row>
    <row r="70" spans="1:138" x14ac:dyDescent="0.2">
      <c r="A70" s="67">
        <v>171</v>
      </c>
      <c r="B70" s="67" t="s">
        <v>192</v>
      </c>
      <c r="C70" s="67">
        <v>11</v>
      </c>
      <c r="D70" s="67">
        <v>4540</v>
      </c>
      <c r="E70" s="82">
        <v>11068053.782778885</v>
      </c>
      <c r="F70" s="67">
        <v>6556572.5951368576</v>
      </c>
      <c r="G70" s="67">
        <v>1200413</v>
      </c>
      <c r="H70" s="67">
        <v>1274590.3660847463</v>
      </c>
      <c r="I70" s="67">
        <v>1997728.4784177057</v>
      </c>
      <c r="J70" s="67">
        <v>933450.94547855156</v>
      </c>
      <c r="K70" s="67">
        <v>-216166.8003500122</v>
      </c>
      <c r="L70" s="67">
        <v>-297194</v>
      </c>
      <c r="M70" s="68">
        <v>16175.1</v>
      </c>
      <c r="N70" s="68">
        <v>42690.534696985393</v>
      </c>
      <c r="O70" s="68">
        <v>-132129.2835232174</v>
      </c>
      <c r="P70" s="168">
        <f t="shared" si="8"/>
        <v>308077.15316273214</v>
      </c>
      <c r="Q70" s="169">
        <f t="shared" si="9"/>
        <v>67.858403780337468</v>
      </c>
      <c r="R70" s="67"/>
      <c r="S70" s="82">
        <v>32319940.459999997</v>
      </c>
      <c r="T70" s="67">
        <v>15519785.191740837</v>
      </c>
      <c r="U70" s="67">
        <v>1915648.4872619456</v>
      </c>
      <c r="V70" s="67">
        <v>10815353.711339356</v>
      </c>
      <c r="W70" s="67">
        <v>3113185.0451906305</v>
      </c>
      <c r="X70" s="67">
        <v>919394.1</v>
      </c>
      <c r="Y70" s="168">
        <f t="shared" si="10"/>
        <v>-36573.924467228353</v>
      </c>
      <c r="Z70" s="169">
        <f t="shared" si="11"/>
        <v>-8.0559304993895058</v>
      </c>
      <c r="AA70" s="67"/>
      <c r="AB70" s="77">
        <f t="shared" si="12"/>
        <v>344651.07762996049</v>
      </c>
      <c r="AC70" s="123">
        <f t="shared" si="13"/>
        <v>75.914334279726987</v>
      </c>
      <c r="AE70" s="170"/>
      <c r="AF70" s="177">
        <v>-271338.58103315777</v>
      </c>
      <c r="AG70" s="177">
        <v>-215068.57975829495</v>
      </c>
      <c r="AH70" s="177">
        <v>-153882.9911827688</v>
      </c>
      <c r="AI70" s="178">
        <v>-93625.687625027247</v>
      </c>
      <c r="AK70" s="67">
        <f t="shared" si="14"/>
        <v>8963212.5966039784</v>
      </c>
      <c r="AL70" s="67">
        <f t="shared" si="15"/>
        <v>641058.1211771993</v>
      </c>
      <c r="AM70" s="67">
        <f t="shared" si="16"/>
        <v>8817625.2329216506</v>
      </c>
      <c r="AN70" s="67">
        <f t="shared" si="17"/>
        <v>21251886.677221112</v>
      </c>
      <c r="AO70" s="67">
        <f t="shared" si="18"/>
        <v>0</v>
      </c>
      <c r="AP70" s="67">
        <f t="shared" si="19"/>
        <v>-271338.58103315777</v>
      </c>
      <c r="AQ70" s="67">
        <f t="shared" si="20"/>
        <v>-215068.57975829495</v>
      </c>
      <c r="AR70" s="67">
        <f t="shared" si="21"/>
        <v>-153882.9911827688</v>
      </c>
      <c r="AS70" s="67">
        <f t="shared" si="22"/>
        <v>-93625.687625027247</v>
      </c>
      <c r="AT70" s="68">
        <v>1327</v>
      </c>
      <c r="AU70" s="68"/>
      <c r="AV70" s="68"/>
      <c r="AW70" s="68">
        <v>0</v>
      </c>
      <c r="AX70" s="68">
        <v>7754.8949626497424</v>
      </c>
      <c r="AY70" s="68">
        <v>-1263.2701476685347</v>
      </c>
      <c r="AZ70" s="68">
        <v>2188.6883547332632</v>
      </c>
      <c r="BA70" s="299"/>
      <c r="BB70" s="67"/>
      <c r="BC70" s="67"/>
      <c r="BD70" s="67"/>
      <c r="BE70" s="67"/>
      <c r="BF70" s="67"/>
      <c r="BG70" s="67"/>
      <c r="BH70" s="67"/>
      <c r="BN70" s="299"/>
      <c r="BO70" s="67">
        <v>11073594.871049847</v>
      </c>
      <c r="BP70" s="67">
        <v>19666818.629999999</v>
      </c>
      <c r="BQ70" s="67">
        <v>20557000</v>
      </c>
      <c r="BR70" s="67">
        <v>414887.49</v>
      </c>
      <c r="BS70" s="67">
        <v>469000</v>
      </c>
      <c r="BT70" s="428">
        <v>0.57753457833771638</v>
      </c>
      <c r="BU70" s="428">
        <v>0.33464287704132489</v>
      </c>
      <c r="BV70" s="67">
        <f t="shared" si="23"/>
        <v>10781192.532283718</v>
      </c>
      <c r="BW70" s="299"/>
      <c r="BX70" s="67">
        <v>31480179</v>
      </c>
      <c r="BY70" s="67">
        <v>11073594.871049847</v>
      </c>
      <c r="BZ70" s="67">
        <v>18686686.373112686</v>
      </c>
      <c r="CA70" s="67">
        <v>9047551.6313413084</v>
      </c>
      <c r="CB70" s="67">
        <f t="shared" si="24"/>
        <v>236846.31673596863</v>
      </c>
      <c r="CC70" s="67">
        <f t="shared" si="25"/>
        <v>-8.0559304993894276</v>
      </c>
      <c r="CD70" s="67">
        <f t="shared" si="26"/>
        <v>196.74439510394936</v>
      </c>
      <c r="CE70" s="67">
        <f t="shared" si="27"/>
        <v>204.80032560333879</v>
      </c>
      <c r="CF70" s="67">
        <f t="shared" si="28"/>
        <v>-189.80032560333879</v>
      </c>
      <c r="CG70" s="67">
        <f t="shared" si="29"/>
        <v>-174.80032560333879</v>
      </c>
      <c r="CH70" s="67">
        <f t="shared" si="30"/>
        <v>-159.80032560333879</v>
      </c>
      <c r="CI70" s="67">
        <f t="shared" si="31"/>
        <v>-144.80032560333879</v>
      </c>
      <c r="CJ70" s="67">
        <f t="shared" si="32"/>
        <v>-861693.47823915817</v>
      </c>
      <c r="CK70" s="67">
        <f t="shared" si="33"/>
        <v>-793593.47823915817</v>
      </c>
      <c r="CL70" s="67">
        <f t="shared" si="34"/>
        <v>-725493.47823915817</v>
      </c>
      <c r="CM70" s="67">
        <f t="shared" si="35"/>
        <v>-657393.47823915817</v>
      </c>
      <c r="CN70" s="299"/>
      <c r="CO70" s="430">
        <v>15519.785191740837</v>
      </c>
      <c r="CP70" s="430">
        <v>1915.6484872619455</v>
      </c>
      <c r="CQ70" s="430">
        <v>1200.413</v>
      </c>
      <c r="CR70" s="430">
        <v>10815353.711339356</v>
      </c>
      <c r="CS70" s="430">
        <v>1997728.4784177057</v>
      </c>
      <c r="CT70" s="430">
        <v>3113185.0451906305</v>
      </c>
      <c r="CU70" s="430">
        <v>933450.94547855156</v>
      </c>
      <c r="CV70" s="430">
        <v>-297194</v>
      </c>
      <c r="CW70" s="430">
        <v>42690.534696985393</v>
      </c>
      <c r="CX70" s="430">
        <v>16175.1</v>
      </c>
      <c r="CY70" s="430">
        <v>11068053.782778885</v>
      </c>
      <c r="CZ70" s="519"/>
      <c r="DA70" s="524">
        <v>15933.457539999999</v>
      </c>
      <c r="DB70" s="524">
        <v>1900.6680553361061</v>
      </c>
      <c r="DC70" s="520">
        <f t="shared" si="36"/>
        <v>-1</v>
      </c>
      <c r="DD70" s="440">
        <v>4624</v>
      </c>
      <c r="DE70" s="450">
        <v>11073594.871049847</v>
      </c>
      <c r="DF70" s="440">
        <v>6713563.8106413092</v>
      </c>
      <c r="DG70" s="440">
        <v>1187231.4245</v>
      </c>
      <c r="DH70" s="440">
        <v>1146756.3961999998</v>
      </c>
      <c r="DI70" s="440">
        <v>1990363.6279304065</v>
      </c>
      <c r="DJ70" s="440">
        <v>937285.52228160761</v>
      </c>
      <c r="DK70" s="440">
        <v>236815.91370217776</v>
      </c>
      <c r="DL70" s="440">
        <v>-135669</v>
      </c>
      <c r="DM70" s="440">
        <v>71000</v>
      </c>
      <c r="DN70" s="440">
        <v>42727.706485410796</v>
      </c>
      <c r="DO70" s="457">
        <f t="shared" si="37"/>
        <v>1116480.5306910649</v>
      </c>
      <c r="DP70" s="459">
        <f t="shared" si="38"/>
        <v>241.45340196606074</v>
      </c>
      <c r="DQ70" s="440"/>
      <c r="DR70" s="450">
        <v>31480179</v>
      </c>
      <c r="DS70" s="440">
        <v>15779320.354312686</v>
      </c>
      <c r="DT70" s="440">
        <v>1720134.5943</v>
      </c>
      <c r="DU70" s="440">
        <v>10808011.241339359</v>
      </c>
      <c r="DV70" s="440">
        <v>3125973.8770148708</v>
      </c>
      <c r="DW70" s="440">
        <v>1122562.4245</v>
      </c>
      <c r="DX70" s="457">
        <f t="shared" si="39"/>
        <v>1075823.4914669171</v>
      </c>
      <c r="DY70" s="459">
        <f t="shared" si="40"/>
        <v>232.66078967710146</v>
      </c>
      <c r="DZ70" s="440"/>
      <c r="EA70" s="457">
        <f t="shared" si="41"/>
        <v>40657.039224147797</v>
      </c>
      <c r="EB70" s="459">
        <f t="shared" si="42"/>
        <v>8.7926122889592992</v>
      </c>
      <c r="ED70" s="457">
        <v>-21394.7737493813</v>
      </c>
      <c r="EE70" s="458">
        <v>13270.694819458342</v>
      </c>
      <c r="EF70" s="458">
        <v>8236.7003269846373</v>
      </c>
      <c r="EG70" s="458">
        <v>2733.035227951138</v>
      </c>
      <c r="EH70" s="459">
        <v>-1780.9096730289318</v>
      </c>
    </row>
    <row r="71" spans="1:138" x14ac:dyDescent="0.2">
      <c r="A71" s="67">
        <v>172</v>
      </c>
      <c r="B71" s="67" t="s">
        <v>193</v>
      </c>
      <c r="C71" s="67">
        <v>13</v>
      </c>
      <c r="D71" s="67">
        <v>4171</v>
      </c>
      <c r="E71" s="82">
        <v>9778786.9619993642</v>
      </c>
      <c r="F71" s="67">
        <v>4903773.5930743106</v>
      </c>
      <c r="G71" s="67">
        <v>1798222</v>
      </c>
      <c r="H71" s="67">
        <v>1355134.2200467596</v>
      </c>
      <c r="I71" s="67">
        <v>1668731.1266210929</v>
      </c>
      <c r="J71" s="67">
        <v>932133.9915095428</v>
      </c>
      <c r="K71" s="67">
        <v>-696127.12920536101</v>
      </c>
      <c r="L71" s="67">
        <v>100990</v>
      </c>
      <c r="M71" s="68">
        <v>130384.63000000002</v>
      </c>
      <c r="N71" s="68">
        <v>33604.380004130748</v>
      </c>
      <c r="O71" s="68">
        <v>-121390.14131615413</v>
      </c>
      <c r="P71" s="168">
        <f t="shared" si="8"/>
        <v>326669.70873495832</v>
      </c>
      <c r="Q71" s="169">
        <f t="shared" si="9"/>
        <v>78.319278047220891</v>
      </c>
      <c r="R71" s="67"/>
      <c r="S71" s="82">
        <v>33360007.719999999</v>
      </c>
      <c r="T71" s="67">
        <v>11782325.703385683</v>
      </c>
      <c r="U71" s="67">
        <v>2036702.0556131115</v>
      </c>
      <c r="V71" s="67">
        <v>14079932.41549919</v>
      </c>
      <c r="W71" s="67">
        <v>3108792.8257372328</v>
      </c>
      <c r="X71" s="67">
        <v>2029596.6300000001</v>
      </c>
      <c r="Y71" s="168">
        <f t="shared" si="10"/>
        <v>-322658.0897647813</v>
      </c>
      <c r="Z71" s="169">
        <f t="shared" si="11"/>
        <v>-77.357489754203144</v>
      </c>
      <c r="AA71" s="67"/>
      <c r="AB71" s="77">
        <f t="shared" si="12"/>
        <v>649327.79849973961</v>
      </c>
      <c r="AC71" s="123">
        <f t="shared" si="13"/>
        <v>155.67676780142403</v>
      </c>
      <c r="AE71" s="170"/>
      <c r="AF71" s="177">
        <v>-581973.96076730452</v>
      </c>
      <c r="AG71" s="177">
        <v>-530277.44638020033</v>
      </c>
      <c r="AH71" s="177">
        <v>-474064.87150167185</v>
      </c>
      <c r="AI71" s="178">
        <v>-418705.13292472466</v>
      </c>
      <c r="AK71" s="67">
        <f t="shared" si="14"/>
        <v>6878552.1103113722</v>
      </c>
      <c r="AL71" s="67">
        <f t="shared" si="15"/>
        <v>681567.83556635189</v>
      </c>
      <c r="AM71" s="67">
        <f t="shared" si="16"/>
        <v>12411201.288878096</v>
      </c>
      <c r="AN71" s="67">
        <f t="shared" si="17"/>
        <v>23581220.758000635</v>
      </c>
      <c r="AO71" s="67">
        <f t="shared" si="18"/>
        <v>0</v>
      </c>
      <c r="AP71" s="67">
        <f t="shared" si="19"/>
        <v>-581973.96076730452</v>
      </c>
      <c r="AQ71" s="67">
        <f t="shared" si="20"/>
        <v>-530277.44638020033</v>
      </c>
      <c r="AR71" s="67">
        <f t="shared" si="21"/>
        <v>-474064.87150167185</v>
      </c>
      <c r="AS71" s="67">
        <f t="shared" si="22"/>
        <v>-418705.13292472466</v>
      </c>
      <c r="AT71" s="68">
        <v>1237</v>
      </c>
      <c r="AU71" s="68"/>
      <c r="AV71" s="68"/>
      <c r="AW71" s="68">
        <v>0</v>
      </c>
      <c r="AX71" s="68">
        <v>10638.968318298359</v>
      </c>
      <c r="AY71" s="68">
        <v>-1957.4760162759076</v>
      </c>
      <c r="AZ71" s="68">
        <v>2176.7018838900112</v>
      </c>
      <c r="BA71" s="299"/>
      <c r="BB71" s="67"/>
      <c r="BC71" s="67"/>
      <c r="BD71" s="67"/>
      <c r="BE71" s="67"/>
      <c r="BF71" s="67"/>
      <c r="BG71" s="67"/>
      <c r="BH71" s="67"/>
      <c r="BN71" s="299"/>
      <c r="BO71" s="67">
        <v>10604218.893111352</v>
      </c>
      <c r="BP71" s="67">
        <v>20845494.48</v>
      </c>
      <c r="BQ71" s="67">
        <v>23984000</v>
      </c>
      <c r="BR71" s="67">
        <v>365386.59</v>
      </c>
      <c r="BS71" s="67">
        <v>419000</v>
      </c>
      <c r="BT71" s="428">
        <v>0.58380257713761907</v>
      </c>
      <c r="BU71" s="428">
        <v>0.33464287704132478</v>
      </c>
      <c r="BV71" s="67">
        <f t="shared" si="23"/>
        <v>13891732.993900426</v>
      </c>
      <c r="BW71" s="299"/>
      <c r="BX71" s="67">
        <v>33479204</v>
      </c>
      <c r="BY71" s="67">
        <v>10604218.893111352</v>
      </c>
      <c r="BZ71" s="67">
        <v>16060854.267001515</v>
      </c>
      <c r="CA71" s="67">
        <v>8244719.9212836651</v>
      </c>
      <c r="CB71" s="67">
        <f t="shared" si="24"/>
        <v>-192671.10826206874</v>
      </c>
      <c r="CC71" s="67">
        <f t="shared" si="25"/>
        <v>-77.357489754203641</v>
      </c>
      <c r="CD71" s="67">
        <f t="shared" si="26"/>
        <v>228.12655741894119</v>
      </c>
      <c r="CE71" s="67">
        <f t="shared" si="27"/>
        <v>305.48404717314486</v>
      </c>
      <c r="CF71" s="67">
        <f t="shared" si="28"/>
        <v>-290.48404717314486</v>
      </c>
      <c r="CG71" s="67">
        <f t="shared" si="29"/>
        <v>-275.48404717314486</v>
      </c>
      <c r="CH71" s="67">
        <f t="shared" si="30"/>
        <v>-260.48404717314486</v>
      </c>
      <c r="CI71" s="67">
        <f t="shared" si="31"/>
        <v>-245.48404717314486</v>
      </c>
      <c r="CJ71" s="67">
        <f t="shared" si="32"/>
        <v>-1211608.9607591871</v>
      </c>
      <c r="CK71" s="67">
        <f t="shared" si="33"/>
        <v>-1149043.9607591871</v>
      </c>
      <c r="CL71" s="67">
        <f t="shared" si="34"/>
        <v>-1086478.9607591871</v>
      </c>
      <c r="CM71" s="67">
        <f t="shared" si="35"/>
        <v>-1023913.9607591872</v>
      </c>
      <c r="CN71" s="299"/>
      <c r="CO71" s="430">
        <v>11782.325703385683</v>
      </c>
      <c r="CP71" s="430">
        <v>2036.7020556131115</v>
      </c>
      <c r="CQ71" s="430">
        <v>1798.222</v>
      </c>
      <c r="CR71" s="430">
        <v>14079932.41549919</v>
      </c>
      <c r="CS71" s="430">
        <v>1668731.1266210929</v>
      </c>
      <c r="CT71" s="430">
        <v>3108792.8257372328</v>
      </c>
      <c r="CU71" s="430">
        <v>932133.9915095428</v>
      </c>
      <c r="CV71" s="430">
        <v>100990</v>
      </c>
      <c r="CW71" s="430">
        <v>33604.380004130748</v>
      </c>
      <c r="CX71" s="430">
        <v>130384.63000000002</v>
      </c>
      <c r="CY71" s="430">
        <v>9778786.9619993642</v>
      </c>
      <c r="CZ71" s="519"/>
      <c r="DA71" s="524">
        <v>12277.446470000001</v>
      </c>
      <c r="DB71" s="524">
        <v>2020.7747866951102</v>
      </c>
      <c r="DC71" s="520">
        <f t="shared" si="36"/>
        <v>-1</v>
      </c>
      <c r="DD71" s="440">
        <v>4263</v>
      </c>
      <c r="DE71" s="450">
        <v>10604218.893111352</v>
      </c>
      <c r="DF71" s="440">
        <v>5212830.9652836649</v>
      </c>
      <c r="DG71" s="440">
        <v>1812666.7840000002</v>
      </c>
      <c r="DH71" s="440">
        <v>1219222.172</v>
      </c>
      <c r="DI71" s="440">
        <v>1662002.8987662878</v>
      </c>
      <c r="DJ71" s="440">
        <v>932152.42712882627</v>
      </c>
      <c r="DK71" s="440">
        <v>-193304.1060517905</v>
      </c>
      <c r="DL71" s="440">
        <v>78790</v>
      </c>
      <c r="DM71" s="440">
        <v>165700</v>
      </c>
      <c r="DN71" s="440">
        <v>34646.833260575222</v>
      </c>
      <c r="DO71" s="457">
        <f t="shared" si="37"/>
        <v>320489.08127621189</v>
      </c>
      <c r="DP71" s="459">
        <f t="shared" si="38"/>
        <v>75.179235579688452</v>
      </c>
      <c r="DQ71" s="440"/>
      <c r="DR71" s="450">
        <v>33479204</v>
      </c>
      <c r="DS71" s="440">
        <v>12419354.225001516</v>
      </c>
      <c r="DT71" s="440">
        <v>1828833.2580000001</v>
      </c>
      <c r="DU71" s="440">
        <v>14073231.245499188</v>
      </c>
      <c r="DV71" s="440">
        <v>3108854.3110188376</v>
      </c>
      <c r="DW71" s="440">
        <v>2057156.7840000002</v>
      </c>
      <c r="DX71" s="457">
        <f t="shared" si="39"/>
        <v>8225.8235195428133</v>
      </c>
      <c r="DY71" s="459">
        <f t="shared" si="40"/>
        <v>1.929585625039365</v>
      </c>
      <c r="DZ71" s="440"/>
      <c r="EA71" s="457">
        <f t="shared" si="41"/>
        <v>312263.25775666907</v>
      </c>
      <c r="EB71" s="459">
        <f t="shared" si="42"/>
        <v>73.249649954649087</v>
      </c>
      <c r="ED71" s="457">
        <v>-294504.81534340751</v>
      </c>
      <c r="EE71" s="458">
        <v>-236083.61847999285</v>
      </c>
      <c r="EF71" s="458">
        <v>-176779.60431939928</v>
      </c>
      <c r="EG71" s="458">
        <v>-117908.59314231877</v>
      </c>
      <c r="EH71" s="459">
        <v>-58125.130147698976</v>
      </c>
    </row>
    <row r="72" spans="1:138" x14ac:dyDescent="0.2">
      <c r="A72" s="67">
        <v>176</v>
      </c>
      <c r="B72" s="67" t="s">
        <v>195</v>
      </c>
      <c r="C72" s="67">
        <v>12</v>
      </c>
      <c r="D72" s="67">
        <v>4352</v>
      </c>
      <c r="E72" s="82">
        <v>10973053.525821634</v>
      </c>
      <c r="F72" s="67">
        <v>4564064.0564322602</v>
      </c>
      <c r="G72" s="67">
        <v>1266196</v>
      </c>
      <c r="H72" s="67">
        <v>1511029.3759261305</v>
      </c>
      <c r="I72" s="67">
        <v>3397642.5431499989</v>
      </c>
      <c r="J72" s="67">
        <v>983433.16235268116</v>
      </c>
      <c r="K72" s="67">
        <v>-1162707.6565365174</v>
      </c>
      <c r="L72" s="67">
        <v>-93783</v>
      </c>
      <c r="M72" s="68">
        <v>388825.86</v>
      </c>
      <c r="N72" s="68">
        <v>31797.381049037849</v>
      </c>
      <c r="O72" s="68">
        <v>-126657.85063723393</v>
      </c>
      <c r="P72" s="168">
        <f t="shared" si="8"/>
        <v>-213213.6540852777</v>
      </c>
      <c r="Q72" s="169">
        <f t="shared" si="9"/>
        <v>-48.992108015918589</v>
      </c>
      <c r="R72" s="67"/>
      <c r="S72" s="82">
        <v>38147378.349999994</v>
      </c>
      <c r="T72" s="67">
        <v>10957680.122170983</v>
      </c>
      <c r="U72" s="67">
        <v>2271005.0344196577</v>
      </c>
      <c r="V72" s="67">
        <v>18963236.651358426</v>
      </c>
      <c r="W72" s="67">
        <v>3279882.4928194843</v>
      </c>
      <c r="X72" s="67">
        <v>1561238.8599999999</v>
      </c>
      <c r="Y72" s="168">
        <f t="shared" si="10"/>
        <v>-1114335.1892314404</v>
      </c>
      <c r="Z72" s="169">
        <f t="shared" si="11"/>
        <v>-256.05128429031259</v>
      </c>
      <c r="AA72" s="67"/>
      <c r="AB72" s="77">
        <f t="shared" si="12"/>
        <v>901121.53514616273</v>
      </c>
      <c r="AC72" s="123">
        <f t="shared" si="13"/>
        <v>207.05917627439402</v>
      </c>
      <c r="AE72" s="170"/>
      <c r="AF72" s="177">
        <v>-830844.88642605988</v>
      </c>
      <c r="AG72" s="177">
        <v>-776905.00855200621</v>
      </c>
      <c r="AH72" s="177">
        <v>-718253.09633159009</v>
      </c>
      <c r="AI72" s="178">
        <v>-660491.02913262718</v>
      </c>
      <c r="AK72" s="67">
        <f t="shared" si="14"/>
        <v>6393616.0657387227</v>
      </c>
      <c r="AL72" s="67">
        <f t="shared" si="15"/>
        <v>759975.65849352721</v>
      </c>
      <c r="AM72" s="67">
        <f t="shared" si="16"/>
        <v>15565594.108208427</v>
      </c>
      <c r="AN72" s="67">
        <f t="shared" si="17"/>
        <v>27174324.82417836</v>
      </c>
      <c r="AO72" s="67">
        <f t="shared" si="18"/>
        <v>0</v>
      </c>
      <c r="AP72" s="67">
        <f t="shared" si="19"/>
        <v>-830844.88642605988</v>
      </c>
      <c r="AQ72" s="67">
        <f t="shared" si="20"/>
        <v>-776905.00855200621</v>
      </c>
      <c r="AR72" s="67">
        <f t="shared" si="21"/>
        <v>-718253.09633159009</v>
      </c>
      <c r="AS72" s="67">
        <f t="shared" si="22"/>
        <v>-660491.02913262718</v>
      </c>
      <c r="AT72" s="68">
        <v>2580</v>
      </c>
      <c r="AU72" s="68"/>
      <c r="AV72" s="68"/>
      <c r="AW72" s="68">
        <v>1</v>
      </c>
      <c r="AX72" s="68">
        <v>13099.342346800593</v>
      </c>
      <c r="AY72" s="68">
        <v>-2592.2348588629907</v>
      </c>
      <c r="AZ72" s="68">
        <v>2302.8497006984089</v>
      </c>
      <c r="BA72" s="299"/>
      <c r="BB72" s="67"/>
      <c r="BC72" s="67"/>
      <c r="BD72" s="67"/>
      <c r="BE72" s="67"/>
      <c r="BF72" s="67"/>
      <c r="BG72" s="67"/>
      <c r="BH72" s="67"/>
      <c r="BN72" s="299"/>
      <c r="BO72" s="67">
        <v>11142491.032118257</v>
      </c>
      <c r="BP72" s="67">
        <v>25260332.240000006</v>
      </c>
      <c r="BQ72" s="67">
        <v>26385000</v>
      </c>
      <c r="BR72" s="67">
        <v>392760.96</v>
      </c>
      <c r="BS72" s="67">
        <v>526000</v>
      </c>
      <c r="BT72" s="428">
        <v>0.58348263450420856</v>
      </c>
      <c r="BU72" s="428">
        <v>0.33464287704132484</v>
      </c>
      <c r="BV72" s="67">
        <f t="shared" si="23"/>
        <v>16699335.782138715</v>
      </c>
      <c r="BW72" s="299"/>
      <c r="BX72" s="67">
        <v>37160050</v>
      </c>
      <c r="BY72" s="67">
        <v>11142491.032118257</v>
      </c>
      <c r="BZ72" s="67">
        <v>14894904.785591299</v>
      </c>
      <c r="CA72" s="67">
        <v>7472256.7594874613</v>
      </c>
      <c r="CB72" s="67">
        <f t="shared" si="24"/>
        <v>-380501.72069519578</v>
      </c>
      <c r="CC72" s="67">
        <f t="shared" si="25"/>
        <v>-256.05128429031333</v>
      </c>
      <c r="CD72" s="67">
        <f t="shared" si="26"/>
        <v>159.84607821536741</v>
      </c>
      <c r="CE72" s="67">
        <f t="shared" si="27"/>
        <v>415.89736250568075</v>
      </c>
      <c r="CF72" s="67">
        <f t="shared" si="28"/>
        <v>-400.89736250568075</v>
      </c>
      <c r="CG72" s="67">
        <f t="shared" si="29"/>
        <v>-385.89736250568075</v>
      </c>
      <c r="CH72" s="67">
        <f t="shared" si="30"/>
        <v>-370.89736250568075</v>
      </c>
      <c r="CI72" s="67">
        <f t="shared" si="31"/>
        <v>-355.89736250568075</v>
      </c>
      <c r="CJ72" s="67">
        <f t="shared" si="32"/>
        <v>-1744705.3216247226</v>
      </c>
      <c r="CK72" s="67">
        <f t="shared" si="33"/>
        <v>-1679425.3216247226</v>
      </c>
      <c r="CL72" s="67">
        <f t="shared" si="34"/>
        <v>-1614145.3216247226</v>
      </c>
      <c r="CM72" s="67">
        <f t="shared" si="35"/>
        <v>-1548865.3216247226</v>
      </c>
      <c r="CN72" s="299"/>
      <c r="CO72" s="430">
        <v>10957.680122170983</v>
      </c>
      <c r="CP72" s="430">
        <v>2271.0050344196575</v>
      </c>
      <c r="CQ72" s="430">
        <v>1266.1959999999999</v>
      </c>
      <c r="CR72" s="430">
        <v>18963236.651358426</v>
      </c>
      <c r="CS72" s="430">
        <v>3397642.5431499989</v>
      </c>
      <c r="CT72" s="430">
        <v>3279882.4928194843</v>
      </c>
      <c r="CU72" s="430">
        <v>983433.16235268116</v>
      </c>
      <c r="CV72" s="430">
        <v>-93783</v>
      </c>
      <c r="CW72" s="430">
        <v>31797.381049037849</v>
      </c>
      <c r="CX72" s="430">
        <v>388825.86</v>
      </c>
      <c r="CY72" s="430">
        <v>10973053.525821634</v>
      </c>
      <c r="CZ72" s="519"/>
      <c r="DA72" s="524">
        <v>11515.87031</v>
      </c>
      <c r="DB72" s="524">
        <v>2253.2446260769175</v>
      </c>
      <c r="DC72" s="520">
        <f t="shared" si="36"/>
        <v>-1</v>
      </c>
      <c r="DD72" s="440">
        <v>4444</v>
      </c>
      <c r="DE72" s="450">
        <v>11142491.032118257</v>
      </c>
      <c r="DF72" s="440">
        <v>4843764.9161874605</v>
      </c>
      <c r="DG72" s="440">
        <v>1269009.8891</v>
      </c>
      <c r="DH72" s="440">
        <v>1359481.9542</v>
      </c>
      <c r="DI72" s="440">
        <v>3390562.7305282392</v>
      </c>
      <c r="DJ72" s="440">
        <v>986174.06164168147</v>
      </c>
      <c r="DK72" s="440">
        <v>-381170.26784384914</v>
      </c>
      <c r="DL72" s="440">
        <v>-103558</v>
      </c>
      <c r="DM72" s="440">
        <v>308950</v>
      </c>
      <c r="DN72" s="440">
        <v>32902.613637040587</v>
      </c>
      <c r="DO72" s="457">
        <f t="shared" si="37"/>
        <v>563626.86533231661</v>
      </c>
      <c r="DP72" s="459">
        <f t="shared" si="38"/>
        <v>126.82872757252849</v>
      </c>
      <c r="DQ72" s="440"/>
      <c r="DR72" s="450">
        <v>37160050</v>
      </c>
      <c r="DS72" s="440">
        <v>11586671.965191299</v>
      </c>
      <c r="DT72" s="440">
        <v>2039222.9313000001</v>
      </c>
      <c r="DU72" s="440">
        <v>18956187.501358427</v>
      </c>
      <c r="DV72" s="440">
        <v>3289023.7623400902</v>
      </c>
      <c r="DW72" s="440">
        <v>1474401.8891</v>
      </c>
      <c r="DX72" s="457">
        <f t="shared" si="39"/>
        <v>185458.04928981513</v>
      </c>
      <c r="DY72" s="459">
        <f t="shared" si="40"/>
        <v>41.732234313639765</v>
      </c>
      <c r="DZ72" s="440"/>
      <c r="EA72" s="457">
        <f t="shared" si="41"/>
        <v>378168.81604250148</v>
      </c>
      <c r="EB72" s="459">
        <f t="shared" si="42"/>
        <v>85.096493258888728</v>
      </c>
      <c r="ED72" s="457">
        <v>-359656.37924106256</v>
      </c>
      <c r="EE72" s="458">
        <v>-298754.71401445806</v>
      </c>
      <c r="EF72" s="458">
        <v>-236932.74851371264</v>
      </c>
      <c r="EG72" s="458">
        <v>-175562.17059418513</v>
      </c>
      <c r="EH72" s="459">
        <v>-113240.39964694368</v>
      </c>
    </row>
    <row r="73" spans="1:138" x14ac:dyDescent="0.2">
      <c r="A73" s="67">
        <v>177</v>
      </c>
      <c r="B73" s="67" t="s">
        <v>196</v>
      </c>
      <c r="C73" s="67">
        <v>6</v>
      </c>
      <c r="D73" s="67">
        <v>1768</v>
      </c>
      <c r="E73" s="82">
        <v>4639903.4242882784</v>
      </c>
      <c r="F73" s="67">
        <v>2376014.3205994819</v>
      </c>
      <c r="G73" s="67">
        <v>547055</v>
      </c>
      <c r="H73" s="67">
        <v>822235.37668081245</v>
      </c>
      <c r="I73" s="67">
        <v>460532.89129689359</v>
      </c>
      <c r="J73" s="67">
        <v>369607.67815010261</v>
      </c>
      <c r="K73" s="67">
        <v>509025.40642613161</v>
      </c>
      <c r="L73" s="67">
        <v>-479945</v>
      </c>
      <c r="M73" s="68">
        <v>47595.06</v>
      </c>
      <c r="N73" s="68">
        <v>16938.179264032613</v>
      </c>
      <c r="O73" s="68">
        <v>-51454.751821376289</v>
      </c>
      <c r="P73" s="168">
        <f t="shared" si="8"/>
        <v>-22299.263692200089</v>
      </c>
      <c r="Q73" s="169">
        <f t="shared" si="9"/>
        <v>-12.61270570825797</v>
      </c>
      <c r="R73" s="67"/>
      <c r="S73" s="82">
        <v>11937015.940000001</v>
      </c>
      <c r="T73" s="67">
        <v>5773123.223514433</v>
      </c>
      <c r="U73" s="67">
        <v>1235780.5279434589</v>
      </c>
      <c r="V73" s="67">
        <v>4014438.8931559455</v>
      </c>
      <c r="W73" s="67">
        <v>1232691.5536141265</v>
      </c>
      <c r="X73" s="67">
        <v>114705.06</v>
      </c>
      <c r="Y73" s="168">
        <f t="shared" si="10"/>
        <v>433723.31822796166</v>
      </c>
      <c r="Z73" s="169">
        <f t="shared" si="11"/>
        <v>245.31861890721814</v>
      </c>
      <c r="AA73" s="67"/>
      <c r="AB73" s="77">
        <f t="shared" si="12"/>
        <v>-456022.58192016173</v>
      </c>
      <c r="AC73" s="123">
        <f t="shared" si="13"/>
        <v>-257.93132461547611</v>
      </c>
      <c r="AE73" s="170"/>
      <c r="AF73" s="177">
        <v>431532.47046270617</v>
      </c>
      <c r="AG73" s="177">
        <v>400405.54584904044</v>
      </c>
      <c r="AH73" s="177">
        <v>371192.88518858451</v>
      </c>
      <c r="AI73" s="178">
        <v>341618.72498816316</v>
      </c>
      <c r="AK73" s="67">
        <f t="shared" si="14"/>
        <v>3397108.9029149511</v>
      </c>
      <c r="AL73" s="67">
        <f t="shared" si="15"/>
        <v>413545.15126264642</v>
      </c>
      <c r="AM73" s="67">
        <f t="shared" si="16"/>
        <v>3553906.0018590521</v>
      </c>
      <c r="AN73" s="67">
        <f t="shared" si="17"/>
        <v>7297112.5157117229</v>
      </c>
      <c r="AO73" s="67">
        <f t="shared" si="18"/>
        <v>0</v>
      </c>
      <c r="AP73" s="67">
        <f t="shared" si="19"/>
        <v>431532.47046270617</v>
      </c>
      <c r="AQ73" s="67">
        <f t="shared" si="20"/>
        <v>400405.54584904044</v>
      </c>
      <c r="AR73" s="67">
        <f t="shared" si="21"/>
        <v>371192.88518858451</v>
      </c>
      <c r="AS73" s="67">
        <f t="shared" si="22"/>
        <v>341618.72498816316</v>
      </c>
      <c r="AT73" s="68">
        <v>563</v>
      </c>
      <c r="AU73" s="68"/>
      <c r="AV73" s="68"/>
      <c r="AW73" s="68">
        <v>67</v>
      </c>
      <c r="AX73" s="68">
        <v>3073.0750656940545</v>
      </c>
      <c r="AY73" s="68">
        <v>-364.1586251955917</v>
      </c>
      <c r="AZ73" s="68">
        <v>861.49442192084928</v>
      </c>
      <c r="BA73" s="299"/>
      <c r="BB73" s="67"/>
      <c r="BC73" s="67"/>
      <c r="BD73" s="67"/>
      <c r="BE73" s="67"/>
      <c r="BF73" s="67"/>
      <c r="BG73" s="67"/>
      <c r="BH73" s="67"/>
      <c r="BN73" s="299"/>
      <c r="BO73" s="67">
        <v>4712079.9657098223</v>
      </c>
      <c r="BP73" s="67">
        <v>7118446.2699999996</v>
      </c>
      <c r="BQ73" s="67">
        <v>6726000</v>
      </c>
      <c r="BR73" s="67">
        <v>129508.9</v>
      </c>
      <c r="BS73" s="67">
        <v>141000</v>
      </c>
      <c r="BT73" s="428">
        <v>0.58843519727384841</v>
      </c>
      <c r="BU73" s="428">
        <v>0.33464287704132484</v>
      </c>
      <c r="BV73" s="67">
        <f t="shared" si="23"/>
        <v>4926015.2837492079</v>
      </c>
      <c r="BW73" s="299"/>
      <c r="BX73" s="67">
        <v>12227910</v>
      </c>
      <c r="BY73" s="67">
        <v>4712079.9657098223</v>
      </c>
      <c r="BZ73" s="67">
        <v>7618460.3068066165</v>
      </c>
      <c r="CA73" s="67">
        <v>3787152.7468016795</v>
      </c>
      <c r="CB73" s="67">
        <f t="shared" si="24"/>
        <v>357900.24678764213</v>
      </c>
      <c r="CC73" s="67">
        <f t="shared" si="25"/>
        <v>245.31861890721888</v>
      </c>
      <c r="CD73" s="67">
        <f t="shared" si="26"/>
        <v>-68.987370763186149</v>
      </c>
      <c r="CE73" s="67">
        <f t="shared" si="27"/>
        <v>-314.30598967040504</v>
      </c>
      <c r="CF73" s="67">
        <f t="shared" si="28"/>
        <v>299.30598967040504</v>
      </c>
      <c r="CG73" s="67">
        <f t="shared" si="29"/>
        <v>284.30598967040504</v>
      </c>
      <c r="CH73" s="67">
        <f t="shared" si="30"/>
        <v>269.30598967040504</v>
      </c>
      <c r="CI73" s="67">
        <f t="shared" si="31"/>
        <v>254.30598967040504</v>
      </c>
      <c r="CJ73" s="67">
        <f t="shared" si="32"/>
        <v>529172.9897372761</v>
      </c>
      <c r="CK73" s="67">
        <f t="shared" si="33"/>
        <v>502652.9897372761</v>
      </c>
      <c r="CL73" s="67">
        <f t="shared" si="34"/>
        <v>476132.9897372761</v>
      </c>
      <c r="CM73" s="67">
        <f t="shared" si="35"/>
        <v>449612.9897372761</v>
      </c>
      <c r="CN73" s="299"/>
      <c r="CO73" s="430">
        <v>5773.1232235144334</v>
      </c>
      <c r="CP73" s="430">
        <v>1235.7805279434588</v>
      </c>
      <c r="CQ73" s="430">
        <v>547.05499999999995</v>
      </c>
      <c r="CR73" s="430">
        <v>4014438.8931559455</v>
      </c>
      <c r="CS73" s="430">
        <v>460532.89129689359</v>
      </c>
      <c r="CT73" s="430">
        <v>1232691.5536141265</v>
      </c>
      <c r="CU73" s="430">
        <v>369607.67815010261</v>
      </c>
      <c r="CV73" s="430">
        <v>-479945</v>
      </c>
      <c r="CW73" s="430">
        <v>16938.179264032613</v>
      </c>
      <c r="CX73" s="430">
        <v>47595.06</v>
      </c>
      <c r="CY73" s="430">
        <v>4639903.4242882784</v>
      </c>
      <c r="CZ73" s="519"/>
      <c r="DA73" s="524">
        <v>5790.5879100000002</v>
      </c>
      <c r="DB73" s="524">
        <v>1226.1154015396005</v>
      </c>
      <c r="DC73" s="520">
        <f t="shared" si="36"/>
        <v>-1</v>
      </c>
      <c r="DD73" s="440">
        <v>1786</v>
      </c>
      <c r="DE73" s="450">
        <v>4712079.9657098223</v>
      </c>
      <c r="DF73" s="440">
        <v>2484130.9299016795</v>
      </c>
      <c r="DG73" s="440">
        <v>563251.84649999999</v>
      </c>
      <c r="DH73" s="440">
        <v>739769.97039999999</v>
      </c>
      <c r="DI73" s="440">
        <v>457701.87317865336</v>
      </c>
      <c r="DJ73" s="440">
        <v>368927.0093874014</v>
      </c>
      <c r="DK73" s="440">
        <v>357873.34609830112</v>
      </c>
      <c r="DL73" s="440">
        <v>-479945</v>
      </c>
      <c r="DM73" s="440">
        <v>-12600</v>
      </c>
      <c r="DN73" s="440">
        <v>16983.161794576466</v>
      </c>
      <c r="DO73" s="457">
        <f t="shared" si="37"/>
        <v>-215986.82844921015</v>
      </c>
      <c r="DP73" s="459">
        <f t="shared" si="38"/>
        <v>-120.93327460762046</v>
      </c>
      <c r="DQ73" s="440"/>
      <c r="DR73" s="450">
        <v>12227910</v>
      </c>
      <c r="DS73" s="440">
        <v>5945553.5047066165</v>
      </c>
      <c r="DT73" s="440">
        <v>1109654.9556</v>
      </c>
      <c r="DU73" s="440">
        <v>4011615.6031559454</v>
      </c>
      <c r="DV73" s="440">
        <v>1230421.4313082506</v>
      </c>
      <c r="DW73" s="440">
        <v>70706.846499999985</v>
      </c>
      <c r="DX73" s="457">
        <f t="shared" si="39"/>
        <v>140042.34127081186</v>
      </c>
      <c r="DY73" s="459">
        <f t="shared" si="40"/>
        <v>78.411165325202603</v>
      </c>
      <c r="DZ73" s="440"/>
      <c r="EA73" s="457">
        <f t="shared" si="41"/>
        <v>-356029.16972002201</v>
      </c>
      <c r="EB73" s="459">
        <f t="shared" si="42"/>
        <v>-199.34443993282306</v>
      </c>
      <c r="ED73" s="457">
        <v>363469.1364453556</v>
      </c>
      <c r="EE73" s="458">
        <v>334364.91819484154</v>
      </c>
      <c r="EF73" s="458">
        <v>305630.55959545611</v>
      </c>
      <c r="EG73" s="458">
        <v>276714.79275573429</v>
      </c>
      <c r="EH73" s="459">
        <v>248181.30106171389</v>
      </c>
    </row>
    <row r="74" spans="1:138" x14ac:dyDescent="0.2">
      <c r="A74" s="67">
        <v>178</v>
      </c>
      <c r="B74" s="67" t="s">
        <v>197</v>
      </c>
      <c r="C74" s="67">
        <v>10</v>
      </c>
      <c r="D74" s="67">
        <v>5769</v>
      </c>
      <c r="E74" s="82">
        <v>15640263.623269975</v>
      </c>
      <c r="F74" s="67">
        <v>6675060.5091817454</v>
      </c>
      <c r="G74" s="67">
        <v>1634691</v>
      </c>
      <c r="H74" s="67">
        <v>2012550.7919826796</v>
      </c>
      <c r="I74" s="67">
        <v>2240656.988224105</v>
      </c>
      <c r="J74" s="67">
        <v>1347407.3038225491</v>
      </c>
      <c r="K74" s="67">
        <v>203516.14779079487</v>
      </c>
      <c r="L74" s="67">
        <v>-510039</v>
      </c>
      <c r="M74" s="68">
        <v>940656.93</v>
      </c>
      <c r="N74" s="68">
        <v>46747.721262947722</v>
      </c>
      <c r="O74" s="68">
        <v>-167897.32084701347</v>
      </c>
      <c r="P74" s="168">
        <f t="shared" si="8"/>
        <v>-1216912.551852168</v>
      </c>
      <c r="Q74" s="169">
        <f t="shared" si="9"/>
        <v>-210.93994658557256</v>
      </c>
      <c r="R74" s="67"/>
      <c r="S74" s="82">
        <v>47156085.230000004</v>
      </c>
      <c r="T74" s="67">
        <v>16179876.708075015</v>
      </c>
      <c r="U74" s="67">
        <v>3024767.7864082586</v>
      </c>
      <c r="V74" s="67">
        <v>20092920.168910261</v>
      </c>
      <c r="W74" s="67">
        <v>4493785.4403162878</v>
      </c>
      <c r="X74" s="67">
        <v>2065308.9300000002</v>
      </c>
      <c r="Y74" s="168">
        <f t="shared" si="10"/>
        <v>-1299426.1962901801</v>
      </c>
      <c r="Z74" s="169">
        <f t="shared" si="11"/>
        <v>-225.24288373898077</v>
      </c>
      <c r="AA74" s="67"/>
      <c r="AB74" s="77">
        <f t="shared" si="12"/>
        <v>82513.644438012037</v>
      </c>
      <c r="AC74" s="123">
        <f t="shared" si="13"/>
        <v>14.302937153408223</v>
      </c>
      <c r="AE74" s="170"/>
      <c r="AF74" s="177">
        <v>6623.5446843449145</v>
      </c>
      <c r="AG74" s="177">
        <v>-8408.8920216719071</v>
      </c>
      <c r="AH74" s="177">
        <v>-17195.068124709258</v>
      </c>
      <c r="AI74" s="178">
        <v>-27160.820498142952</v>
      </c>
      <c r="AK74" s="67">
        <f t="shared" si="14"/>
        <v>9504816.1988932695</v>
      </c>
      <c r="AL74" s="67">
        <f t="shared" si="15"/>
        <v>1012216.994425579</v>
      </c>
      <c r="AM74" s="67">
        <f t="shared" si="16"/>
        <v>17852263.180686157</v>
      </c>
      <c r="AN74" s="67">
        <f t="shared" si="17"/>
        <v>31515821.606730029</v>
      </c>
      <c r="AO74" s="67">
        <f t="shared" si="18"/>
        <v>0</v>
      </c>
      <c r="AP74" s="67">
        <f t="shared" si="19"/>
        <v>6623.5446843449145</v>
      </c>
      <c r="AQ74" s="67">
        <f t="shared" si="20"/>
        <v>-8408.8920216719071</v>
      </c>
      <c r="AR74" s="67">
        <f t="shared" si="21"/>
        <v>-17195.068124709258</v>
      </c>
      <c r="AS74" s="67">
        <f t="shared" si="22"/>
        <v>-27160.820498142952</v>
      </c>
      <c r="AT74" s="68">
        <v>1907</v>
      </c>
      <c r="AU74" s="68"/>
      <c r="AV74" s="68"/>
      <c r="AW74" s="68">
        <v>0</v>
      </c>
      <c r="AX74" s="68">
        <v>15437.337154671117</v>
      </c>
      <c r="AY74" s="68">
        <v>-2633.1171023135912</v>
      </c>
      <c r="AZ74" s="68">
        <v>3152.5263406452091</v>
      </c>
      <c r="BA74" s="299"/>
      <c r="BB74" s="67"/>
      <c r="BC74" s="67"/>
      <c r="BD74" s="67"/>
      <c r="BE74" s="67"/>
      <c r="BF74" s="67"/>
      <c r="BG74" s="67"/>
      <c r="BH74" s="67"/>
      <c r="BN74" s="299"/>
      <c r="BO74" s="67">
        <v>15041625.903999157</v>
      </c>
      <c r="BP74" s="67">
        <v>29471645.350000001</v>
      </c>
      <c r="BQ74" s="67">
        <v>30414000</v>
      </c>
      <c r="BR74" s="67">
        <v>516303.65</v>
      </c>
      <c r="BS74" s="67">
        <v>560000</v>
      </c>
      <c r="BT74" s="428">
        <v>0.58744676306152743</v>
      </c>
      <c r="BU74" s="428">
        <v>0.33464287704132478</v>
      </c>
      <c r="BV74" s="67">
        <f t="shared" si="23"/>
        <v>21202157.464970686</v>
      </c>
      <c r="BW74" s="299"/>
      <c r="BX74" s="67">
        <v>45672404</v>
      </c>
      <c r="BY74" s="67">
        <v>15041625.903999157</v>
      </c>
      <c r="BZ74" s="67">
        <v>21398595.857038178</v>
      </c>
      <c r="CA74" s="67">
        <v>10552656.135780022</v>
      </c>
      <c r="CB74" s="67">
        <f t="shared" si="24"/>
        <v>833334.97033605922</v>
      </c>
      <c r="CC74" s="67">
        <f t="shared" si="25"/>
        <v>-225.24288373898037</v>
      </c>
      <c r="CD74" s="67">
        <f t="shared" si="26"/>
        <v>-72.663617344407925</v>
      </c>
      <c r="CE74" s="67">
        <f t="shared" si="27"/>
        <v>152.57926639457244</v>
      </c>
      <c r="CF74" s="67">
        <f t="shared" si="28"/>
        <v>-137.57926639457244</v>
      </c>
      <c r="CG74" s="67">
        <f t="shared" si="29"/>
        <v>-122.57926639457244</v>
      </c>
      <c r="CH74" s="67">
        <f t="shared" si="30"/>
        <v>-107.57926639457244</v>
      </c>
      <c r="CI74" s="67">
        <f t="shared" si="31"/>
        <v>-92.579266394572443</v>
      </c>
      <c r="CJ74" s="67">
        <f t="shared" si="32"/>
        <v>-793694.78783028841</v>
      </c>
      <c r="CK74" s="67">
        <f t="shared" si="33"/>
        <v>-707159.78783028841</v>
      </c>
      <c r="CL74" s="67">
        <f t="shared" si="34"/>
        <v>-620624.78783028841</v>
      </c>
      <c r="CM74" s="67">
        <f t="shared" si="35"/>
        <v>-534089.78783028841</v>
      </c>
      <c r="CN74" s="299"/>
      <c r="CO74" s="430">
        <v>16179.876708075015</v>
      </c>
      <c r="CP74" s="430">
        <v>3024.7677864082584</v>
      </c>
      <c r="CQ74" s="430">
        <v>1634.691</v>
      </c>
      <c r="CR74" s="430">
        <v>20092920.168910261</v>
      </c>
      <c r="CS74" s="430">
        <v>2240656.988224105</v>
      </c>
      <c r="CT74" s="430">
        <v>4493785.4403162878</v>
      </c>
      <c r="CU74" s="430">
        <v>1347407.3038225491</v>
      </c>
      <c r="CV74" s="430">
        <v>-510039</v>
      </c>
      <c r="CW74" s="430">
        <v>46747.721262947722</v>
      </c>
      <c r="CX74" s="430">
        <v>940656.93</v>
      </c>
      <c r="CY74" s="430">
        <v>15640263.623269975</v>
      </c>
      <c r="CZ74" s="519"/>
      <c r="DA74" s="524">
        <v>16971.87125</v>
      </c>
      <c r="DB74" s="524">
        <v>3001.1121387755802</v>
      </c>
      <c r="DC74" s="520">
        <f t="shared" si="36"/>
        <v>-1</v>
      </c>
      <c r="DD74" s="440">
        <v>5887</v>
      </c>
      <c r="DE74" s="450">
        <v>15041625.903999157</v>
      </c>
      <c r="DF74" s="440">
        <v>7099337.9114800198</v>
      </c>
      <c r="DG74" s="440">
        <v>1642614.5231000001</v>
      </c>
      <c r="DH74" s="440">
        <v>1810703.7012</v>
      </c>
      <c r="DI74" s="440">
        <v>2231368.7039230699</v>
      </c>
      <c r="DJ74" s="440">
        <v>1350040.2153226035</v>
      </c>
      <c r="DK74" s="440">
        <v>832529.17260799883</v>
      </c>
      <c r="DL74" s="440">
        <v>-581018</v>
      </c>
      <c r="DM74" s="440">
        <v>583310</v>
      </c>
      <c r="DN74" s="440">
        <v>48077.150219731637</v>
      </c>
      <c r="DO74" s="457">
        <f t="shared" si="37"/>
        <v>-24662.526145733893</v>
      </c>
      <c r="DP74" s="459">
        <f t="shared" si="38"/>
        <v>-4.1893198820679283</v>
      </c>
      <c r="DQ74" s="440"/>
      <c r="DR74" s="450">
        <v>45672404</v>
      </c>
      <c r="DS74" s="440">
        <v>17039925.782138176</v>
      </c>
      <c r="DT74" s="440">
        <v>2716055.5518</v>
      </c>
      <c r="DU74" s="440">
        <v>20083669.058910258</v>
      </c>
      <c r="DV74" s="440">
        <v>4502566.5559678124</v>
      </c>
      <c r="DW74" s="440">
        <v>1644906.5231000001</v>
      </c>
      <c r="DX74" s="457">
        <f t="shared" si="39"/>
        <v>314719.47191624343</v>
      </c>
      <c r="DY74" s="459">
        <f t="shared" si="40"/>
        <v>53.460076765116945</v>
      </c>
      <c r="DZ74" s="440"/>
      <c r="EA74" s="457">
        <f t="shared" si="41"/>
        <v>-339381.99806197733</v>
      </c>
      <c r="EB74" s="459">
        <f t="shared" si="42"/>
        <v>-57.649396647184872</v>
      </c>
      <c r="ED74" s="457">
        <v>363905.56139458402</v>
      </c>
      <c r="EE74" s="458">
        <v>267972.45230120432</v>
      </c>
      <c r="EF74" s="458">
        <v>173258.47185630974</v>
      </c>
      <c r="EG74" s="458">
        <v>77946.534910373273</v>
      </c>
      <c r="EH74" s="459">
        <v>-2267.3475876127427</v>
      </c>
    </row>
    <row r="75" spans="1:138" x14ac:dyDescent="0.2">
      <c r="A75" s="67">
        <v>179</v>
      </c>
      <c r="B75" s="67" t="s">
        <v>198</v>
      </c>
      <c r="C75" s="67">
        <v>13</v>
      </c>
      <c r="D75" s="67">
        <v>145887</v>
      </c>
      <c r="E75" s="82">
        <v>357032215.29971963</v>
      </c>
      <c r="F75" s="67">
        <v>193818587.84675401</v>
      </c>
      <c r="G75" s="67">
        <v>54242462</v>
      </c>
      <c r="H75" s="67">
        <v>31259001.853163399</v>
      </c>
      <c r="I75" s="67">
        <v>58108666.870444275</v>
      </c>
      <c r="J75" s="67">
        <v>20619607.461622812</v>
      </c>
      <c r="K75" s="67">
        <v>-12191193.690404987</v>
      </c>
      <c r="L75" s="67">
        <v>-22670982</v>
      </c>
      <c r="M75" s="68">
        <v>7159500.6699999999</v>
      </c>
      <c r="N75" s="68">
        <v>1490549.8451405952</v>
      </c>
      <c r="O75" s="68">
        <v>-4245802.8161567431</v>
      </c>
      <c r="P75" s="168">
        <f t="shared" si="8"/>
        <v>-29441817.259156287</v>
      </c>
      <c r="Q75" s="169">
        <f t="shared" si="9"/>
        <v>-201.81247992731556</v>
      </c>
      <c r="R75" s="67"/>
      <c r="S75" s="82">
        <v>875547995.43999994</v>
      </c>
      <c r="T75" s="67">
        <v>513432124.57962823</v>
      </c>
      <c r="U75" s="67">
        <v>46980787.872477427</v>
      </c>
      <c r="V75" s="67">
        <v>175259385.10028586</v>
      </c>
      <c r="W75" s="67">
        <v>68769177.317952871</v>
      </c>
      <c r="X75" s="67">
        <v>38730980.670000002</v>
      </c>
      <c r="Y75" s="168">
        <f t="shared" si="10"/>
        <v>-32375539.899655581</v>
      </c>
      <c r="Z75" s="169">
        <f t="shared" si="11"/>
        <v>-221.92203486023828</v>
      </c>
      <c r="AA75" s="67"/>
      <c r="AB75" s="77">
        <f t="shared" si="12"/>
        <v>2933722.6404992938</v>
      </c>
      <c r="AC75" s="123">
        <f t="shared" si="13"/>
        <v>20.109554932922698</v>
      </c>
      <c r="AE75" s="170"/>
      <c r="AF75" s="177">
        <v>-577920.8363105827</v>
      </c>
      <c r="AG75" s="177">
        <v>-212644.83105662151</v>
      </c>
      <c r="AH75" s="177">
        <v>-434830.45649323269</v>
      </c>
      <c r="AI75" s="178">
        <v>-686845.31461476523</v>
      </c>
      <c r="AK75" s="67">
        <f t="shared" si="14"/>
        <v>319613536.73287421</v>
      </c>
      <c r="AL75" s="67">
        <f t="shared" si="15"/>
        <v>15721786.019314028</v>
      </c>
      <c r="AM75" s="67">
        <f t="shared" si="16"/>
        <v>117150718.22984159</v>
      </c>
      <c r="AN75" s="67">
        <f t="shared" si="17"/>
        <v>518515780.14028031</v>
      </c>
      <c r="AO75" s="67">
        <f t="shared" si="18"/>
        <v>0</v>
      </c>
      <c r="AP75" s="67">
        <f t="shared" si="19"/>
        <v>-577920.8363105827</v>
      </c>
      <c r="AQ75" s="67">
        <f t="shared" si="20"/>
        <v>-212644.83105662151</v>
      </c>
      <c r="AR75" s="67">
        <f t="shared" si="21"/>
        <v>-434830.45649323269</v>
      </c>
      <c r="AS75" s="67">
        <f t="shared" si="22"/>
        <v>-686845.31461476523</v>
      </c>
      <c r="AT75" s="68">
        <v>53862</v>
      </c>
      <c r="AU75" s="68"/>
      <c r="AV75" s="68"/>
      <c r="AW75" s="68">
        <v>1956</v>
      </c>
      <c r="AX75" s="68">
        <v>92663.823067808742</v>
      </c>
      <c r="AY75" s="68">
        <v>-19293.155342262296</v>
      </c>
      <c r="AZ75" s="68">
        <v>48198.482348903526</v>
      </c>
      <c r="BA75" s="299"/>
      <c r="BB75" s="67"/>
      <c r="BC75" s="67"/>
      <c r="BD75" s="67"/>
      <c r="BE75" s="67"/>
      <c r="BF75" s="67"/>
      <c r="BG75" s="67"/>
      <c r="BH75" s="67"/>
      <c r="BN75" s="299"/>
      <c r="BO75" s="67">
        <v>339569454.70026034</v>
      </c>
      <c r="BP75" s="67">
        <v>470642281.53999996</v>
      </c>
      <c r="BQ75" s="67">
        <v>505094000</v>
      </c>
      <c r="BR75" s="67">
        <v>13283139.610000001</v>
      </c>
      <c r="BS75" s="67">
        <v>13935000</v>
      </c>
      <c r="BT75" s="428">
        <v>0.62250397166822646</v>
      </c>
      <c r="BU75" s="428">
        <v>0.33464287704132484</v>
      </c>
      <c r="BV75" s="67">
        <f t="shared" si="23"/>
        <v>153109094.39576665</v>
      </c>
      <c r="BW75" s="299"/>
      <c r="BX75" s="67">
        <v>832850300</v>
      </c>
      <c r="BY75" s="67">
        <v>339569454.70026034</v>
      </c>
      <c r="BZ75" s="67">
        <v>597133268.12094593</v>
      </c>
      <c r="CA75" s="67">
        <v>274334336.36813891</v>
      </c>
      <c r="CB75" s="67">
        <f t="shared" si="24"/>
        <v>-7128177.4816897456</v>
      </c>
      <c r="CC75" s="67">
        <f t="shared" si="25"/>
        <v>-221.92203486023817</v>
      </c>
      <c r="CD75" s="67">
        <f t="shared" si="26"/>
        <v>-138.00405954118108</v>
      </c>
      <c r="CE75" s="67">
        <f t="shared" si="27"/>
        <v>83.917975319057092</v>
      </c>
      <c r="CF75" s="67">
        <f t="shared" si="28"/>
        <v>-68.917975319057092</v>
      </c>
      <c r="CG75" s="67">
        <f t="shared" si="29"/>
        <v>-53.917975319057092</v>
      </c>
      <c r="CH75" s="67">
        <f t="shared" si="30"/>
        <v>-38.917975319057092</v>
      </c>
      <c r="CI75" s="67">
        <f t="shared" si="31"/>
        <v>-23.917975319057092</v>
      </c>
      <c r="CJ75" s="67">
        <f t="shared" si="32"/>
        <v>-10054236.665371282</v>
      </c>
      <c r="CK75" s="67">
        <f t="shared" si="33"/>
        <v>-7865931.665371282</v>
      </c>
      <c r="CL75" s="67">
        <f t="shared" si="34"/>
        <v>-5677626.665371282</v>
      </c>
      <c r="CM75" s="67">
        <f t="shared" si="35"/>
        <v>-3489321.665371282</v>
      </c>
      <c r="CN75" s="299"/>
      <c r="CO75" s="430">
        <v>513432.12457962823</v>
      </c>
      <c r="CP75" s="430">
        <v>46980.787872477427</v>
      </c>
      <c r="CQ75" s="430">
        <v>54242.462</v>
      </c>
      <c r="CR75" s="430">
        <v>175259385.10028586</v>
      </c>
      <c r="CS75" s="430">
        <v>58108666.870444275</v>
      </c>
      <c r="CT75" s="430">
        <v>68769177.317952871</v>
      </c>
      <c r="CU75" s="430">
        <v>20619607.461622812</v>
      </c>
      <c r="CV75" s="430">
        <v>-22670982</v>
      </c>
      <c r="CW75" s="430">
        <v>1490549.8451405952</v>
      </c>
      <c r="CX75" s="430">
        <v>7159500.6699999999</v>
      </c>
      <c r="CY75" s="430">
        <v>357032215.29971963</v>
      </c>
      <c r="CZ75" s="519"/>
      <c r="DA75" s="524">
        <v>510232.10308999999</v>
      </c>
      <c r="DB75" s="524">
        <v>46613.42111339992</v>
      </c>
      <c r="DC75" s="520">
        <f t="shared" si="36"/>
        <v>-1</v>
      </c>
      <c r="DD75" s="440">
        <v>144473</v>
      </c>
      <c r="DE75" s="450">
        <v>339569454.70026034</v>
      </c>
      <c r="DF75" s="440">
        <v>191233098.45823893</v>
      </c>
      <c r="DG75" s="440">
        <v>54977331.384500004</v>
      </c>
      <c r="DH75" s="440">
        <v>28123906.525400002</v>
      </c>
      <c r="DI75" s="440">
        <v>57883302.893537797</v>
      </c>
      <c r="DJ75" s="440">
        <v>20640553.783674002</v>
      </c>
      <c r="DK75" s="440">
        <v>-7091614.2941753212</v>
      </c>
      <c r="DL75" s="440">
        <v>-22721521</v>
      </c>
      <c r="DM75" s="440">
        <v>4313000</v>
      </c>
      <c r="DN75" s="440">
        <v>1430881.3373018019</v>
      </c>
      <c r="DO75" s="457">
        <f t="shared" si="37"/>
        <v>-10780515.611783087</v>
      </c>
      <c r="DP75" s="459">
        <f t="shared" si="38"/>
        <v>-74.61958713242673</v>
      </c>
      <c r="DQ75" s="440"/>
      <c r="DR75" s="450">
        <v>832850300</v>
      </c>
      <c r="DS75" s="440">
        <v>499970076.94834584</v>
      </c>
      <c r="DT75" s="440">
        <v>42185859.788100004</v>
      </c>
      <c r="DU75" s="440">
        <v>175034662.19028595</v>
      </c>
      <c r="DV75" s="440">
        <v>68839036.132577524</v>
      </c>
      <c r="DW75" s="440">
        <v>36568810.384500004</v>
      </c>
      <c r="DX75" s="457">
        <f t="shared" si="39"/>
        <v>-10251854.556190729</v>
      </c>
      <c r="DY75" s="459">
        <f t="shared" si="40"/>
        <v>-70.960349381481166</v>
      </c>
      <c r="DZ75" s="440"/>
      <c r="EA75" s="457">
        <f t="shared" si="41"/>
        <v>-528661.05559235811</v>
      </c>
      <c r="EB75" s="459">
        <f t="shared" si="42"/>
        <v>-3.6592377509455614</v>
      </c>
      <c r="ED75" s="457">
        <v>1130494.3773779306</v>
      </c>
      <c r="EE75" s="458">
        <v>414631.72418936098</v>
      </c>
      <c r="EF75" s="458">
        <v>257348.79029854052</v>
      </c>
      <c r="EG75" s="458">
        <v>85391.392406527841</v>
      </c>
      <c r="EH75" s="459">
        <v>-55643.028371866109</v>
      </c>
    </row>
    <row r="76" spans="1:138" x14ac:dyDescent="0.2">
      <c r="A76" s="67">
        <v>181</v>
      </c>
      <c r="B76" s="67" t="s">
        <v>199</v>
      </c>
      <c r="C76" s="67">
        <v>4</v>
      </c>
      <c r="D76" s="67">
        <v>1683</v>
      </c>
      <c r="E76" s="82">
        <v>5484124.9107496506</v>
      </c>
      <c r="F76" s="67">
        <v>2361842.2373223878</v>
      </c>
      <c r="G76" s="67">
        <v>749374</v>
      </c>
      <c r="H76" s="67">
        <v>286890.18040515605</v>
      </c>
      <c r="I76" s="67">
        <v>1266400.8902139394</v>
      </c>
      <c r="J76" s="67">
        <v>418534.52381565992</v>
      </c>
      <c r="K76" s="67">
        <v>251479.87549800254</v>
      </c>
      <c r="L76" s="67">
        <v>-369016</v>
      </c>
      <c r="M76" s="68">
        <v>-88654.47</v>
      </c>
      <c r="N76" s="68">
        <v>12855.629050566187</v>
      </c>
      <c r="O76" s="68">
        <v>-48980.965676117812</v>
      </c>
      <c r="P76" s="168">
        <f t="shared" si="8"/>
        <v>-643399.01012005669</v>
      </c>
      <c r="Q76" s="169">
        <f t="shared" si="9"/>
        <v>-382.29293530603485</v>
      </c>
      <c r="R76" s="67"/>
      <c r="S76" s="82">
        <v>12382830.630000001</v>
      </c>
      <c r="T76" s="67">
        <v>5109735.5803671004</v>
      </c>
      <c r="U76" s="67">
        <v>431182.24860872887</v>
      </c>
      <c r="V76" s="67">
        <v>4685534.9560448229</v>
      </c>
      <c r="W76" s="67">
        <v>1395869.1956446611</v>
      </c>
      <c r="X76" s="67">
        <v>291703.53000000003</v>
      </c>
      <c r="Y76" s="168">
        <f t="shared" si="10"/>
        <v>-468805.11933468841</v>
      </c>
      <c r="Z76" s="169">
        <f t="shared" si="11"/>
        <v>-278.5532497532314</v>
      </c>
      <c r="AA76" s="67"/>
      <c r="AB76" s="77">
        <f t="shared" si="12"/>
        <v>-174593.89078536828</v>
      </c>
      <c r="AC76" s="123">
        <f t="shared" si="13"/>
        <v>-103.73968555280349</v>
      </c>
      <c r="AE76" s="170"/>
      <c r="AF76" s="177">
        <v>151281.18853259701</v>
      </c>
      <c r="AG76" s="177">
        <v>121650.75067920364</v>
      </c>
      <c r="AH76" s="177">
        <v>93842.544858192749</v>
      </c>
      <c r="AI76" s="178">
        <v>65690.219282791659</v>
      </c>
      <c r="AK76" s="67">
        <f t="shared" si="14"/>
        <v>2747893.3430447127</v>
      </c>
      <c r="AL76" s="67">
        <f t="shared" si="15"/>
        <v>144292.06820357282</v>
      </c>
      <c r="AM76" s="67">
        <f t="shared" si="16"/>
        <v>3419134.0658308836</v>
      </c>
      <c r="AN76" s="67">
        <f t="shared" si="17"/>
        <v>6898705.7192503503</v>
      </c>
      <c r="AO76" s="67">
        <f t="shared" si="18"/>
        <v>0</v>
      </c>
      <c r="AP76" s="67">
        <f t="shared" si="19"/>
        <v>151281.18853259701</v>
      </c>
      <c r="AQ76" s="67">
        <f t="shared" si="20"/>
        <v>121650.75067920364</v>
      </c>
      <c r="AR76" s="67">
        <f t="shared" si="21"/>
        <v>93842.544858192749</v>
      </c>
      <c r="AS76" s="67">
        <f t="shared" si="22"/>
        <v>65690.219282791659</v>
      </c>
      <c r="AT76" s="68">
        <v>606</v>
      </c>
      <c r="AU76" s="68"/>
      <c r="AV76" s="68"/>
      <c r="AW76" s="68">
        <v>5</v>
      </c>
      <c r="AX76" s="68">
        <v>2529.8795634316061</v>
      </c>
      <c r="AY76" s="68">
        <v>-882.31386194591266</v>
      </c>
      <c r="AZ76" s="68">
        <v>983.00911206440219</v>
      </c>
      <c r="BA76" s="299"/>
      <c r="BB76" s="67"/>
      <c r="BC76" s="67"/>
      <c r="BD76" s="67"/>
      <c r="BE76" s="67"/>
      <c r="BF76" s="67"/>
      <c r="BG76" s="67"/>
      <c r="BH76" s="67"/>
      <c r="BN76" s="299"/>
      <c r="BO76" s="67">
        <v>5101644.6064975699</v>
      </c>
      <c r="BP76" s="67">
        <v>6319918.3000000007</v>
      </c>
      <c r="BQ76" s="67">
        <v>6730000</v>
      </c>
      <c r="BR76" s="67">
        <v>146287.51</v>
      </c>
      <c r="BS76" s="67">
        <v>148000</v>
      </c>
      <c r="BT76" s="428">
        <v>0.53777603553554032</v>
      </c>
      <c r="BU76" s="428">
        <v>0.33464287704132484</v>
      </c>
      <c r="BV76" s="67">
        <f t="shared" si="23"/>
        <v>4647948.613157887</v>
      </c>
      <c r="BW76" s="299"/>
      <c r="BX76" s="67">
        <v>11925328</v>
      </c>
      <c r="BY76" s="67">
        <v>5101644.6064975699</v>
      </c>
      <c r="BZ76" s="67">
        <v>6406845.9362420589</v>
      </c>
      <c r="CA76" s="67">
        <v>3467675.1614247328</v>
      </c>
      <c r="CB76" s="67">
        <f t="shared" si="24"/>
        <v>298262.47143778874</v>
      </c>
      <c r="CC76" s="67">
        <f t="shared" si="25"/>
        <v>-278.55324975323083</v>
      </c>
      <c r="CD76" s="67">
        <f t="shared" si="26"/>
        <v>-325.39242335362604</v>
      </c>
      <c r="CE76" s="67">
        <f t="shared" si="27"/>
        <v>-46.839173600395213</v>
      </c>
      <c r="CF76" s="67">
        <f t="shared" si="28"/>
        <v>31.839173600395213</v>
      </c>
      <c r="CG76" s="67">
        <f t="shared" si="29"/>
        <v>16.839173600395213</v>
      </c>
      <c r="CH76" s="67">
        <f t="shared" si="30"/>
        <v>1.8391736003952133</v>
      </c>
      <c r="CI76" s="67">
        <f t="shared" si="31"/>
        <v>0</v>
      </c>
      <c r="CJ76" s="67">
        <f t="shared" si="32"/>
        <v>53585.329169465142</v>
      </c>
      <c r="CK76" s="67">
        <f t="shared" si="33"/>
        <v>28340.329169465145</v>
      </c>
      <c r="CL76" s="67">
        <f t="shared" si="34"/>
        <v>3095.3291694651439</v>
      </c>
      <c r="CM76" s="67">
        <f t="shared" si="35"/>
        <v>0</v>
      </c>
      <c r="CN76" s="299"/>
      <c r="CO76" s="430">
        <v>5109.7355803671007</v>
      </c>
      <c r="CP76" s="430">
        <v>431.18224860872886</v>
      </c>
      <c r="CQ76" s="430">
        <v>749.37400000000002</v>
      </c>
      <c r="CR76" s="430">
        <v>4685534.9560448229</v>
      </c>
      <c r="CS76" s="430">
        <v>1266400.8902139394</v>
      </c>
      <c r="CT76" s="430">
        <v>1395869.1956446611</v>
      </c>
      <c r="CU76" s="430">
        <v>418534.52381565992</v>
      </c>
      <c r="CV76" s="430">
        <v>-369016</v>
      </c>
      <c r="CW76" s="430">
        <v>12855.629050566187</v>
      </c>
      <c r="CX76" s="430">
        <v>-88654.47</v>
      </c>
      <c r="CY76" s="430">
        <v>5484124.9107496506</v>
      </c>
      <c r="CZ76" s="519"/>
      <c r="DA76" s="524">
        <v>5322.8054299999994</v>
      </c>
      <c r="DB76" s="524">
        <v>427.81047678598668</v>
      </c>
      <c r="DC76" s="520">
        <f t="shared" si="36"/>
        <v>-1</v>
      </c>
      <c r="DD76" s="440">
        <v>1685</v>
      </c>
      <c r="DE76" s="450">
        <v>5101644.6064975699</v>
      </c>
      <c r="DF76" s="440">
        <v>2476479.6454247329</v>
      </c>
      <c r="DG76" s="440">
        <v>733078.7452</v>
      </c>
      <c r="DH76" s="440">
        <v>258116.77080000003</v>
      </c>
      <c r="DI76" s="440">
        <v>1263717.0246206282</v>
      </c>
      <c r="DJ76" s="440">
        <v>420964.55030535825</v>
      </c>
      <c r="DK76" s="440">
        <v>298162.82759963517</v>
      </c>
      <c r="DL76" s="440">
        <v>-369016</v>
      </c>
      <c r="DM76" s="440">
        <v>-47900</v>
      </c>
      <c r="DN76" s="440">
        <v>13028.558012854755</v>
      </c>
      <c r="DO76" s="457">
        <f t="shared" si="37"/>
        <v>-55012.484534360468</v>
      </c>
      <c r="DP76" s="459">
        <f t="shared" si="38"/>
        <v>-32.648358774101169</v>
      </c>
      <c r="DQ76" s="440"/>
      <c r="DR76" s="450">
        <v>11925328</v>
      </c>
      <c r="DS76" s="440">
        <v>5286592.034842059</v>
      </c>
      <c r="DT76" s="440">
        <v>387175.15620000003</v>
      </c>
      <c r="DU76" s="440">
        <v>4682858.5760448202</v>
      </c>
      <c r="DV76" s="440">
        <v>1403973.6623697605</v>
      </c>
      <c r="DW76" s="440">
        <v>316162.7452</v>
      </c>
      <c r="DX76" s="457">
        <f t="shared" si="39"/>
        <v>151434.17465664074</v>
      </c>
      <c r="DY76" s="459">
        <f t="shared" si="40"/>
        <v>89.87191374281349</v>
      </c>
      <c r="DZ76" s="440"/>
      <c r="EA76" s="457">
        <f t="shared" si="41"/>
        <v>-206446.65919100121</v>
      </c>
      <c r="EB76" s="459">
        <f t="shared" si="42"/>
        <v>-122.52027251691466</v>
      </c>
      <c r="ED76" s="457">
        <v>213465.88871629836</v>
      </c>
      <c r="EE76" s="458">
        <v>186007.54171063422</v>
      </c>
      <c r="EF76" s="458">
        <v>158898.13844077734</v>
      </c>
      <c r="EG76" s="458">
        <v>131617.58573924805</v>
      </c>
      <c r="EH76" s="459">
        <v>104697.69016006305</v>
      </c>
    </row>
    <row r="77" spans="1:138" x14ac:dyDescent="0.2">
      <c r="A77" s="67">
        <v>182</v>
      </c>
      <c r="B77" s="67" t="s">
        <v>126</v>
      </c>
      <c r="C77" s="67">
        <v>13</v>
      </c>
      <c r="D77" s="67">
        <v>19347</v>
      </c>
      <c r="E77" s="82">
        <v>52936834.316102028</v>
      </c>
      <c r="F77" s="67">
        <v>28752967.672620323</v>
      </c>
      <c r="G77" s="67">
        <v>6058861</v>
      </c>
      <c r="H77" s="67">
        <v>7699733.0563463494</v>
      </c>
      <c r="I77" s="67">
        <v>665581.83215746109</v>
      </c>
      <c r="J77" s="67">
        <v>3303127.6664556824</v>
      </c>
      <c r="K77" s="67">
        <v>-1121290.1236997717</v>
      </c>
      <c r="L77" s="67">
        <v>-2206088</v>
      </c>
      <c r="M77" s="68">
        <v>621298.86</v>
      </c>
      <c r="N77" s="68">
        <v>203109.09257899213</v>
      </c>
      <c r="O77" s="68">
        <v>-563062.83002724382</v>
      </c>
      <c r="P77" s="168">
        <f t="shared" si="8"/>
        <v>-9522596.0896702316</v>
      </c>
      <c r="Q77" s="169">
        <f t="shared" si="9"/>
        <v>-492.20013902259944</v>
      </c>
      <c r="R77" s="67"/>
      <c r="S77" s="82">
        <v>145644427.34</v>
      </c>
      <c r="T77" s="67">
        <v>70574683.740845606</v>
      </c>
      <c r="U77" s="67">
        <v>11572331.294970708</v>
      </c>
      <c r="V77" s="67">
        <v>38560834.999917425</v>
      </c>
      <c r="W77" s="67">
        <v>11016377.136233281</v>
      </c>
      <c r="X77" s="67">
        <v>4474071.8600000003</v>
      </c>
      <c r="Y77" s="168">
        <f t="shared" si="10"/>
        <v>-9446128.3080329895</v>
      </c>
      <c r="Z77" s="169">
        <f t="shared" si="11"/>
        <v>-488.24770290137951</v>
      </c>
      <c r="AA77" s="67"/>
      <c r="AB77" s="77">
        <f t="shared" si="12"/>
        <v>-76467.781637242064</v>
      </c>
      <c r="AC77" s="123">
        <f t="shared" si="13"/>
        <v>-3.9524361212199342</v>
      </c>
      <c r="AE77" s="170"/>
      <c r="AF77" s="177">
        <v>22212.813140582606</v>
      </c>
      <c r="AG77" s="177">
        <v>-28200.179224005267</v>
      </c>
      <c r="AH77" s="177">
        <v>-57665.623679797194</v>
      </c>
      <c r="AI77" s="178">
        <v>-91086.91180058445</v>
      </c>
      <c r="AK77" s="67">
        <f t="shared" si="14"/>
        <v>41821716.068225279</v>
      </c>
      <c r="AL77" s="67">
        <f t="shared" si="15"/>
        <v>3872598.2386243585</v>
      </c>
      <c r="AM77" s="67">
        <f t="shared" si="16"/>
        <v>37895253.167759962</v>
      </c>
      <c r="AN77" s="67">
        <f t="shared" si="17"/>
        <v>92707593.023897976</v>
      </c>
      <c r="AO77" s="67">
        <f t="shared" si="18"/>
        <v>0</v>
      </c>
      <c r="AP77" s="67">
        <f t="shared" si="19"/>
        <v>22212.813140582606</v>
      </c>
      <c r="AQ77" s="67">
        <f t="shared" si="20"/>
        <v>-28200.179224005267</v>
      </c>
      <c r="AR77" s="67">
        <f t="shared" si="21"/>
        <v>-57665.623679797194</v>
      </c>
      <c r="AS77" s="67">
        <f t="shared" si="22"/>
        <v>-91086.91180058445</v>
      </c>
      <c r="AT77" s="68">
        <v>8551</v>
      </c>
      <c r="AU77" s="68"/>
      <c r="AV77" s="68"/>
      <c r="AW77" s="68">
        <v>29</v>
      </c>
      <c r="AX77" s="68">
        <v>37063.239857591274</v>
      </c>
      <c r="AY77" s="68">
        <v>-8.0187793982927182</v>
      </c>
      <c r="AZ77" s="68">
        <v>7713.1379585669465</v>
      </c>
      <c r="BA77" s="299"/>
      <c r="BB77" s="67"/>
      <c r="BC77" s="67"/>
      <c r="BD77" s="67"/>
      <c r="BE77" s="67"/>
      <c r="BF77" s="67"/>
      <c r="BG77" s="67"/>
      <c r="BH77" s="67"/>
      <c r="BN77" s="299"/>
      <c r="BO77" s="67">
        <v>51382666.064829156</v>
      </c>
      <c r="BP77" s="67">
        <v>84479508.560000002</v>
      </c>
      <c r="BQ77" s="67">
        <v>91108000</v>
      </c>
      <c r="BR77" s="67">
        <v>1849896.03</v>
      </c>
      <c r="BS77" s="67">
        <v>1888000</v>
      </c>
      <c r="BT77" s="428">
        <v>0.59258807622570553</v>
      </c>
      <c r="BU77" s="428">
        <v>0.33464287704132489</v>
      </c>
      <c r="BV77" s="67">
        <f t="shared" si="23"/>
        <v>44487212.513837792</v>
      </c>
      <c r="BW77" s="299"/>
      <c r="BX77" s="67">
        <v>140083730</v>
      </c>
      <c r="BY77" s="67">
        <v>51382666.064829156</v>
      </c>
      <c r="BZ77" s="67">
        <v>90286572.878739923</v>
      </c>
      <c r="CA77" s="67">
        <v>43375524.893019848</v>
      </c>
      <c r="CB77" s="67">
        <f t="shared" si="24"/>
        <v>1669726.7070054105</v>
      </c>
      <c r="CC77" s="67">
        <f t="shared" si="25"/>
        <v>-488.24770290137934</v>
      </c>
      <c r="CD77" s="67">
        <f t="shared" si="26"/>
        <v>-318.83581066510618</v>
      </c>
      <c r="CE77" s="67">
        <f t="shared" si="27"/>
        <v>169.41189223627316</v>
      </c>
      <c r="CF77" s="67">
        <f t="shared" si="28"/>
        <v>-154.41189223627316</v>
      </c>
      <c r="CG77" s="67">
        <f t="shared" si="29"/>
        <v>-139.41189223627316</v>
      </c>
      <c r="CH77" s="67">
        <f t="shared" si="30"/>
        <v>-124.41189223627316</v>
      </c>
      <c r="CI77" s="67">
        <f t="shared" si="31"/>
        <v>-109.41189223627316</v>
      </c>
      <c r="CJ77" s="67">
        <f t="shared" si="32"/>
        <v>-2987406.8790951767</v>
      </c>
      <c r="CK77" s="67">
        <f t="shared" si="33"/>
        <v>-2697201.8790951767</v>
      </c>
      <c r="CL77" s="67">
        <f t="shared" si="34"/>
        <v>-2406996.8790951767</v>
      </c>
      <c r="CM77" s="67">
        <f t="shared" si="35"/>
        <v>-2116791.8790951767</v>
      </c>
      <c r="CN77" s="299"/>
      <c r="CO77" s="430">
        <v>70574.683740845605</v>
      </c>
      <c r="CP77" s="430">
        <v>11572.331294970709</v>
      </c>
      <c r="CQ77" s="430">
        <v>6058.8609999999999</v>
      </c>
      <c r="CR77" s="430">
        <v>38560834.999917425</v>
      </c>
      <c r="CS77" s="430">
        <v>665581.83215746109</v>
      </c>
      <c r="CT77" s="430">
        <v>11016377.136233281</v>
      </c>
      <c r="CU77" s="430">
        <v>3303127.6664556824</v>
      </c>
      <c r="CV77" s="430">
        <v>-2206088</v>
      </c>
      <c r="CW77" s="430">
        <v>203109.09257899213</v>
      </c>
      <c r="CX77" s="430">
        <v>621298.86</v>
      </c>
      <c r="CY77" s="430">
        <v>52936834.316102028</v>
      </c>
      <c r="CZ77" s="519"/>
      <c r="DA77" s="524">
        <v>70712.258489999993</v>
      </c>
      <c r="DB77" s="524">
        <v>11481.828591465115</v>
      </c>
      <c r="DC77" s="520">
        <f t="shared" si="36"/>
        <v>-1</v>
      </c>
      <c r="DD77" s="440">
        <v>19767</v>
      </c>
      <c r="DE77" s="450">
        <v>51382666.064829156</v>
      </c>
      <c r="DF77" s="440">
        <v>30288901.760419842</v>
      </c>
      <c r="DG77" s="440">
        <v>6159128.3340000007</v>
      </c>
      <c r="DH77" s="440">
        <v>6927494.7986000003</v>
      </c>
      <c r="DI77" s="440">
        <v>634358.18728081405</v>
      </c>
      <c r="DJ77" s="440">
        <v>3303079.9128122395</v>
      </c>
      <c r="DK77" s="440">
        <v>1666777.3868203121</v>
      </c>
      <c r="DL77" s="440">
        <v>-2110897</v>
      </c>
      <c r="DM77" s="440">
        <v>723770</v>
      </c>
      <c r="DN77" s="440">
        <v>207944.13014798475</v>
      </c>
      <c r="DO77" s="457">
        <f t="shared" si="37"/>
        <v>-3582108.5547479689</v>
      </c>
      <c r="DP77" s="459">
        <f t="shared" si="38"/>
        <v>-181.21660114068746</v>
      </c>
      <c r="DQ77" s="440"/>
      <c r="DR77" s="450">
        <v>140083730</v>
      </c>
      <c r="DS77" s="440">
        <v>73736202.34683992</v>
      </c>
      <c r="DT77" s="440">
        <v>10391242.197900001</v>
      </c>
      <c r="DU77" s="440">
        <v>38529711.039917395</v>
      </c>
      <c r="DV77" s="440">
        <v>11016217.871379185</v>
      </c>
      <c r="DW77" s="440">
        <v>4772001.3340000007</v>
      </c>
      <c r="DX77" s="457">
        <f t="shared" si="39"/>
        <v>-1638355.2099635005</v>
      </c>
      <c r="DY77" s="459">
        <f t="shared" si="40"/>
        <v>-82.883351543658648</v>
      </c>
      <c r="DZ77" s="440"/>
      <c r="EA77" s="457">
        <f t="shared" si="41"/>
        <v>-1943753.3447844684</v>
      </c>
      <c r="EB77" s="459">
        <f t="shared" si="42"/>
        <v>-98.333249597028811</v>
      </c>
      <c r="ED77" s="457">
        <v>2026097.0302601685</v>
      </c>
      <c r="EE77" s="458">
        <v>1703978.8431616742</v>
      </c>
      <c r="EF77" s="458">
        <v>1385954.1699063266</v>
      </c>
      <c r="EG77" s="458">
        <v>1065921.7157513537</v>
      </c>
      <c r="EH77" s="459">
        <v>750120.18701915781</v>
      </c>
    </row>
    <row r="78" spans="1:138" x14ac:dyDescent="0.2">
      <c r="A78" s="67">
        <v>186</v>
      </c>
      <c r="B78" s="67" t="s">
        <v>200</v>
      </c>
      <c r="C78" s="67">
        <v>35</v>
      </c>
      <c r="D78" s="67">
        <v>45630</v>
      </c>
      <c r="E78" s="82">
        <v>111943892.72385198</v>
      </c>
      <c r="F78" s="67">
        <v>78697414.454285249</v>
      </c>
      <c r="G78" s="67">
        <v>17664208</v>
      </c>
      <c r="H78" s="67">
        <v>5489737.6113812914</v>
      </c>
      <c r="I78" s="67">
        <v>14192406.070901182</v>
      </c>
      <c r="J78" s="67">
        <v>5262022.9860747922</v>
      </c>
      <c r="K78" s="67">
        <v>-4653354.4411326582</v>
      </c>
      <c r="L78" s="67">
        <v>-307318</v>
      </c>
      <c r="M78" s="68">
        <v>269514.14</v>
      </c>
      <c r="N78" s="68">
        <v>585776.44475564873</v>
      </c>
      <c r="O78" s="68">
        <v>-1327986.6095075791</v>
      </c>
      <c r="P78" s="168">
        <f t="shared" si="8"/>
        <v>3928527.9329059534</v>
      </c>
      <c r="Q78" s="169">
        <f t="shared" si="9"/>
        <v>86.095286717202569</v>
      </c>
      <c r="R78" s="67"/>
      <c r="S78" s="82">
        <v>277084724.07999998</v>
      </c>
      <c r="T78" s="67">
        <v>207720950.55049068</v>
      </c>
      <c r="U78" s="67">
        <v>8250813.618662131</v>
      </c>
      <c r="V78" s="67">
        <v>27917961.214133982</v>
      </c>
      <c r="W78" s="67">
        <v>17549557.742746752</v>
      </c>
      <c r="X78" s="67">
        <v>17626404.140000001</v>
      </c>
      <c r="Y78" s="168">
        <f t="shared" si="10"/>
        <v>1980963.1860335469</v>
      </c>
      <c r="Z78" s="169">
        <f t="shared" si="11"/>
        <v>43.413613544456432</v>
      </c>
      <c r="AA78" s="67"/>
      <c r="AB78" s="77">
        <f t="shared" si="12"/>
        <v>1947564.7468724065</v>
      </c>
      <c r="AC78" s="123">
        <f t="shared" si="13"/>
        <v>42.681673172746144</v>
      </c>
      <c r="AE78" s="170"/>
      <c r="AF78" s="177">
        <v>-1210725.7116935672</v>
      </c>
      <c r="AG78" s="177">
        <v>-645175.01606097026</v>
      </c>
      <c r="AH78" s="177">
        <v>-136004.6729988704</v>
      </c>
      <c r="AI78" s="178">
        <v>-214828.9546420979</v>
      </c>
      <c r="AK78" s="67">
        <f t="shared" si="14"/>
        <v>129023536.09620543</v>
      </c>
      <c r="AL78" s="67">
        <f t="shared" si="15"/>
        <v>2761076.0072808396</v>
      </c>
      <c r="AM78" s="67">
        <f t="shared" si="16"/>
        <v>13725555.1432328</v>
      </c>
      <c r="AN78" s="67">
        <f t="shared" si="17"/>
        <v>165140831.356148</v>
      </c>
      <c r="AO78" s="67">
        <f t="shared" si="18"/>
        <v>0</v>
      </c>
      <c r="AP78" s="67">
        <f t="shared" si="19"/>
        <v>-1210725.7116935672</v>
      </c>
      <c r="AQ78" s="67">
        <f t="shared" si="20"/>
        <v>-645175.01606097026</v>
      </c>
      <c r="AR78" s="67">
        <f t="shared" si="21"/>
        <v>-136004.6729988704</v>
      </c>
      <c r="AS78" s="67">
        <f t="shared" si="22"/>
        <v>-214828.9546420979</v>
      </c>
      <c r="AT78" s="68">
        <v>22155</v>
      </c>
      <c r="AU78" s="68"/>
      <c r="AV78" s="68"/>
      <c r="AW78" s="68">
        <v>0</v>
      </c>
      <c r="AX78" s="68">
        <v>20332.769564069014</v>
      </c>
      <c r="AY78" s="68">
        <v>7761.8859680522191</v>
      </c>
      <c r="AZ78" s="68">
        <v>12107.797472169497</v>
      </c>
      <c r="BA78" s="299"/>
      <c r="BB78" s="67"/>
      <c r="BC78" s="67"/>
      <c r="BD78" s="67"/>
      <c r="BE78" s="67"/>
      <c r="BF78" s="67"/>
      <c r="BG78" s="67"/>
      <c r="BH78" s="67"/>
      <c r="BN78" s="299"/>
      <c r="BO78" s="67">
        <v>112311624.95664036</v>
      </c>
      <c r="BP78" s="67">
        <v>146251828.43000001</v>
      </c>
      <c r="BQ78" s="67">
        <v>167776000</v>
      </c>
      <c r="BR78" s="67">
        <v>3062387.64</v>
      </c>
      <c r="BS78" s="67">
        <v>2347000</v>
      </c>
      <c r="BT78" s="428">
        <v>0.62113877177181365</v>
      </c>
      <c r="BU78" s="428">
        <v>0.33464287704132478</v>
      </c>
      <c r="BV78" s="67">
        <f t="shared" si="23"/>
        <v>21359735.458772101</v>
      </c>
      <c r="BW78" s="299"/>
      <c r="BX78" s="67">
        <v>267099143.81</v>
      </c>
      <c r="BY78" s="67">
        <v>112311624.95664036</v>
      </c>
      <c r="BZ78" s="67">
        <v>224223561.33563989</v>
      </c>
      <c r="CA78" s="67">
        <v>99223908.800185606</v>
      </c>
      <c r="CB78" s="67">
        <f t="shared" si="24"/>
        <v>-3428854.979769459</v>
      </c>
      <c r="CC78" s="67">
        <f t="shared" si="25"/>
        <v>43.413613544456759</v>
      </c>
      <c r="CD78" s="67">
        <f t="shared" si="26"/>
        <v>142.03405662451732</v>
      </c>
      <c r="CE78" s="67">
        <f t="shared" si="27"/>
        <v>98.620443080060568</v>
      </c>
      <c r="CF78" s="67">
        <f t="shared" si="28"/>
        <v>-83.620443080060568</v>
      </c>
      <c r="CG78" s="67">
        <f t="shared" si="29"/>
        <v>-68.620443080060568</v>
      </c>
      <c r="CH78" s="67">
        <f t="shared" si="30"/>
        <v>-53.620443080060568</v>
      </c>
      <c r="CI78" s="67">
        <f t="shared" si="31"/>
        <v>-38.620443080060568</v>
      </c>
      <c r="CJ78" s="67">
        <f t="shared" si="32"/>
        <v>-3815600.8177431636</v>
      </c>
      <c r="CK78" s="67">
        <f t="shared" si="33"/>
        <v>-3131150.8177431636</v>
      </c>
      <c r="CL78" s="67">
        <f t="shared" si="34"/>
        <v>-2446700.8177431636</v>
      </c>
      <c r="CM78" s="67">
        <f t="shared" si="35"/>
        <v>-1762250.8177431638</v>
      </c>
      <c r="CN78" s="299"/>
      <c r="CO78" s="430">
        <v>207720.95055049067</v>
      </c>
      <c r="CP78" s="430">
        <v>8250.8136186621305</v>
      </c>
      <c r="CQ78" s="430">
        <v>17664.207999999999</v>
      </c>
      <c r="CR78" s="430">
        <v>27917961.214133982</v>
      </c>
      <c r="CS78" s="430">
        <v>14192406.070901182</v>
      </c>
      <c r="CT78" s="430">
        <v>17549557.742746752</v>
      </c>
      <c r="CU78" s="430">
        <v>5262022.9860747922</v>
      </c>
      <c r="CV78" s="430">
        <v>-307318</v>
      </c>
      <c r="CW78" s="430">
        <v>585776.44475564873</v>
      </c>
      <c r="CX78" s="430">
        <v>269514.14</v>
      </c>
      <c r="CY78" s="430">
        <v>111943892.72385198</v>
      </c>
      <c r="CZ78" s="519"/>
      <c r="DA78" s="524">
        <v>206381.16045</v>
      </c>
      <c r="DB78" s="524">
        <v>8165.3985370076916</v>
      </c>
      <c r="DC78" s="520">
        <f t="shared" si="36"/>
        <v>-1</v>
      </c>
      <c r="DD78" s="440">
        <v>45226</v>
      </c>
      <c r="DE78" s="450">
        <v>112311624.95664036</v>
      </c>
      <c r="DF78" s="440">
        <v>76488618.661185607</v>
      </c>
      <c r="DG78" s="440">
        <v>17796141.149</v>
      </c>
      <c r="DH78" s="440">
        <v>4939148.99</v>
      </c>
      <c r="DI78" s="440">
        <v>14122436.212684074</v>
      </c>
      <c r="DJ78" s="440">
        <v>5185052.1582207419</v>
      </c>
      <c r="DK78" s="440">
        <v>-3409635.4958324749</v>
      </c>
      <c r="DL78" s="440">
        <v>-349842</v>
      </c>
      <c r="DM78" s="440">
        <v>-581000</v>
      </c>
      <c r="DN78" s="440">
        <v>554090.03062983695</v>
      </c>
      <c r="DO78" s="457">
        <f t="shared" si="37"/>
        <v>2433384.7492474169</v>
      </c>
      <c r="DP78" s="459">
        <f t="shared" si="38"/>
        <v>53.804996003348002</v>
      </c>
      <c r="DQ78" s="440"/>
      <c r="DR78" s="450">
        <v>267099143.81</v>
      </c>
      <c r="DS78" s="440">
        <v>199018696.70163992</v>
      </c>
      <c r="DT78" s="440">
        <v>7408723.4849999994</v>
      </c>
      <c r="DU78" s="440">
        <v>27848155.314133983</v>
      </c>
      <c r="DV78" s="440">
        <v>17292849.630390238</v>
      </c>
      <c r="DW78" s="440">
        <v>16865299.149</v>
      </c>
      <c r="DX78" s="457">
        <f t="shared" si="39"/>
        <v>1334580.4701641202</v>
      </c>
      <c r="DY78" s="459">
        <f t="shared" si="40"/>
        <v>29.509142311151113</v>
      </c>
      <c r="DZ78" s="440"/>
      <c r="EA78" s="457">
        <f t="shared" si="41"/>
        <v>1098804.2790832967</v>
      </c>
      <c r="EB78" s="459">
        <f t="shared" si="42"/>
        <v>24.295853692196893</v>
      </c>
      <c r="ED78" s="457">
        <v>-910405.65919543023</v>
      </c>
      <c r="EE78" s="458">
        <v>-290617.47028039536</v>
      </c>
      <c r="EF78" s="458">
        <v>80560.771840010202</v>
      </c>
      <c r="EG78" s="458">
        <v>26731.023187568808</v>
      </c>
      <c r="EH78" s="459">
        <v>-17418.559877250536</v>
      </c>
    </row>
    <row r="79" spans="1:138" x14ac:dyDescent="0.2">
      <c r="A79" s="67">
        <v>202</v>
      </c>
      <c r="B79" s="67" t="s">
        <v>201</v>
      </c>
      <c r="C79" s="67">
        <v>2</v>
      </c>
      <c r="D79" s="67">
        <v>35848</v>
      </c>
      <c r="E79" s="82">
        <v>90499190.819679722</v>
      </c>
      <c r="F79" s="67">
        <v>60108994.992650554</v>
      </c>
      <c r="G79" s="67">
        <v>8007759</v>
      </c>
      <c r="H79" s="67">
        <v>6510876.3720445409</v>
      </c>
      <c r="I79" s="67">
        <v>17730744.510021057</v>
      </c>
      <c r="J79" s="67">
        <v>3779597.1731085982</v>
      </c>
      <c r="K79" s="67">
        <v>6946533.700391341</v>
      </c>
      <c r="L79" s="67">
        <v>-3143674</v>
      </c>
      <c r="M79" s="68">
        <v>-1649088.45</v>
      </c>
      <c r="N79" s="68">
        <v>451395.01568217587</v>
      </c>
      <c r="O79" s="68">
        <v>-1043297.4792379509</v>
      </c>
      <c r="P79" s="168">
        <f t="shared" si="8"/>
        <v>7200650.0149805918</v>
      </c>
      <c r="Q79" s="169">
        <f t="shared" si="9"/>
        <v>200.86615752568042</v>
      </c>
      <c r="R79" s="67"/>
      <c r="S79" s="82">
        <v>204884667.13</v>
      </c>
      <c r="T79" s="67">
        <v>158386586.7776773</v>
      </c>
      <c r="U79" s="67">
        <v>9785536.4395774659</v>
      </c>
      <c r="V79" s="67">
        <v>31989580.198765196</v>
      </c>
      <c r="W79" s="67">
        <v>12605467.328691928</v>
      </c>
      <c r="X79" s="67">
        <v>3214996.55</v>
      </c>
      <c r="Y79" s="168">
        <f t="shared" si="10"/>
        <v>11097500.164711893</v>
      </c>
      <c r="Z79" s="169">
        <f t="shared" si="11"/>
        <v>309.57097089689501</v>
      </c>
      <c r="AA79" s="67"/>
      <c r="AB79" s="77">
        <f t="shared" si="12"/>
        <v>-3896850.1497313008</v>
      </c>
      <c r="AC79" s="123">
        <f t="shared" si="13"/>
        <v>-108.7048133712146</v>
      </c>
      <c r="AE79" s="170"/>
      <c r="AF79" s="177">
        <v>3400288.2065599281</v>
      </c>
      <c r="AG79" s="177">
        <v>2769158.1197099905</v>
      </c>
      <c r="AH79" s="177">
        <v>2176841.6834226474</v>
      </c>
      <c r="AI79" s="178">
        <v>1577195.4759199866</v>
      </c>
      <c r="AK79" s="67">
        <f t="shared" si="14"/>
        <v>98277591.785026744</v>
      </c>
      <c r="AL79" s="67">
        <f t="shared" si="15"/>
        <v>3274660.0675329249</v>
      </c>
      <c r="AM79" s="67">
        <f t="shared" si="16"/>
        <v>14258835.688744139</v>
      </c>
      <c r="AN79" s="67">
        <f t="shared" si="17"/>
        <v>114385476.31032027</v>
      </c>
      <c r="AO79" s="67">
        <f t="shared" si="18"/>
        <v>0</v>
      </c>
      <c r="AP79" s="67">
        <f t="shared" si="19"/>
        <v>3400288.2065599281</v>
      </c>
      <c r="AQ79" s="67">
        <f t="shared" si="20"/>
        <v>2769158.1197099905</v>
      </c>
      <c r="AR79" s="67">
        <f t="shared" si="21"/>
        <v>2176841.6834226474</v>
      </c>
      <c r="AS79" s="67">
        <f t="shared" si="22"/>
        <v>1577195.4759199866</v>
      </c>
      <c r="AT79" s="68">
        <v>10239</v>
      </c>
      <c r="AU79" s="68"/>
      <c r="AV79" s="68"/>
      <c r="AW79" s="68">
        <v>107</v>
      </c>
      <c r="AX79" s="68">
        <v>20399.329369224961</v>
      </c>
      <c r="AY79" s="68">
        <v>5406.3213632845027</v>
      </c>
      <c r="AZ79" s="68">
        <v>8833.0757665711972</v>
      </c>
      <c r="BA79" s="299"/>
      <c r="BB79" s="67"/>
      <c r="BC79" s="67"/>
      <c r="BD79" s="67"/>
      <c r="BE79" s="67"/>
      <c r="BF79" s="67"/>
      <c r="BG79" s="67"/>
      <c r="BH79" s="67"/>
      <c r="BN79" s="299"/>
      <c r="BO79" s="67">
        <v>89886558.778534889</v>
      </c>
      <c r="BP79" s="67">
        <v>105372642.83</v>
      </c>
      <c r="BQ79" s="67">
        <v>110651000</v>
      </c>
      <c r="BR79" s="67">
        <v>2535895.7200000002</v>
      </c>
      <c r="BS79" s="67">
        <v>2696000</v>
      </c>
      <c r="BT79" s="428">
        <v>0.62049188497872099</v>
      </c>
      <c r="BU79" s="428">
        <v>0.33464287704132478</v>
      </c>
      <c r="BV79" s="67">
        <f t="shared" si="23"/>
        <v>30031239.544718813</v>
      </c>
      <c r="BW79" s="299"/>
      <c r="BX79" s="67">
        <v>203976027</v>
      </c>
      <c r="BY79" s="67">
        <v>89886558.778534889</v>
      </c>
      <c r="BZ79" s="67">
        <v>167701023.63056147</v>
      </c>
      <c r="CA79" s="67">
        <v>71931368.078646034</v>
      </c>
      <c r="CB79" s="67">
        <f t="shared" si="24"/>
        <v>3023594.0455158544</v>
      </c>
      <c r="CC79" s="67">
        <f t="shared" si="25"/>
        <v>309.57097089689501</v>
      </c>
      <c r="CD79" s="67">
        <f t="shared" si="26"/>
        <v>120.53692923853652</v>
      </c>
      <c r="CE79" s="67">
        <f t="shared" si="27"/>
        <v>-189.03404165835849</v>
      </c>
      <c r="CF79" s="67">
        <f t="shared" si="28"/>
        <v>174.03404165835849</v>
      </c>
      <c r="CG79" s="67">
        <f t="shared" si="29"/>
        <v>159.03404165835849</v>
      </c>
      <c r="CH79" s="67">
        <f t="shared" si="30"/>
        <v>144.03404165835849</v>
      </c>
      <c r="CI79" s="67">
        <f t="shared" si="31"/>
        <v>129.03404165835849</v>
      </c>
      <c r="CJ79" s="67">
        <f t="shared" si="32"/>
        <v>6238772.3253688356</v>
      </c>
      <c r="CK79" s="67">
        <f t="shared" si="33"/>
        <v>5701052.3253688356</v>
      </c>
      <c r="CL79" s="67">
        <f t="shared" si="34"/>
        <v>5163332.3253688356</v>
      </c>
      <c r="CM79" s="67">
        <f t="shared" si="35"/>
        <v>4625612.3253688356</v>
      </c>
      <c r="CN79" s="299"/>
      <c r="CO79" s="430">
        <v>158386.58677767729</v>
      </c>
      <c r="CP79" s="430">
        <v>9785.536439577465</v>
      </c>
      <c r="CQ79" s="430">
        <v>8007.759</v>
      </c>
      <c r="CR79" s="430">
        <v>31989580.198765196</v>
      </c>
      <c r="CS79" s="430">
        <v>17730744.510021057</v>
      </c>
      <c r="CT79" s="430">
        <v>12605467.328691928</v>
      </c>
      <c r="CU79" s="430">
        <v>3779597.1731085982</v>
      </c>
      <c r="CV79" s="430">
        <v>-3143674</v>
      </c>
      <c r="CW79" s="430">
        <v>451395.01568217587</v>
      </c>
      <c r="CX79" s="430">
        <v>-1649088.45</v>
      </c>
      <c r="CY79" s="430">
        <v>90499190.819679722</v>
      </c>
      <c r="CZ79" s="519"/>
      <c r="DA79" s="524">
        <v>158007.1531</v>
      </c>
      <c r="DB79" s="524">
        <v>9709.0176613828608</v>
      </c>
      <c r="DC79" s="520">
        <f t="shared" si="36"/>
        <v>-1</v>
      </c>
      <c r="DD79" s="440">
        <v>35497</v>
      </c>
      <c r="DE79" s="450">
        <v>89886558.778534889</v>
      </c>
      <c r="DF79" s="440">
        <v>57979818.897746041</v>
      </c>
      <c r="DG79" s="440">
        <v>8093675.6843000008</v>
      </c>
      <c r="DH79" s="440">
        <v>5857873.4966000002</v>
      </c>
      <c r="DI79" s="440">
        <v>17676098.567434888</v>
      </c>
      <c r="DJ79" s="440">
        <v>3782682.9092955422</v>
      </c>
      <c r="DK79" s="440">
        <v>3039877.669067522</v>
      </c>
      <c r="DL79" s="440">
        <v>-3482000</v>
      </c>
      <c r="DM79" s="440">
        <v>-2160000</v>
      </c>
      <c r="DN79" s="440">
        <v>424521.2710740827</v>
      </c>
      <c r="DO79" s="457">
        <f t="shared" si="37"/>
        <v>1325989.7169831842</v>
      </c>
      <c r="DP79" s="459">
        <f t="shared" si="38"/>
        <v>37.354979772464837</v>
      </c>
      <c r="DQ79" s="440"/>
      <c r="DR79" s="450">
        <v>203976027</v>
      </c>
      <c r="DS79" s="440">
        <v>150820537.70136148</v>
      </c>
      <c r="DT79" s="440">
        <v>8786810.2448999994</v>
      </c>
      <c r="DU79" s="440">
        <v>31935041.608765177</v>
      </c>
      <c r="DV79" s="440">
        <v>12615758.67586674</v>
      </c>
      <c r="DW79" s="440">
        <v>2451675.6843000008</v>
      </c>
      <c r="DX79" s="457">
        <f t="shared" si="39"/>
        <v>2633796.9151933789</v>
      </c>
      <c r="DY79" s="459">
        <f t="shared" si="40"/>
        <v>74.197732630740035</v>
      </c>
      <c r="DZ79" s="440"/>
      <c r="EA79" s="457">
        <f t="shared" si="41"/>
        <v>-1307807.1982101947</v>
      </c>
      <c r="EB79" s="459">
        <f t="shared" si="42"/>
        <v>-36.842752858275198</v>
      </c>
      <c r="ED79" s="457">
        <v>1455677.5783048866</v>
      </c>
      <c r="EE79" s="458">
        <v>877227.16663719527</v>
      </c>
      <c r="EF79" s="458">
        <v>306127.76730775338</v>
      </c>
      <c r="EG79" s="458">
        <v>20980.655598309157</v>
      </c>
      <c r="EH79" s="459">
        <v>-13671.485870135812</v>
      </c>
    </row>
    <row r="80" spans="1:138" x14ac:dyDescent="0.2">
      <c r="A80" s="67">
        <v>204</v>
      </c>
      <c r="B80" s="67" t="s">
        <v>202</v>
      </c>
      <c r="C80" s="67">
        <v>11</v>
      </c>
      <c r="D80" s="67">
        <v>2689</v>
      </c>
      <c r="E80" s="82">
        <v>6816817.0294024237</v>
      </c>
      <c r="F80" s="67">
        <v>3380633.2522379239</v>
      </c>
      <c r="G80" s="67">
        <v>1280637</v>
      </c>
      <c r="H80" s="67">
        <v>1156822.9006883504</v>
      </c>
      <c r="I80" s="67">
        <v>1488973.7405949992</v>
      </c>
      <c r="J80" s="67">
        <v>631297.59291773569</v>
      </c>
      <c r="K80" s="67">
        <v>-582425.04306101217</v>
      </c>
      <c r="L80" s="67">
        <v>-578178</v>
      </c>
      <c r="M80" s="68">
        <v>124500.45</v>
      </c>
      <c r="N80" s="68">
        <v>21242.140556362832</v>
      </c>
      <c r="O80" s="68">
        <v>-78258.952289412235</v>
      </c>
      <c r="P80" s="168">
        <f t="shared" si="8"/>
        <v>28428.052242524485</v>
      </c>
      <c r="Q80" s="169">
        <f t="shared" si="9"/>
        <v>10.571979264605609</v>
      </c>
      <c r="R80" s="67"/>
      <c r="S80" s="82">
        <v>23968668.84</v>
      </c>
      <c r="T80" s="67">
        <v>7577741.032332615</v>
      </c>
      <c r="U80" s="67">
        <v>1738649.6075134072</v>
      </c>
      <c r="V80" s="67">
        <v>10936441.258385709</v>
      </c>
      <c r="W80" s="67">
        <v>2105462.782866179</v>
      </c>
      <c r="X80" s="67">
        <v>826959.45</v>
      </c>
      <c r="Y80" s="168">
        <f t="shared" si="10"/>
        <v>-783414.70890209079</v>
      </c>
      <c r="Z80" s="169">
        <f t="shared" si="11"/>
        <v>-291.34053882561949</v>
      </c>
      <c r="AA80" s="67"/>
      <c r="AB80" s="77">
        <f t="shared" si="12"/>
        <v>811842.76114461524</v>
      </c>
      <c r="AC80" s="123">
        <f t="shared" si="13"/>
        <v>301.91251809022509</v>
      </c>
      <c r="AE80" s="170"/>
      <c r="AF80" s="177">
        <v>-768420.44763166481</v>
      </c>
      <c r="AG80" s="177">
        <v>-735092.24643604679</v>
      </c>
      <c r="AH80" s="177">
        <v>-698852.58835684182</v>
      </c>
      <c r="AI80" s="178">
        <v>-663162.74490601209</v>
      </c>
      <c r="AK80" s="67">
        <f t="shared" si="14"/>
        <v>4197107.7800946906</v>
      </c>
      <c r="AL80" s="67">
        <f t="shared" si="15"/>
        <v>581826.70682505681</v>
      </c>
      <c r="AM80" s="67">
        <f t="shared" si="16"/>
        <v>9447467.5177907087</v>
      </c>
      <c r="AN80" s="67">
        <f t="shared" si="17"/>
        <v>17151851.810597576</v>
      </c>
      <c r="AO80" s="67">
        <f t="shared" si="18"/>
        <v>0</v>
      </c>
      <c r="AP80" s="67">
        <f t="shared" si="19"/>
        <v>-768420.44763166481</v>
      </c>
      <c r="AQ80" s="67">
        <f t="shared" si="20"/>
        <v>-735092.24643604679</v>
      </c>
      <c r="AR80" s="67">
        <f t="shared" si="21"/>
        <v>-698852.58835684182</v>
      </c>
      <c r="AS80" s="67">
        <f t="shared" si="22"/>
        <v>-663162.74490601209</v>
      </c>
      <c r="AT80" s="68">
        <v>706</v>
      </c>
      <c r="AU80" s="68"/>
      <c r="AV80" s="68"/>
      <c r="AW80" s="68">
        <v>0</v>
      </c>
      <c r="AX80" s="68">
        <v>8313.7355425367477</v>
      </c>
      <c r="AY80" s="68">
        <v>-1557.2913743579056</v>
      </c>
      <c r="AZ80" s="68">
        <v>1476.0127974773604</v>
      </c>
      <c r="BA80" s="299"/>
      <c r="BB80" s="67"/>
      <c r="BC80" s="67"/>
      <c r="BD80" s="67"/>
      <c r="BE80" s="67"/>
      <c r="BF80" s="67"/>
      <c r="BG80" s="67"/>
      <c r="BH80" s="67"/>
      <c r="BN80" s="299"/>
      <c r="BO80" s="67">
        <v>6202533.3819943294</v>
      </c>
      <c r="BP80" s="67">
        <v>16310915.449999996</v>
      </c>
      <c r="BQ80" s="67">
        <v>16253000</v>
      </c>
      <c r="BR80" s="67">
        <v>300325.15999999997</v>
      </c>
      <c r="BS80" s="67">
        <v>313000</v>
      </c>
      <c r="BT80" s="428">
        <v>0.55387321395472888</v>
      </c>
      <c r="BU80" s="428">
        <v>0.33464287704132484</v>
      </c>
      <c r="BV80" s="67">
        <f t="shared" si="23"/>
        <v>10339207.66467814</v>
      </c>
      <c r="BW80" s="299"/>
      <c r="BX80" s="67">
        <v>23133718</v>
      </c>
      <c r="BY80" s="67">
        <v>6202533.3819943294</v>
      </c>
      <c r="BZ80" s="67">
        <v>10688269.894207103</v>
      </c>
      <c r="CA80" s="67">
        <v>5869181.601311543</v>
      </c>
      <c r="CB80" s="67">
        <f t="shared" si="24"/>
        <v>-472479.22541473364</v>
      </c>
      <c r="CC80" s="67">
        <f t="shared" si="25"/>
        <v>-291.34053882561955</v>
      </c>
      <c r="CD80" s="67">
        <f t="shared" si="26"/>
        <v>80.562596570552159</v>
      </c>
      <c r="CE80" s="67">
        <f t="shared" si="27"/>
        <v>371.90313539617171</v>
      </c>
      <c r="CF80" s="67">
        <f t="shared" si="28"/>
        <v>-356.90313539617171</v>
      </c>
      <c r="CG80" s="67">
        <f t="shared" si="29"/>
        <v>-341.90313539617171</v>
      </c>
      <c r="CH80" s="67">
        <f t="shared" si="30"/>
        <v>-326.90313539617171</v>
      </c>
      <c r="CI80" s="67">
        <f t="shared" si="31"/>
        <v>-311.90313539617171</v>
      </c>
      <c r="CJ80" s="67">
        <f t="shared" si="32"/>
        <v>-959712.53108030569</v>
      </c>
      <c r="CK80" s="67">
        <f t="shared" si="33"/>
        <v>-919377.53108030569</v>
      </c>
      <c r="CL80" s="67">
        <f t="shared" si="34"/>
        <v>-879042.53108030569</v>
      </c>
      <c r="CM80" s="67">
        <f t="shared" si="35"/>
        <v>-838707.53108030569</v>
      </c>
      <c r="CN80" s="299"/>
      <c r="CO80" s="430">
        <v>7577.7410323326149</v>
      </c>
      <c r="CP80" s="430">
        <v>1738.6496075134073</v>
      </c>
      <c r="CQ80" s="430">
        <v>1280.6369999999999</v>
      </c>
      <c r="CR80" s="430">
        <v>10936441.258385709</v>
      </c>
      <c r="CS80" s="430">
        <v>1488973.7405949992</v>
      </c>
      <c r="CT80" s="430">
        <v>2105462.782866179</v>
      </c>
      <c r="CU80" s="430">
        <v>631297.59291773569</v>
      </c>
      <c r="CV80" s="430">
        <v>-578178</v>
      </c>
      <c r="CW80" s="430">
        <v>21242.140556362832</v>
      </c>
      <c r="CX80" s="430">
        <v>124500.45</v>
      </c>
      <c r="CY80" s="430">
        <v>6816817.0294024237</v>
      </c>
      <c r="CZ80" s="519"/>
      <c r="DA80" s="524">
        <v>7683.9982599999994</v>
      </c>
      <c r="DB80" s="524">
        <v>1725.0546592516725</v>
      </c>
      <c r="DC80" s="520">
        <f t="shared" si="36"/>
        <v>-1</v>
      </c>
      <c r="DD80" s="440">
        <v>2778</v>
      </c>
      <c r="DE80" s="450">
        <v>6202533.3819943294</v>
      </c>
      <c r="DF80" s="440">
        <v>3534775.5710115428</v>
      </c>
      <c r="DG80" s="440">
        <v>1293605.7105</v>
      </c>
      <c r="DH80" s="440">
        <v>1040800.3197999999</v>
      </c>
      <c r="DI80" s="440">
        <v>1484575.5590485265</v>
      </c>
      <c r="DJ80" s="440">
        <v>632088.81373451883</v>
      </c>
      <c r="DK80" s="440">
        <v>-472564.01996446296</v>
      </c>
      <c r="DL80" s="440">
        <v>-578178</v>
      </c>
      <c r="DM80" s="440">
        <v>100800</v>
      </c>
      <c r="DN80" s="440">
        <v>21361.729618096524</v>
      </c>
      <c r="DO80" s="457">
        <f t="shared" si="37"/>
        <v>854732.30175389163</v>
      </c>
      <c r="DP80" s="459">
        <f t="shared" si="38"/>
        <v>307.67901431025615</v>
      </c>
      <c r="DQ80" s="440"/>
      <c r="DR80" s="450">
        <v>23133718</v>
      </c>
      <c r="DS80" s="440">
        <v>7833463.7040071022</v>
      </c>
      <c r="DT80" s="440">
        <v>1561200.4797</v>
      </c>
      <c r="DU80" s="440">
        <v>10932059.718385706</v>
      </c>
      <c r="DV80" s="440">
        <v>2108101.6112118792</v>
      </c>
      <c r="DW80" s="440">
        <v>816227.71050000004</v>
      </c>
      <c r="DX80" s="457">
        <f t="shared" si="39"/>
        <v>117335.22380468994</v>
      </c>
      <c r="DY80" s="459">
        <f t="shared" si="40"/>
        <v>42.237301585561532</v>
      </c>
      <c r="DZ80" s="440"/>
      <c r="EA80" s="457">
        <f t="shared" si="41"/>
        <v>737397.07794920169</v>
      </c>
      <c r="EB80" s="459">
        <f t="shared" si="42"/>
        <v>265.44171272469464</v>
      </c>
      <c r="ED80" s="457">
        <v>-725824.72209087736</v>
      </c>
      <c r="EE80" s="458">
        <v>-687754.32920169935</v>
      </c>
      <c r="EF80" s="458">
        <v>-649108.64509704791</v>
      </c>
      <c r="EG80" s="458">
        <v>-610745.1290168392</v>
      </c>
      <c r="EH80" s="459">
        <v>-571787.01027439174</v>
      </c>
    </row>
    <row r="81" spans="1:138" x14ac:dyDescent="0.2">
      <c r="A81" s="67">
        <v>205</v>
      </c>
      <c r="B81" s="67" t="s">
        <v>203</v>
      </c>
      <c r="C81" s="67">
        <v>18</v>
      </c>
      <c r="D81" s="67">
        <v>36297</v>
      </c>
      <c r="E81" s="82">
        <v>129333171.96471155</v>
      </c>
      <c r="F81" s="67">
        <v>54817115.376662351</v>
      </c>
      <c r="G81" s="67">
        <v>10988485</v>
      </c>
      <c r="H81" s="67">
        <v>5711935.2876358256</v>
      </c>
      <c r="I81" s="67">
        <v>20363162.277647231</v>
      </c>
      <c r="J81" s="67">
        <v>5684003.2592832744</v>
      </c>
      <c r="K81" s="67">
        <v>-4691392.6859688126</v>
      </c>
      <c r="L81" s="67">
        <v>29284746</v>
      </c>
      <c r="M81" s="68">
        <v>3523481.4</v>
      </c>
      <c r="N81" s="68">
        <v>365678.56024698069</v>
      </c>
      <c r="O81" s="68">
        <v>-1056364.8907581987</v>
      </c>
      <c r="P81" s="168">
        <f t="shared" si="8"/>
        <v>-4342322.3799629034</v>
      </c>
      <c r="Q81" s="169">
        <f t="shared" si="9"/>
        <v>-119.63309309207106</v>
      </c>
      <c r="R81" s="67"/>
      <c r="S81" s="82">
        <v>289515804.02999997</v>
      </c>
      <c r="T81" s="67">
        <v>134212541.73948696</v>
      </c>
      <c r="U81" s="67">
        <v>8584766.1211415175</v>
      </c>
      <c r="V81" s="67">
        <v>76596805.853106529</v>
      </c>
      <c r="W81" s="67">
        <v>18956918.978258282</v>
      </c>
      <c r="X81" s="67">
        <v>43796712.399999999</v>
      </c>
      <c r="Y81" s="168">
        <f t="shared" si="10"/>
        <v>-7368058.9380066395</v>
      </c>
      <c r="Z81" s="169">
        <f t="shared" si="11"/>
        <v>-202.99360657923904</v>
      </c>
      <c r="AA81" s="67"/>
      <c r="AB81" s="77">
        <f t="shared" si="12"/>
        <v>3025736.558043736</v>
      </c>
      <c r="AC81" s="123">
        <f t="shared" si="13"/>
        <v>83.360513487167978</v>
      </c>
      <c r="AE81" s="170"/>
      <c r="AF81" s="177">
        <v>-2439607.992190497</v>
      </c>
      <c r="AG81" s="177">
        <v>-1989733.050279991</v>
      </c>
      <c r="AH81" s="177">
        <v>-1500558.3127192261</v>
      </c>
      <c r="AI81" s="178">
        <v>-1018805.1525352293</v>
      </c>
      <c r="AK81" s="67">
        <f t="shared" si="14"/>
        <v>79395426.362824619</v>
      </c>
      <c r="AL81" s="67">
        <f t="shared" si="15"/>
        <v>2872830.833505692</v>
      </c>
      <c r="AM81" s="67">
        <f t="shared" si="16"/>
        <v>56233643.575459301</v>
      </c>
      <c r="AN81" s="67">
        <f t="shared" si="17"/>
        <v>160182632.06528842</v>
      </c>
      <c r="AO81" s="67">
        <f t="shared" si="18"/>
        <v>0</v>
      </c>
      <c r="AP81" s="67">
        <f t="shared" si="19"/>
        <v>-2439607.992190497</v>
      </c>
      <c r="AQ81" s="67">
        <f t="shared" si="20"/>
        <v>-1989733.050279991</v>
      </c>
      <c r="AR81" s="67">
        <f t="shared" si="21"/>
        <v>-1500558.3127192261</v>
      </c>
      <c r="AS81" s="67">
        <f t="shared" si="22"/>
        <v>-1018805.1525352293</v>
      </c>
      <c r="AT81" s="68">
        <v>17875</v>
      </c>
      <c r="AU81" s="68"/>
      <c r="AV81" s="68"/>
      <c r="AW81" s="68">
        <v>467</v>
      </c>
      <c r="AX81" s="68">
        <v>50028.903401602242</v>
      </c>
      <c r="AY81" s="68">
        <v>-6102.8816079216995</v>
      </c>
      <c r="AZ81" s="68">
        <v>13298.836014700273</v>
      </c>
      <c r="BA81" s="299"/>
      <c r="BB81" s="67"/>
      <c r="BC81" s="67"/>
      <c r="BD81" s="67"/>
      <c r="BE81" s="67"/>
      <c r="BF81" s="67"/>
      <c r="BG81" s="67"/>
      <c r="BH81" s="67"/>
      <c r="BN81" s="299"/>
      <c r="BO81" s="67">
        <v>135626999.62284625</v>
      </c>
      <c r="BP81" s="67">
        <v>150135032.31999999</v>
      </c>
      <c r="BQ81" s="67">
        <v>149784000</v>
      </c>
      <c r="BR81" s="67">
        <v>5071921.26</v>
      </c>
      <c r="BS81" s="67">
        <v>4843000</v>
      </c>
      <c r="BT81" s="428">
        <v>0.5915648815960507</v>
      </c>
      <c r="BU81" s="428">
        <v>0.33464287704132484</v>
      </c>
      <c r="BV81" s="67">
        <f t="shared" si="23"/>
        <v>64815166.608465493</v>
      </c>
      <c r="BW81" s="299"/>
      <c r="BX81" s="67">
        <v>298700776</v>
      </c>
      <c r="BY81" s="67">
        <v>135626999.62284625</v>
      </c>
      <c r="BZ81" s="67">
        <v>153108702.52849635</v>
      </c>
      <c r="CA81" s="67">
        <v>72011834.589191258</v>
      </c>
      <c r="CB81" s="67">
        <f t="shared" si="24"/>
        <v>-7756628.0705398833</v>
      </c>
      <c r="CC81" s="67">
        <f t="shared" si="25"/>
        <v>-202.99360657924007</v>
      </c>
      <c r="CD81" s="67">
        <f t="shared" si="26"/>
        <v>-174.97845204220107</v>
      </c>
      <c r="CE81" s="67">
        <f t="shared" si="27"/>
        <v>28.015154537038995</v>
      </c>
      <c r="CF81" s="67">
        <f t="shared" si="28"/>
        <v>-13.015154537038995</v>
      </c>
      <c r="CG81" s="67">
        <f t="shared" si="29"/>
        <v>0</v>
      </c>
      <c r="CH81" s="67">
        <f t="shared" si="30"/>
        <v>0</v>
      </c>
      <c r="CI81" s="67">
        <f t="shared" si="31"/>
        <v>0</v>
      </c>
      <c r="CJ81" s="67">
        <f t="shared" si="32"/>
        <v>-472411.06423090439</v>
      </c>
      <c r="CK81" s="67">
        <f t="shared" si="33"/>
        <v>0</v>
      </c>
      <c r="CL81" s="67">
        <f t="shared" si="34"/>
        <v>0</v>
      </c>
      <c r="CM81" s="67">
        <f t="shared" si="35"/>
        <v>0</v>
      </c>
      <c r="CN81" s="299"/>
      <c r="CO81" s="430">
        <v>134212.54173948697</v>
      </c>
      <c r="CP81" s="430">
        <v>8584.7661211415179</v>
      </c>
      <c r="CQ81" s="430">
        <v>10988.485000000001</v>
      </c>
      <c r="CR81" s="430">
        <v>76596805.853106529</v>
      </c>
      <c r="CS81" s="430">
        <v>20363162.277647231</v>
      </c>
      <c r="CT81" s="430">
        <v>18956918.978258282</v>
      </c>
      <c r="CU81" s="430">
        <v>5684003.2592832744</v>
      </c>
      <c r="CV81" s="430">
        <v>29284746</v>
      </c>
      <c r="CW81" s="430">
        <v>365678.56024698069</v>
      </c>
      <c r="CX81" s="430">
        <v>3523481.4</v>
      </c>
      <c r="CY81" s="430">
        <v>129333171.96471155</v>
      </c>
      <c r="CZ81" s="519"/>
      <c r="DA81" s="524">
        <v>132828.17991000001</v>
      </c>
      <c r="DB81" s="524">
        <v>8517.6346840597125</v>
      </c>
      <c r="DC81" s="520">
        <f t="shared" si="36"/>
        <v>-1</v>
      </c>
      <c r="DD81" s="440">
        <v>36493</v>
      </c>
      <c r="DE81" s="450">
        <v>135626999.62284625</v>
      </c>
      <c r="DF81" s="440">
        <v>55382690.171691261</v>
      </c>
      <c r="DG81" s="440">
        <v>11490082.880500002</v>
      </c>
      <c r="DH81" s="440">
        <v>5139061.5369999995</v>
      </c>
      <c r="DI81" s="440">
        <v>20305641.390602391</v>
      </c>
      <c r="DJ81" s="440">
        <v>5695103.3859248962</v>
      </c>
      <c r="DK81" s="440">
        <v>-7752867.8544950169</v>
      </c>
      <c r="DL81" s="440">
        <v>27918667</v>
      </c>
      <c r="DM81" s="440">
        <v>11559330</v>
      </c>
      <c r="DN81" s="440">
        <v>359480.72757824883</v>
      </c>
      <c r="DO81" s="457">
        <f t="shared" si="37"/>
        <v>-5529810.3840444684</v>
      </c>
      <c r="DP81" s="459">
        <f t="shared" si="38"/>
        <v>-151.53071504245932</v>
      </c>
      <c r="DQ81" s="440"/>
      <c r="DR81" s="450">
        <v>298700776</v>
      </c>
      <c r="DS81" s="440">
        <v>133910027.34249638</v>
      </c>
      <c r="DT81" s="440">
        <v>7708592.3054999998</v>
      </c>
      <c r="DU81" s="440">
        <v>76539434.663106531</v>
      </c>
      <c r="DV81" s="440">
        <v>18993939.400625169</v>
      </c>
      <c r="DW81" s="440">
        <v>50968079.880500004</v>
      </c>
      <c r="DX81" s="457">
        <f t="shared" si="39"/>
        <v>-10580702.407771945</v>
      </c>
      <c r="DY81" s="459">
        <f t="shared" si="40"/>
        <v>-289.93786226870753</v>
      </c>
      <c r="DZ81" s="440"/>
      <c r="EA81" s="457">
        <f t="shared" si="41"/>
        <v>5050892.0237274766</v>
      </c>
      <c r="EB81" s="459">
        <f t="shared" si="42"/>
        <v>138.40714722624824</v>
      </c>
      <c r="ED81" s="457">
        <v>-4898872.5916404128</v>
      </c>
      <c r="EE81" s="458">
        <v>-4398763.5751880091</v>
      </c>
      <c r="EF81" s="458">
        <v>-3891097.2864799304</v>
      </c>
      <c r="EG81" s="458">
        <v>-3387137.6780151878</v>
      </c>
      <c r="EH81" s="459">
        <v>-2875367.1138437917</v>
      </c>
    </row>
    <row r="82" spans="1:138" x14ac:dyDescent="0.2">
      <c r="A82" s="67">
        <v>208</v>
      </c>
      <c r="B82" s="67" t="s">
        <v>204</v>
      </c>
      <c r="C82" s="67">
        <v>17</v>
      </c>
      <c r="D82" s="67">
        <v>12335</v>
      </c>
      <c r="E82" s="82">
        <v>35299329.390066288</v>
      </c>
      <c r="F82" s="67">
        <v>15833929.366865991</v>
      </c>
      <c r="G82" s="67">
        <v>5652313</v>
      </c>
      <c r="H82" s="67">
        <v>2119987.6377643696</v>
      </c>
      <c r="I82" s="67">
        <v>11950909.223793246</v>
      </c>
      <c r="J82" s="67">
        <v>2298671.9878009958</v>
      </c>
      <c r="K82" s="67">
        <v>776128.14716651081</v>
      </c>
      <c r="L82" s="67">
        <v>-158424</v>
      </c>
      <c r="M82" s="68">
        <v>1151875.6200000001</v>
      </c>
      <c r="N82" s="68">
        <v>103268.24268278155</v>
      </c>
      <c r="O82" s="68">
        <v>-358990.02472662699</v>
      </c>
      <c r="P82" s="168">
        <f t="shared" si="8"/>
        <v>4070339.8112809756</v>
      </c>
      <c r="Q82" s="169">
        <f t="shared" si="9"/>
        <v>329.98295997413663</v>
      </c>
      <c r="R82" s="67"/>
      <c r="S82" s="82">
        <v>83755659.190000013</v>
      </c>
      <c r="T82" s="67">
        <v>38000371.468577459</v>
      </c>
      <c r="U82" s="67">
        <v>3186240.2379301502</v>
      </c>
      <c r="V82" s="67">
        <v>32441574.27295199</v>
      </c>
      <c r="W82" s="67">
        <v>7666381.7106660279</v>
      </c>
      <c r="X82" s="67">
        <v>6645764.6200000001</v>
      </c>
      <c r="Y82" s="168">
        <f t="shared" si="10"/>
        <v>4184673.1201256067</v>
      </c>
      <c r="Z82" s="169">
        <f t="shared" si="11"/>
        <v>339.25197568914524</v>
      </c>
      <c r="AA82" s="67"/>
      <c r="AB82" s="77">
        <f t="shared" si="12"/>
        <v>-114333.30884463107</v>
      </c>
      <c r="AC82" s="123">
        <f t="shared" si="13"/>
        <v>-9.2690157150085994</v>
      </c>
      <c r="AE82" s="170"/>
      <c r="AF82" s="177">
        <v>14162.146590638675</v>
      </c>
      <c r="AG82" s="177">
        <v>-17979.490914772574</v>
      </c>
      <c r="AH82" s="177">
        <v>-36765.672615407988</v>
      </c>
      <c r="AI82" s="178">
        <v>-58073.967905112375</v>
      </c>
      <c r="AK82" s="67">
        <f t="shared" si="14"/>
        <v>22166442.101711467</v>
      </c>
      <c r="AL82" s="67">
        <f t="shared" si="15"/>
        <v>1066252.6001657806</v>
      </c>
      <c r="AM82" s="67">
        <f t="shared" si="16"/>
        <v>20490665.049158745</v>
      </c>
      <c r="AN82" s="67">
        <f t="shared" si="17"/>
        <v>48456329.799933724</v>
      </c>
      <c r="AO82" s="67">
        <f t="shared" si="18"/>
        <v>0</v>
      </c>
      <c r="AP82" s="67">
        <f t="shared" si="19"/>
        <v>14162.146590638675</v>
      </c>
      <c r="AQ82" s="67">
        <f t="shared" si="20"/>
        <v>-17979.490914772574</v>
      </c>
      <c r="AR82" s="67">
        <f t="shared" si="21"/>
        <v>-36765.672615407988</v>
      </c>
      <c r="AS82" s="67">
        <f t="shared" si="22"/>
        <v>-58073.967905112375</v>
      </c>
      <c r="AT82" s="68">
        <v>5443</v>
      </c>
      <c r="AU82" s="68"/>
      <c r="AV82" s="68"/>
      <c r="AW82" s="68">
        <v>56</v>
      </c>
      <c r="AX82" s="68">
        <v>15723.973140369202</v>
      </c>
      <c r="AY82" s="68">
        <v>-5169.7773647226049</v>
      </c>
      <c r="AZ82" s="68">
        <v>5382.3174327593197</v>
      </c>
      <c r="BA82" s="299"/>
      <c r="BB82" s="67"/>
      <c r="BC82" s="67"/>
      <c r="BD82" s="67"/>
      <c r="BE82" s="67"/>
      <c r="BF82" s="67"/>
      <c r="BG82" s="67"/>
      <c r="BH82" s="67"/>
      <c r="BN82" s="299"/>
      <c r="BO82" s="67">
        <v>34928372.829094887</v>
      </c>
      <c r="BP82" s="67">
        <v>44597210.019999996</v>
      </c>
      <c r="BQ82" s="67">
        <v>45892000</v>
      </c>
      <c r="BR82" s="67">
        <v>1461022.52</v>
      </c>
      <c r="BS82" s="67">
        <v>1776000</v>
      </c>
      <c r="BT82" s="428">
        <v>0.5833217214742471</v>
      </c>
      <c r="BU82" s="428">
        <v>0.33464287704132478</v>
      </c>
      <c r="BV82" s="67">
        <f t="shared" si="23"/>
        <v>26634502.919190288</v>
      </c>
      <c r="BW82" s="299"/>
      <c r="BX82" s="67">
        <v>81280917.420000002</v>
      </c>
      <c r="BY82" s="67">
        <v>34928372.829094887</v>
      </c>
      <c r="BZ82" s="67">
        <v>46334556.881780356</v>
      </c>
      <c r="CA82" s="67">
        <v>23499659.626934052</v>
      </c>
      <c r="CB82" s="67">
        <f t="shared" si="24"/>
        <v>1589880.4868080597</v>
      </c>
      <c r="CC82" s="67">
        <f t="shared" si="25"/>
        <v>339.25197568914587</v>
      </c>
      <c r="CD82" s="67">
        <f t="shared" si="26"/>
        <v>425.05733081874001</v>
      </c>
      <c r="CE82" s="67">
        <f t="shared" si="27"/>
        <v>85.805355129594147</v>
      </c>
      <c r="CF82" s="67">
        <f t="shared" si="28"/>
        <v>-70.805355129594147</v>
      </c>
      <c r="CG82" s="67">
        <f t="shared" si="29"/>
        <v>-55.805355129594147</v>
      </c>
      <c r="CH82" s="67">
        <f t="shared" si="30"/>
        <v>-40.805355129594147</v>
      </c>
      <c r="CI82" s="67">
        <f t="shared" si="31"/>
        <v>-25.805355129594147</v>
      </c>
      <c r="CJ82" s="67">
        <f t="shared" si="32"/>
        <v>-873384.05552354385</v>
      </c>
      <c r="CK82" s="67">
        <f t="shared" si="33"/>
        <v>-688359.05552354385</v>
      </c>
      <c r="CL82" s="67">
        <f t="shared" si="34"/>
        <v>-503334.05552354379</v>
      </c>
      <c r="CM82" s="67">
        <f t="shared" si="35"/>
        <v>-318309.05552354379</v>
      </c>
      <c r="CN82" s="299"/>
      <c r="CO82" s="430">
        <v>38000.371468577461</v>
      </c>
      <c r="CP82" s="430">
        <v>3186.2402379301502</v>
      </c>
      <c r="CQ82" s="430">
        <v>5652.3130000000001</v>
      </c>
      <c r="CR82" s="430">
        <v>32441574.27295199</v>
      </c>
      <c r="CS82" s="430">
        <v>11950909.223793246</v>
      </c>
      <c r="CT82" s="430">
        <v>7666381.7106660279</v>
      </c>
      <c r="CU82" s="430">
        <v>2298671.9878009958</v>
      </c>
      <c r="CV82" s="430">
        <v>-158424</v>
      </c>
      <c r="CW82" s="430">
        <v>103268.24268278155</v>
      </c>
      <c r="CX82" s="430">
        <v>1151875.6200000001</v>
      </c>
      <c r="CY82" s="430">
        <v>35299329.390066288</v>
      </c>
      <c r="CZ82" s="519"/>
      <c r="DA82" s="524">
        <v>38746.243409999995</v>
      </c>
      <c r="DB82" s="524">
        <v>3161.3257638053383</v>
      </c>
      <c r="DC82" s="520">
        <f t="shared" si="36"/>
        <v>-1</v>
      </c>
      <c r="DD82" s="440">
        <v>12412</v>
      </c>
      <c r="DE82" s="450">
        <v>34928372.829094887</v>
      </c>
      <c r="DF82" s="440">
        <v>15998765.148134053</v>
      </c>
      <c r="DG82" s="440">
        <v>5593529.2200000007</v>
      </c>
      <c r="DH82" s="440">
        <v>1907365.2588000002</v>
      </c>
      <c r="DI82" s="440">
        <v>11931365.832743736</v>
      </c>
      <c r="DJ82" s="440">
        <v>2304927.6043066578</v>
      </c>
      <c r="DK82" s="440">
        <v>1591114.3300373671</v>
      </c>
      <c r="DL82" s="440">
        <v>-485989</v>
      </c>
      <c r="DM82" s="440">
        <v>133000</v>
      </c>
      <c r="DN82" s="440">
        <v>101220.99272058572</v>
      </c>
      <c r="DO82" s="457">
        <f t="shared" si="37"/>
        <v>4146926.5576475114</v>
      </c>
      <c r="DP82" s="459">
        <f t="shared" si="38"/>
        <v>334.10623248852011</v>
      </c>
      <c r="DQ82" s="440"/>
      <c r="DR82" s="450">
        <v>81280917.420000002</v>
      </c>
      <c r="DS82" s="440">
        <v>37879979.773580357</v>
      </c>
      <c r="DT82" s="440">
        <v>2861047.8881999999</v>
      </c>
      <c r="DU82" s="440">
        <v>32422071.512951985</v>
      </c>
      <c r="DV82" s="440">
        <v>7687245.0370659772</v>
      </c>
      <c r="DW82" s="440">
        <v>5240540.2200000007</v>
      </c>
      <c r="DX82" s="457">
        <f t="shared" si="39"/>
        <v>4809967.0117983222</v>
      </c>
      <c r="DY82" s="459">
        <f t="shared" si="40"/>
        <v>387.52554075075108</v>
      </c>
      <c r="DZ82" s="440"/>
      <c r="EA82" s="457">
        <f t="shared" si="41"/>
        <v>-663040.45415081084</v>
      </c>
      <c r="EB82" s="459">
        <f t="shared" si="42"/>
        <v>-53.41930826223097</v>
      </c>
      <c r="ED82" s="457">
        <v>714745.30689145636</v>
      </c>
      <c r="EE82" s="458">
        <v>512482.39707881346</v>
      </c>
      <c r="EF82" s="458">
        <v>312789.8668797253</v>
      </c>
      <c r="EG82" s="458">
        <v>111836.62051095287</v>
      </c>
      <c r="EH82" s="459">
        <v>-4780.4175738830236</v>
      </c>
    </row>
    <row r="83" spans="1:138" x14ac:dyDescent="0.2">
      <c r="A83" s="67">
        <v>211</v>
      </c>
      <c r="B83" s="67" t="s">
        <v>205</v>
      </c>
      <c r="C83" s="67">
        <v>6</v>
      </c>
      <c r="D83" s="67">
        <v>32959</v>
      </c>
      <c r="E83" s="82">
        <v>93277710.935883597</v>
      </c>
      <c r="F83" s="67">
        <v>55492417.444351286</v>
      </c>
      <c r="G83" s="67">
        <v>8136128</v>
      </c>
      <c r="H83" s="67">
        <v>4731935.9375967328</v>
      </c>
      <c r="I83" s="67">
        <v>20732129.584883284</v>
      </c>
      <c r="J83" s="67">
        <v>4268104.1885224301</v>
      </c>
      <c r="K83" s="67">
        <v>2011892.8264011983</v>
      </c>
      <c r="L83" s="67">
        <v>-4078668</v>
      </c>
      <c r="M83" s="68">
        <v>-367815.94</v>
      </c>
      <c r="N83" s="68">
        <v>374283.07367107295</v>
      </c>
      <c r="O83" s="68">
        <v>-959217.85366557748</v>
      </c>
      <c r="P83" s="168">
        <f t="shared" si="8"/>
        <v>-2936521.6741231699</v>
      </c>
      <c r="Q83" s="169">
        <f t="shared" si="9"/>
        <v>-89.096200555938282</v>
      </c>
      <c r="R83" s="67"/>
      <c r="S83" s="82">
        <v>204100000</v>
      </c>
      <c r="T83" s="67">
        <v>137316530.59953061</v>
      </c>
      <c r="U83" s="67">
        <v>7111873.8709146269</v>
      </c>
      <c r="V83" s="67">
        <v>39825797.785856925</v>
      </c>
      <c r="W83" s="67">
        <v>14234704.239558602</v>
      </c>
      <c r="X83" s="67">
        <v>3689644.06</v>
      </c>
      <c r="Y83" s="168">
        <f t="shared" si="10"/>
        <v>-1921449.4441392422</v>
      </c>
      <c r="Z83" s="169">
        <f t="shared" si="11"/>
        <v>-58.298171793417339</v>
      </c>
      <c r="AA83" s="67"/>
      <c r="AB83" s="77">
        <f t="shared" si="12"/>
        <v>-1015072.2299839277</v>
      </c>
      <c r="AC83" s="123">
        <f t="shared" si="13"/>
        <v>-30.798028762520939</v>
      </c>
      <c r="AE83" s="170"/>
      <c r="AF83" s="177">
        <v>558528.34789888677</v>
      </c>
      <c r="AG83" s="177">
        <v>-21738.794828381149</v>
      </c>
      <c r="AH83" s="177">
        <v>-98237.519556646279</v>
      </c>
      <c r="AI83" s="178">
        <v>-155173.07727479521</v>
      </c>
      <c r="AK83" s="67">
        <f t="shared" si="14"/>
        <v>81824113.155179322</v>
      </c>
      <c r="AL83" s="67">
        <f t="shared" si="15"/>
        <v>2379937.9333178941</v>
      </c>
      <c r="AM83" s="67">
        <f t="shared" si="16"/>
        <v>19093668.200973641</v>
      </c>
      <c r="AN83" s="67">
        <f t="shared" si="17"/>
        <v>110822289.0641164</v>
      </c>
      <c r="AO83" s="67">
        <f t="shared" si="18"/>
        <v>0</v>
      </c>
      <c r="AP83" s="67">
        <f t="shared" si="19"/>
        <v>558528.34789888677</v>
      </c>
      <c r="AQ83" s="67">
        <f t="shared" si="20"/>
        <v>-21738.794828381149</v>
      </c>
      <c r="AR83" s="67">
        <f t="shared" si="21"/>
        <v>-98237.519556646279</v>
      </c>
      <c r="AS83" s="67">
        <f t="shared" si="22"/>
        <v>-155173.07727479521</v>
      </c>
      <c r="AT83" s="68">
        <v>14551</v>
      </c>
      <c r="AU83" s="68"/>
      <c r="AV83" s="68"/>
      <c r="AW83" s="68">
        <v>122</v>
      </c>
      <c r="AX83" s="68">
        <v>21156.523424751747</v>
      </c>
      <c r="AY83" s="68">
        <v>1736.6655694945143</v>
      </c>
      <c r="AZ83" s="68">
        <v>10004.780696493015</v>
      </c>
      <c r="BA83" s="299"/>
      <c r="BB83" s="67"/>
      <c r="BC83" s="67"/>
      <c r="BD83" s="67"/>
      <c r="BE83" s="67"/>
      <c r="BF83" s="67"/>
      <c r="BG83" s="67"/>
      <c r="BH83" s="67"/>
      <c r="BN83" s="299"/>
      <c r="BO83" s="67">
        <v>92314905.802355066</v>
      </c>
      <c r="BP83" s="67">
        <v>102878824.84999999</v>
      </c>
      <c r="BQ83" s="67">
        <v>106545000</v>
      </c>
      <c r="BR83" s="67">
        <v>2400794.21</v>
      </c>
      <c r="BS83" s="67">
        <v>2539000</v>
      </c>
      <c r="BT83" s="428">
        <v>0.59587955505379642</v>
      </c>
      <c r="BU83" s="428">
        <v>0.33464287704132478</v>
      </c>
      <c r="BV83" s="67">
        <f t="shared" si="23"/>
        <v>31072161.078411005</v>
      </c>
      <c r="BW83" s="299"/>
      <c r="BX83" s="67">
        <v>200562827.74000001</v>
      </c>
      <c r="BY83" s="67">
        <v>92314905.802355066</v>
      </c>
      <c r="BZ83" s="67">
        <v>147048971.74359176</v>
      </c>
      <c r="CA83" s="67">
        <v>66713975.296456538</v>
      </c>
      <c r="CB83" s="67">
        <f t="shared" si="24"/>
        <v>673878.42240564513</v>
      </c>
      <c r="CC83" s="67">
        <f t="shared" si="25"/>
        <v>-58.298171793417353</v>
      </c>
      <c r="CD83" s="67">
        <f t="shared" si="26"/>
        <v>-100.58916303447154</v>
      </c>
      <c r="CE83" s="67">
        <f t="shared" si="27"/>
        <v>-42.290991241054186</v>
      </c>
      <c r="CF83" s="67">
        <f t="shared" si="28"/>
        <v>27.290991241054186</v>
      </c>
      <c r="CG83" s="67">
        <f t="shared" si="29"/>
        <v>12.290991241054186</v>
      </c>
      <c r="CH83" s="67">
        <f t="shared" si="30"/>
        <v>0</v>
      </c>
      <c r="CI83" s="67">
        <f t="shared" si="31"/>
        <v>0</v>
      </c>
      <c r="CJ83" s="67">
        <f t="shared" si="32"/>
        <v>899483.78031390498</v>
      </c>
      <c r="CK83" s="67">
        <f t="shared" si="33"/>
        <v>405098.78031390492</v>
      </c>
      <c r="CL83" s="67">
        <f t="shared" si="34"/>
        <v>0</v>
      </c>
      <c r="CM83" s="67">
        <f t="shared" si="35"/>
        <v>0</v>
      </c>
      <c r="CN83" s="299"/>
      <c r="CO83" s="430">
        <v>137316.53059953061</v>
      </c>
      <c r="CP83" s="430">
        <v>7111.8738709146264</v>
      </c>
      <c r="CQ83" s="430">
        <v>8136.1279999999997</v>
      </c>
      <c r="CR83" s="430">
        <v>39825797.785856925</v>
      </c>
      <c r="CS83" s="430">
        <v>20732129.584883284</v>
      </c>
      <c r="CT83" s="430">
        <v>14234704.239558602</v>
      </c>
      <c r="CU83" s="430">
        <v>4268104.1885224301</v>
      </c>
      <c r="CV83" s="430">
        <v>-4078668</v>
      </c>
      <c r="CW83" s="430">
        <v>374283.07367107295</v>
      </c>
      <c r="CX83" s="430">
        <v>-367815.94</v>
      </c>
      <c r="CY83" s="430">
        <v>93277710.935883597</v>
      </c>
      <c r="CZ83" s="519"/>
      <c r="DA83" s="524">
        <v>137662.85123</v>
      </c>
      <c r="DB83" s="524">
        <v>7179.0426999343781</v>
      </c>
      <c r="DC83" s="520">
        <f t="shared" si="36"/>
        <v>-1</v>
      </c>
      <c r="DD83" s="440">
        <v>32622</v>
      </c>
      <c r="DE83" s="450">
        <v>92314905.802355066</v>
      </c>
      <c r="DF83" s="440">
        <v>54319657.717356533</v>
      </c>
      <c r="DG83" s="440">
        <v>8136967.1807000004</v>
      </c>
      <c r="DH83" s="440">
        <v>4257350.3984000003</v>
      </c>
      <c r="DI83" s="440">
        <v>20681318.563118432</v>
      </c>
      <c r="DJ83" s="440">
        <v>4284454.6964148413</v>
      </c>
      <c r="DK83" s="440">
        <v>684931.9172317225</v>
      </c>
      <c r="DL83" s="440">
        <v>-4056909</v>
      </c>
      <c r="DM83" s="440">
        <v>436100</v>
      </c>
      <c r="DN83" s="440">
        <v>356103.55500320764</v>
      </c>
      <c r="DO83" s="457">
        <f t="shared" si="37"/>
        <v>-3214930.7741303295</v>
      </c>
      <c r="DP83" s="459">
        <f t="shared" si="38"/>
        <v>-98.551001598011453</v>
      </c>
      <c r="DQ83" s="440"/>
      <c r="DR83" s="450">
        <v>200562827.74000001</v>
      </c>
      <c r="DS83" s="440">
        <v>132525978.96529175</v>
      </c>
      <c r="DT83" s="440">
        <v>6386025.5976</v>
      </c>
      <c r="DU83" s="440">
        <v>39775077.695856892</v>
      </c>
      <c r="DV83" s="440">
        <v>14289235.392907856</v>
      </c>
      <c r="DW83" s="440">
        <v>4516158.1807000004</v>
      </c>
      <c r="DX83" s="457">
        <f t="shared" si="39"/>
        <v>-3070351.907643497</v>
      </c>
      <c r="DY83" s="459">
        <f t="shared" si="40"/>
        <v>-94.119057925433665</v>
      </c>
      <c r="DZ83" s="440"/>
      <c r="EA83" s="457">
        <f t="shared" si="41"/>
        <v>-144578.8664868325</v>
      </c>
      <c r="EB83" s="459">
        <f t="shared" si="42"/>
        <v>-4.431943672577785</v>
      </c>
      <c r="ED83" s="457">
        <v>280472.8163825291</v>
      </c>
      <c r="EE83" s="458">
        <v>93623.83356409386</v>
      </c>
      <c r="EF83" s="458">
        <v>58109.350793013153</v>
      </c>
      <c r="EG83" s="458">
        <v>19281.37439580926</v>
      </c>
      <c r="EH83" s="459">
        <v>-12564.194496874959</v>
      </c>
    </row>
    <row r="84" spans="1:138" x14ac:dyDescent="0.2">
      <c r="A84" s="67">
        <v>213</v>
      </c>
      <c r="B84" s="67" t="s">
        <v>206</v>
      </c>
      <c r="C84" s="67">
        <v>10</v>
      </c>
      <c r="D84" s="67">
        <v>5154</v>
      </c>
      <c r="E84" s="82">
        <v>12156709.881431166</v>
      </c>
      <c r="F84" s="67">
        <v>6552344.6562245898</v>
      </c>
      <c r="G84" s="67">
        <v>2044289</v>
      </c>
      <c r="H84" s="67">
        <v>2346864.8039277066</v>
      </c>
      <c r="I84" s="67">
        <v>1568512.3298243994</v>
      </c>
      <c r="J84" s="67">
        <v>1114940.3020339026</v>
      </c>
      <c r="K84" s="67">
        <v>-726487.10703185515</v>
      </c>
      <c r="L84" s="67">
        <v>-396328</v>
      </c>
      <c r="M84" s="68">
        <v>251972.01</v>
      </c>
      <c r="N84" s="68">
        <v>43933.369845271096</v>
      </c>
      <c r="O84" s="68">
        <v>-149998.75050190801</v>
      </c>
      <c r="P84" s="168">
        <f t="shared" ref="P84:P147" si="43">N84+M84+L84+K84+J84+I84+H84+G84+F84-E84+O84</f>
        <v>493332.73289093969</v>
      </c>
      <c r="Q84" s="169">
        <f t="shared" ref="Q84:Q147" si="44">P84/D84</f>
        <v>95.718419264831141</v>
      </c>
      <c r="R84" s="67"/>
      <c r="S84" s="82">
        <v>40810965.809999995</v>
      </c>
      <c r="T84" s="67">
        <v>15255860.283930335</v>
      </c>
      <c r="U84" s="67">
        <v>3527225.7904022899</v>
      </c>
      <c r="V84" s="67">
        <v>16551772.417326974</v>
      </c>
      <c r="W84" s="67">
        <v>3718476.5748914499</v>
      </c>
      <c r="X84" s="67">
        <v>1899933.01</v>
      </c>
      <c r="Y84" s="168">
        <f t="shared" ref="Y84:Y147" si="45">X84+W84+V84+U84+T84-S84</f>
        <v>142302.26655105501</v>
      </c>
      <c r="Z84" s="169">
        <f t="shared" ref="Z84:Z147" si="46">Y84/D84</f>
        <v>27.61006335876116</v>
      </c>
      <c r="AA84" s="67"/>
      <c r="AB84" s="77">
        <f t="shared" ref="AB84:AB147" si="47">P84-Y84</f>
        <v>351030.46633988468</v>
      </c>
      <c r="AC84" s="123">
        <f t="shared" ref="AC84:AC147" si="48">AB84/D84</f>
        <v>68.108355906069974</v>
      </c>
      <c r="AE84" s="170"/>
      <c r="AF84" s="177">
        <v>-267803.01976282231</v>
      </c>
      <c r="AG84" s="177">
        <v>-203922.93461510356</v>
      </c>
      <c r="AH84" s="177">
        <v>-134462.4668798036</v>
      </c>
      <c r="AI84" s="178">
        <v>-66055.827554561314</v>
      </c>
      <c r="AK84" s="67">
        <f t="shared" ref="AK84:AK147" si="49">T84-F84</f>
        <v>8703515.6277057454</v>
      </c>
      <c r="AL84" s="67">
        <f t="shared" ref="AL84:AL147" si="50">U84-H84</f>
        <v>1180360.9864745834</v>
      </c>
      <c r="AM84" s="67">
        <f t="shared" ref="AM84:AM147" si="51">V84-I84</f>
        <v>14983260.087502575</v>
      </c>
      <c r="AN84" s="67">
        <f t="shared" ref="AN84:AN147" si="52">S84-E84</f>
        <v>28654255.928568829</v>
      </c>
      <c r="AO84" s="67">
        <f t="shared" ref="AO84:AO147" si="53">AE84</f>
        <v>0</v>
      </c>
      <c r="AP84" s="67">
        <f t="shared" ref="AP84:AP147" si="54">AF84</f>
        <v>-267803.01976282231</v>
      </c>
      <c r="AQ84" s="67">
        <f t="shared" ref="AQ84:AQ147" si="55">AG84</f>
        <v>-203922.93461510356</v>
      </c>
      <c r="AR84" s="67">
        <f t="shared" ref="AR84:AR147" si="56">AH84</f>
        <v>-134462.4668798036</v>
      </c>
      <c r="AS84" s="67">
        <f t="shared" ref="AS84:AS147" si="57">AI84</f>
        <v>-66055.827554561314</v>
      </c>
      <c r="AT84" s="68">
        <v>1173</v>
      </c>
      <c r="AU84" s="68"/>
      <c r="AV84" s="68"/>
      <c r="AW84" s="68">
        <v>0</v>
      </c>
      <c r="AX84" s="68">
        <v>12771.754259674768</v>
      </c>
      <c r="AY84" s="68">
        <v>-2078.2115561464625</v>
      </c>
      <c r="AZ84" s="68">
        <v>2604.2611862646959</v>
      </c>
      <c r="BA84" s="299"/>
      <c r="BB84" s="67"/>
      <c r="BC84" s="67"/>
      <c r="BD84" s="67"/>
      <c r="BE84" s="67"/>
      <c r="BF84" s="67"/>
      <c r="BG84" s="67"/>
      <c r="BH84" s="67"/>
      <c r="BN84" s="299"/>
      <c r="BO84" s="67">
        <v>12842103.410628498</v>
      </c>
      <c r="BP84" s="67">
        <v>26901952.239999998</v>
      </c>
      <c r="BQ84" s="67">
        <v>27547000</v>
      </c>
      <c r="BR84" s="67">
        <v>452791.08</v>
      </c>
      <c r="BS84" s="67">
        <v>525000</v>
      </c>
      <c r="BT84" s="428">
        <v>0.57050310278952532</v>
      </c>
      <c r="BU84" s="428">
        <v>0.33464287704132484</v>
      </c>
      <c r="BV84" s="67">
        <f t="shared" ref="BV84:BV147" si="58">(V84+W84)-(I84+J84)+K84</f>
        <v>16860309.253328267</v>
      </c>
      <c r="BW84" s="299"/>
      <c r="BX84" s="67">
        <v>40431747</v>
      </c>
      <c r="BY84" s="67">
        <v>12842103.410628498</v>
      </c>
      <c r="BZ84" s="67">
        <v>20925044.925442923</v>
      </c>
      <c r="CA84" s="67">
        <v>10969326.026521631</v>
      </c>
      <c r="CB84" s="67">
        <f t="shared" ref="CB84:CB147" si="59">((BY84-BX84)-N84+(BZ84-CA84)+AX84*1000+AZ84*1000-AY84*1000-$BY$8)*0.6+(D84*-0.260310389757568)</f>
        <v>-135520.2746745428</v>
      </c>
      <c r="CC84" s="67">
        <f t="shared" ref="CC84:CC147" si="60">(-S84+T84+U84+V84+W84+X84)/D84</f>
        <v>27.610063358760843</v>
      </c>
      <c r="CD84" s="67">
        <f t="shared" ref="CD84:CD147" si="61">(-E84+F84+G84+H84+I84+J84+L84+CB84+M84+N84)/D84</f>
        <v>239.48356921811421</v>
      </c>
      <c r="CE84" s="67">
        <f t="shared" ref="CE84:CE147" si="62">CD84-CC84</f>
        <v>211.87350585935337</v>
      </c>
      <c r="CF84" s="67">
        <f t="shared" ref="CF84:CF147" si="63">(IF(CE84&lt;-15,-CE84-15,IF(CE84&gt;15,15-CE84,0)))-$BJ$24</f>
        <v>-196.87350585935337</v>
      </c>
      <c r="CG84" s="67">
        <f t="shared" ref="CG84:CG147" si="64">(IF(CE84&lt;-30,-CE84-30,IF(CE84&gt;30,30-CE84,0)))-$BK$24</f>
        <v>-181.87350585935337</v>
      </c>
      <c r="CH84" s="67">
        <f t="shared" ref="CH84:CH147" si="65">(IF(CE84&lt;-45,-CE84-45,IF(CE84&gt;45,45-CE84,0)))-$BL$24</f>
        <v>-166.87350585935337</v>
      </c>
      <c r="CI84" s="67">
        <f t="shared" ref="CI84:CI147" si="66">(IF(CE84&lt;-60,-CE84-60,IF(CE84&gt;60,60-CE84,0)))-$BM$24</f>
        <v>-151.87350585935337</v>
      </c>
      <c r="CJ84" s="67">
        <f t="shared" ref="CJ84:CJ147" si="67">CF84*$D84</f>
        <v>-1014686.0491991073</v>
      </c>
      <c r="CK84" s="67">
        <f t="shared" ref="CK84:CK147" si="68">CG84*$D84</f>
        <v>-937376.04919910734</v>
      </c>
      <c r="CL84" s="67">
        <f t="shared" ref="CL84:CL147" si="69">CH84*$D84</f>
        <v>-860066.04919910734</v>
      </c>
      <c r="CM84" s="67">
        <f t="shared" ref="CM84:CM147" si="70">CI84*$D84</f>
        <v>-782756.04919910734</v>
      </c>
      <c r="CN84" s="299"/>
      <c r="CO84" s="430">
        <v>15255.860283930335</v>
      </c>
      <c r="CP84" s="430">
        <v>3527.2257904022899</v>
      </c>
      <c r="CQ84" s="430">
        <v>2044.289</v>
      </c>
      <c r="CR84" s="430">
        <v>16551772.417326974</v>
      </c>
      <c r="CS84" s="430">
        <v>1568512.3298243994</v>
      </c>
      <c r="CT84" s="430">
        <v>3718476.5748914499</v>
      </c>
      <c r="CU84" s="430">
        <v>1114940.3020339026</v>
      </c>
      <c r="CV84" s="430">
        <v>-396328</v>
      </c>
      <c r="CW84" s="430">
        <v>43933.369845271096</v>
      </c>
      <c r="CX84" s="430">
        <v>251972.01</v>
      </c>
      <c r="CY84" s="430">
        <v>12156709.881431166</v>
      </c>
      <c r="CZ84" s="519"/>
      <c r="DA84" s="524">
        <v>15854.389130000001</v>
      </c>
      <c r="DB84" s="524">
        <v>3499.6400173442366</v>
      </c>
      <c r="DC84" s="520">
        <f t="shared" ref="DC84:DC147" si="71">(CZ84/DB84)-1</f>
        <v>-1</v>
      </c>
      <c r="DD84" s="440">
        <v>5230</v>
      </c>
      <c r="DE84" s="450">
        <v>12842103.410628498</v>
      </c>
      <c r="DF84" s="440">
        <v>6821621.3983216304</v>
      </c>
      <c r="DG84" s="440">
        <v>2036216.6579999998</v>
      </c>
      <c r="DH84" s="440">
        <v>2111487.9701999999</v>
      </c>
      <c r="DI84" s="440">
        <v>1560184.7463055786</v>
      </c>
      <c r="DJ84" s="440">
        <v>1115250.7394883558</v>
      </c>
      <c r="DK84" s="440">
        <v>-135640.18013436309</v>
      </c>
      <c r="DL84" s="440">
        <v>-475025</v>
      </c>
      <c r="DM84" s="440">
        <v>176000</v>
      </c>
      <c r="DN84" s="440">
        <v>44131.039388935176</v>
      </c>
      <c r="DO84" s="457">
        <f t="shared" ref="DO84:DO147" si="72">DN84+DM84+DL84+DK84+DJ84+DI84+DH84+DG84+DF84-DE84</f>
        <v>412123.9609416388</v>
      </c>
      <c r="DP84" s="459">
        <f t="shared" ref="DP84:DP147" si="73">DO84/DD84</f>
        <v>78.799992531862102</v>
      </c>
      <c r="DQ84" s="440"/>
      <c r="DR84" s="450">
        <v>40431747</v>
      </c>
      <c r="DS84" s="440">
        <v>15721596.312142922</v>
      </c>
      <c r="DT84" s="440">
        <v>3167231.9553</v>
      </c>
      <c r="DU84" s="440">
        <v>16543475.147326972</v>
      </c>
      <c r="DV84" s="440">
        <v>3719511.9257530514</v>
      </c>
      <c r="DW84" s="440">
        <v>1737191.6579999998</v>
      </c>
      <c r="DX84" s="457">
        <f t="shared" ref="DX84:DX147" si="74">DW84+DV84+DU84+DT84+DS84-DR84</f>
        <v>457259.99852294475</v>
      </c>
      <c r="DY84" s="459">
        <f t="shared" ref="DY84:DY147" si="75">DX84/DD84</f>
        <v>87.430210042628062</v>
      </c>
      <c r="DZ84" s="440"/>
      <c r="EA84" s="457">
        <f t="shared" ref="EA84:EA147" si="76">DO84-DX84</f>
        <v>-45136.037581305951</v>
      </c>
      <c r="EB84" s="459">
        <f t="shared" ref="EB84:EB147" si="77">EA84/DD84</f>
        <v>-8.6302175107659558</v>
      </c>
      <c r="ED84" s="457">
        <v>66922.726256264883</v>
      </c>
      <c r="EE84" s="458">
        <v>15009.890550555176</v>
      </c>
      <c r="EF84" s="458">
        <v>9316.1640809103919</v>
      </c>
      <c r="EG84" s="458">
        <v>3091.2141527215508</v>
      </c>
      <c r="EH84" s="459">
        <v>-2014.3074372710453</v>
      </c>
    </row>
    <row r="85" spans="1:138" x14ac:dyDescent="0.2">
      <c r="A85" s="67">
        <v>214</v>
      </c>
      <c r="B85" s="67" t="s">
        <v>207</v>
      </c>
      <c r="C85" s="67">
        <v>4</v>
      </c>
      <c r="D85" s="67">
        <v>12528</v>
      </c>
      <c r="E85" s="82">
        <v>33959796.087065756</v>
      </c>
      <c r="F85" s="67">
        <v>17651311.730634123</v>
      </c>
      <c r="G85" s="67">
        <v>4340834</v>
      </c>
      <c r="H85" s="67">
        <v>3198225.9461974585</v>
      </c>
      <c r="I85" s="67">
        <v>7454117.2107308023</v>
      </c>
      <c r="J85" s="67">
        <v>2584462.6544200601</v>
      </c>
      <c r="K85" s="67">
        <v>-875205.2200238026</v>
      </c>
      <c r="L85" s="67">
        <v>-648733</v>
      </c>
      <c r="M85" s="68">
        <v>644434.06000000006</v>
      </c>
      <c r="N85" s="68">
        <v>107941.64154228794</v>
      </c>
      <c r="O85" s="68">
        <v>-364606.97444468446</v>
      </c>
      <c r="P85" s="168">
        <f t="shared" si="43"/>
        <v>132985.96199049347</v>
      </c>
      <c r="Q85" s="169">
        <f t="shared" si="44"/>
        <v>10.615099137172212</v>
      </c>
      <c r="R85" s="67"/>
      <c r="S85" s="82">
        <v>87719193.489999995</v>
      </c>
      <c r="T85" s="67">
        <v>40326845.794457801</v>
      </c>
      <c r="U85" s="67">
        <v>4806780.9539270503</v>
      </c>
      <c r="V85" s="67">
        <v>29798823.251341075</v>
      </c>
      <c r="W85" s="67">
        <v>8619532.2042009607</v>
      </c>
      <c r="X85" s="67">
        <v>4336535.0600000005</v>
      </c>
      <c r="Y85" s="168">
        <f t="shared" si="45"/>
        <v>169323.77392689884</v>
      </c>
      <c r="Z85" s="169">
        <f t="shared" si="46"/>
        <v>13.51562690987379</v>
      </c>
      <c r="AA85" s="67"/>
      <c r="AB85" s="77">
        <f t="shared" si="47"/>
        <v>-36337.811936405371</v>
      </c>
      <c r="AC85" s="123">
        <f t="shared" si="48"/>
        <v>-2.9005277727015781</v>
      </c>
      <c r="AE85" s="170"/>
      <c r="AF85" s="177">
        <v>14383.735102352763</v>
      </c>
      <c r="AG85" s="177">
        <v>-18260.807635206387</v>
      </c>
      <c r="AH85" s="177">
        <v>-37340.9279712875</v>
      </c>
      <c r="AI85" s="178">
        <v>-58982.624233096707</v>
      </c>
      <c r="AK85" s="67">
        <f t="shared" si="49"/>
        <v>22675534.063823678</v>
      </c>
      <c r="AL85" s="67">
        <f t="shared" si="50"/>
        <v>1608555.0077295918</v>
      </c>
      <c r="AM85" s="67">
        <f t="shared" si="51"/>
        <v>22344706.040610272</v>
      </c>
      <c r="AN85" s="67">
        <f t="shared" si="52"/>
        <v>53759397.402934238</v>
      </c>
      <c r="AO85" s="67">
        <f t="shared" si="53"/>
        <v>0</v>
      </c>
      <c r="AP85" s="67">
        <f t="shared" si="54"/>
        <v>14383.735102352763</v>
      </c>
      <c r="AQ85" s="67">
        <f t="shared" si="55"/>
        <v>-18260.807635206387</v>
      </c>
      <c r="AR85" s="67">
        <f t="shared" si="56"/>
        <v>-37340.9279712875</v>
      </c>
      <c r="AS85" s="67">
        <f t="shared" si="57"/>
        <v>-58982.624233096707</v>
      </c>
      <c r="AT85" s="68">
        <v>5311</v>
      </c>
      <c r="AU85" s="68"/>
      <c r="AV85" s="68"/>
      <c r="AW85" s="68">
        <v>0</v>
      </c>
      <c r="AX85" s="68">
        <v>16895.828120656533</v>
      </c>
      <c r="AY85" s="68">
        <v>-4829.0699613348179</v>
      </c>
      <c r="AZ85" s="68">
        <v>6048.36034502862</v>
      </c>
      <c r="BA85" s="299"/>
      <c r="BB85" s="67"/>
      <c r="BC85" s="67"/>
      <c r="BD85" s="67"/>
      <c r="BE85" s="67"/>
      <c r="BF85" s="67"/>
      <c r="BG85" s="67"/>
      <c r="BH85" s="67"/>
      <c r="BN85" s="299"/>
      <c r="BO85" s="67">
        <v>33660979.352621078</v>
      </c>
      <c r="BP85" s="67">
        <v>48130184.700000003</v>
      </c>
      <c r="BQ85" s="67">
        <v>53093000</v>
      </c>
      <c r="BR85" s="67">
        <v>1339671.5</v>
      </c>
      <c r="BS85" s="67">
        <v>1423000</v>
      </c>
      <c r="BT85" s="428">
        <v>0.56229376776450046</v>
      </c>
      <c r="BU85" s="428">
        <v>0.33464287704132478</v>
      </c>
      <c r="BV85" s="67">
        <f t="shared" si="58"/>
        <v>27504570.370367371</v>
      </c>
      <c r="BW85" s="299"/>
      <c r="BX85" s="67">
        <v>85469391.230000004</v>
      </c>
      <c r="BY85" s="67">
        <v>33660979.352621078</v>
      </c>
      <c r="BZ85" s="67">
        <v>50042352.118913554</v>
      </c>
      <c r="CA85" s="67">
        <v>25529204.691839863</v>
      </c>
      <c r="CB85" s="67">
        <f t="shared" si="59"/>
        <v>218770.23254058897</v>
      </c>
      <c r="CC85" s="67">
        <f t="shared" si="60"/>
        <v>13.515626909873045</v>
      </c>
      <c r="CD85" s="67">
        <f t="shared" si="61"/>
        <v>127.04089950507372</v>
      </c>
      <c r="CE85" s="67">
        <f t="shared" si="62"/>
        <v>113.52527259520068</v>
      </c>
      <c r="CF85" s="67">
        <f t="shared" si="63"/>
        <v>-98.525272595200676</v>
      </c>
      <c r="CG85" s="67">
        <f t="shared" si="64"/>
        <v>-83.525272595200676</v>
      </c>
      <c r="CH85" s="67">
        <f t="shared" si="65"/>
        <v>-68.525272595200676</v>
      </c>
      <c r="CI85" s="67">
        <f t="shared" si="66"/>
        <v>-53.525272595200676</v>
      </c>
      <c r="CJ85" s="67">
        <f t="shared" si="67"/>
        <v>-1234324.6150726741</v>
      </c>
      <c r="CK85" s="67">
        <f t="shared" si="68"/>
        <v>-1046404.6150726741</v>
      </c>
      <c r="CL85" s="67">
        <f t="shared" si="69"/>
        <v>-858484.61507267412</v>
      </c>
      <c r="CM85" s="67">
        <f t="shared" si="70"/>
        <v>-670564.61507267412</v>
      </c>
      <c r="CN85" s="299"/>
      <c r="CO85" s="430">
        <v>40326.845794457804</v>
      </c>
      <c r="CP85" s="430">
        <v>4806.7809539270502</v>
      </c>
      <c r="CQ85" s="430">
        <v>4340.8339999999998</v>
      </c>
      <c r="CR85" s="430">
        <v>29798823.251341075</v>
      </c>
      <c r="CS85" s="430">
        <v>7454117.2107308023</v>
      </c>
      <c r="CT85" s="430">
        <v>8619532.2042009607</v>
      </c>
      <c r="CU85" s="430">
        <v>2584462.6544200601</v>
      </c>
      <c r="CV85" s="430">
        <v>-648733</v>
      </c>
      <c r="CW85" s="430">
        <v>107941.64154228794</v>
      </c>
      <c r="CX85" s="430">
        <v>644434.06000000006</v>
      </c>
      <c r="CY85" s="430">
        <v>33959796.087065756</v>
      </c>
      <c r="CZ85" s="519"/>
      <c r="DA85" s="524">
        <v>40943.142039999999</v>
      </c>
      <c r="DB85" s="524">
        <v>4769.1926149420733</v>
      </c>
      <c r="DC85" s="520">
        <f t="shared" si="71"/>
        <v>-1</v>
      </c>
      <c r="DD85" s="440">
        <v>12662</v>
      </c>
      <c r="DE85" s="450">
        <v>33660979.352621078</v>
      </c>
      <c r="DF85" s="440">
        <v>18290124.244339865</v>
      </c>
      <c r="DG85" s="440">
        <v>4361617.8854999999</v>
      </c>
      <c r="DH85" s="440">
        <v>2877462.5619999999</v>
      </c>
      <c r="DI85" s="440">
        <v>7434085.0983424801</v>
      </c>
      <c r="DJ85" s="440">
        <v>2590154.3144219834</v>
      </c>
      <c r="DK85" s="440">
        <v>218342.51649319506</v>
      </c>
      <c r="DL85" s="440">
        <v>-568649</v>
      </c>
      <c r="DM85" s="440">
        <v>601094.24</v>
      </c>
      <c r="DN85" s="440">
        <v>108660.22691421876</v>
      </c>
      <c r="DO85" s="457">
        <f t="shared" si="72"/>
        <v>2251912.7353906631</v>
      </c>
      <c r="DP85" s="459">
        <f t="shared" si="73"/>
        <v>177.84810735986915</v>
      </c>
      <c r="DQ85" s="440"/>
      <c r="DR85" s="450">
        <v>85469391.230000004</v>
      </c>
      <c r="DS85" s="440">
        <v>41364540.390413553</v>
      </c>
      <c r="DT85" s="440">
        <v>4316193.8430000003</v>
      </c>
      <c r="DU85" s="440">
        <v>29778853.751341052</v>
      </c>
      <c r="DV85" s="440">
        <v>8638514.6594506036</v>
      </c>
      <c r="DW85" s="440">
        <v>4394063.1255000001</v>
      </c>
      <c r="DX85" s="457">
        <f t="shared" si="74"/>
        <v>3022774.539705202</v>
      </c>
      <c r="DY85" s="459">
        <f t="shared" si="75"/>
        <v>238.72804767850278</v>
      </c>
      <c r="DZ85" s="440"/>
      <c r="EA85" s="457">
        <f t="shared" si="76"/>
        <v>-770861.80431453884</v>
      </c>
      <c r="EB85" s="459">
        <f t="shared" si="77"/>
        <v>-60.879940318633615</v>
      </c>
      <c r="ED85" s="457">
        <v>823608.08576814388</v>
      </c>
      <c r="EE85" s="458">
        <v>617271.237230625</v>
      </c>
      <c r="EF85" s="458">
        <v>413556.54037428804</v>
      </c>
      <c r="EG85" s="458">
        <v>208555.73425751424</v>
      </c>
      <c r="EH85" s="459">
        <v>6265.1005342854805</v>
      </c>
    </row>
    <row r="86" spans="1:138" x14ac:dyDescent="0.2">
      <c r="A86" s="67">
        <v>216</v>
      </c>
      <c r="B86" s="67" t="s">
        <v>208</v>
      </c>
      <c r="C86" s="67">
        <v>13</v>
      </c>
      <c r="D86" s="67">
        <v>1269</v>
      </c>
      <c r="E86" s="82">
        <v>4714911.155026258</v>
      </c>
      <c r="F86" s="67">
        <v>1458220.4416373651</v>
      </c>
      <c r="G86" s="67">
        <v>542067</v>
      </c>
      <c r="H86" s="67">
        <v>536963.20355647313</v>
      </c>
      <c r="I86" s="67">
        <v>1092096.2440022908</v>
      </c>
      <c r="J86" s="67">
        <v>301949.35558753181</v>
      </c>
      <c r="K86" s="67">
        <v>51841.956201001238</v>
      </c>
      <c r="L86" s="67">
        <v>-307630</v>
      </c>
      <c r="M86" s="68">
        <v>71100.350000000006</v>
      </c>
      <c r="N86" s="68">
        <v>9612.6751300347951</v>
      </c>
      <c r="O86" s="68">
        <v>-36932.171980388295</v>
      </c>
      <c r="P86" s="168">
        <f t="shared" si="43"/>
        <v>-995622.10089194949</v>
      </c>
      <c r="Q86" s="169">
        <f t="shared" si="44"/>
        <v>-784.57218352399491</v>
      </c>
      <c r="R86" s="67"/>
      <c r="S86" s="82">
        <v>12272015.91</v>
      </c>
      <c r="T86" s="67">
        <v>3350757.8867112696</v>
      </c>
      <c r="U86" s="67">
        <v>807030.0670544164</v>
      </c>
      <c r="V86" s="67">
        <v>5753796.1962710405</v>
      </c>
      <c r="W86" s="67">
        <v>1007041.9048513905</v>
      </c>
      <c r="X86" s="67">
        <v>305537.34999999998</v>
      </c>
      <c r="Y86" s="168">
        <f t="shared" si="45"/>
        <v>-1047852.5051118843</v>
      </c>
      <c r="Z86" s="169">
        <f t="shared" si="46"/>
        <v>-825.73089449321071</v>
      </c>
      <c r="AA86" s="67"/>
      <c r="AB86" s="77">
        <f t="shared" si="47"/>
        <v>52230.404219934833</v>
      </c>
      <c r="AC86" s="123">
        <f t="shared" si="48"/>
        <v>41.15871096921579</v>
      </c>
      <c r="AE86" s="170"/>
      <c r="AF86" s="177">
        <v>-31738.431052240074</v>
      </c>
      <c r="AG86" s="177">
        <v>-16010.098096777316</v>
      </c>
      <c r="AH86" s="177">
        <v>-3782.378479850242</v>
      </c>
      <c r="AI86" s="178">
        <v>-5974.5330580938471</v>
      </c>
      <c r="AK86" s="67">
        <f t="shared" si="49"/>
        <v>1892537.4450739045</v>
      </c>
      <c r="AL86" s="67">
        <f t="shared" si="50"/>
        <v>270066.86349794327</v>
      </c>
      <c r="AM86" s="67">
        <f t="shared" si="51"/>
        <v>4661699.9522687495</v>
      </c>
      <c r="AN86" s="67">
        <f t="shared" si="52"/>
        <v>7557104.7549737422</v>
      </c>
      <c r="AO86" s="67">
        <f t="shared" si="53"/>
        <v>0</v>
      </c>
      <c r="AP86" s="67">
        <f t="shared" si="54"/>
        <v>-31738.431052240074</v>
      </c>
      <c r="AQ86" s="67">
        <f t="shared" si="55"/>
        <v>-16010.098096777316</v>
      </c>
      <c r="AR86" s="67">
        <f t="shared" si="56"/>
        <v>-3782.378479850242</v>
      </c>
      <c r="AS86" s="67">
        <f t="shared" si="57"/>
        <v>-5974.5330580938471</v>
      </c>
      <c r="AT86" s="68">
        <v>1038</v>
      </c>
      <c r="AU86" s="68"/>
      <c r="AV86" s="68"/>
      <c r="AW86" s="68">
        <v>83</v>
      </c>
      <c r="AX86" s="68">
        <v>4035.1672638333025</v>
      </c>
      <c r="AY86" s="68">
        <v>-713.32439678938306</v>
      </c>
      <c r="AZ86" s="68">
        <v>706.79529899192585</v>
      </c>
      <c r="BA86" s="299"/>
      <c r="BB86" s="67"/>
      <c r="BC86" s="67"/>
      <c r="BD86" s="67"/>
      <c r="BE86" s="67"/>
      <c r="BF86" s="67"/>
      <c r="BG86" s="67"/>
      <c r="BH86" s="67"/>
      <c r="BN86" s="299"/>
      <c r="BO86" s="67">
        <v>4058671.2008653777</v>
      </c>
      <c r="BP86" s="67">
        <v>6964310.2799999993</v>
      </c>
      <c r="BQ86" s="67">
        <v>7397000</v>
      </c>
      <c r="BR86" s="67">
        <v>127616.04</v>
      </c>
      <c r="BS86" s="67">
        <v>129000</v>
      </c>
      <c r="BT86" s="428">
        <v>0.56480877134677376</v>
      </c>
      <c r="BU86" s="428">
        <v>0.33464287704132489</v>
      </c>
      <c r="BV86" s="67">
        <f t="shared" si="58"/>
        <v>5418634.4577336097</v>
      </c>
      <c r="BW86" s="299"/>
      <c r="BX86" s="67">
        <v>11519310</v>
      </c>
      <c r="BY86" s="67">
        <v>4058671.2008653777</v>
      </c>
      <c r="BZ86" s="67">
        <v>4768836.8765183492</v>
      </c>
      <c r="CA86" s="67">
        <v>2562548.3415566334</v>
      </c>
      <c r="CB86" s="67">
        <f t="shared" si="59"/>
        <v>114464.07830239944</v>
      </c>
      <c r="CC86" s="67">
        <f t="shared" si="60"/>
        <v>-825.73089449321003</v>
      </c>
      <c r="CD86" s="67">
        <f t="shared" si="61"/>
        <v>-706.12120316009657</v>
      </c>
      <c r="CE86" s="67">
        <f t="shared" si="62"/>
        <v>119.60969133311346</v>
      </c>
      <c r="CF86" s="67">
        <f t="shared" si="63"/>
        <v>-104.60969133311346</v>
      </c>
      <c r="CG86" s="67">
        <f t="shared" si="64"/>
        <v>-89.60969133311346</v>
      </c>
      <c r="CH86" s="67">
        <f t="shared" si="65"/>
        <v>-74.60969133311346</v>
      </c>
      <c r="CI86" s="67">
        <f t="shared" si="66"/>
        <v>-59.60969133311346</v>
      </c>
      <c r="CJ86" s="67">
        <f t="shared" si="67"/>
        <v>-132749.69830172099</v>
      </c>
      <c r="CK86" s="67">
        <f t="shared" si="68"/>
        <v>-113714.69830172099</v>
      </c>
      <c r="CL86" s="67">
        <f t="shared" si="69"/>
        <v>-94679.698301720986</v>
      </c>
      <c r="CM86" s="67">
        <f t="shared" si="70"/>
        <v>-75644.698301720986</v>
      </c>
      <c r="CN86" s="299"/>
      <c r="CO86" s="430">
        <v>3350.7578867112697</v>
      </c>
      <c r="CP86" s="430">
        <v>807.03006705441635</v>
      </c>
      <c r="CQ86" s="430">
        <v>542.06700000000001</v>
      </c>
      <c r="CR86" s="430">
        <v>5753796.1962710405</v>
      </c>
      <c r="CS86" s="430">
        <v>1092096.2440022908</v>
      </c>
      <c r="CT86" s="430">
        <v>1007041.9048513905</v>
      </c>
      <c r="CU86" s="430">
        <v>301949.35558753181</v>
      </c>
      <c r="CV86" s="430">
        <v>-307630</v>
      </c>
      <c r="CW86" s="430">
        <v>9612.6751300347951</v>
      </c>
      <c r="CX86" s="430">
        <v>71100.350000000006</v>
      </c>
      <c r="CY86" s="430">
        <v>4714911.155026258</v>
      </c>
      <c r="CZ86" s="519"/>
      <c r="DA86" s="524">
        <v>3515.1895800000002</v>
      </c>
      <c r="DB86" s="524">
        <v>800.71849350023751</v>
      </c>
      <c r="DC86" s="520">
        <f t="shared" si="71"/>
        <v>-1</v>
      </c>
      <c r="DD86" s="440">
        <v>1311</v>
      </c>
      <c r="DE86" s="450">
        <v>4058671.2008653777</v>
      </c>
      <c r="DF86" s="440">
        <v>1537195.5518566335</v>
      </c>
      <c r="DG86" s="440">
        <v>542243.85950000002</v>
      </c>
      <c r="DH86" s="440">
        <v>483108.9302</v>
      </c>
      <c r="DI86" s="440">
        <v>1090019.1246624363</v>
      </c>
      <c r="DJ86" s="440">
        <v>302678.54239237623</v>
      </c>
      <c r="DK86" s="440">
        <v>114357.02483967174</v>
      </c>
      <c r="DL86" s="440">
        <v>-350406</v>
      </c>
      <c r="DM86" s="440">
        <v>29000</v>
      </c>
      <c r="DN86" s="440">
        <v>9779.8870406336173</v>
      </c>
      <c r="DO86" s="457">
        <f t="shared" si="72"/>
        <v>-300694.28037362639</v>
      </c>
      <c r="DP86" s="459">
        <f t="shared" si="73"/>
        <v>-229.36253270299497</v>
      </c>
      <c r="DQ86" s="440"/>
      <c r="DR86" s="450">
        <v>11519310</v>
      </c>
      <c r="DS86" s="440">
        <v>3501929.6217183489</v>
      </c>
      <c r="DT86" s="440">
        <v>724663.39529999997</v>
      </c>
      <c r="DU86" s="440">
        <v>5751725.9462710414</v>
      </c>
      <c r="DV86" s="440">
        <v>1009473.841384302</v>
      </c>
      <c r="DW86" s="440">
        <v>220837.85950000002</v>
      </c>
      <c r="DX86" s="457">
        <f t="shared" si="74"/>
        <v>-310679.33582630754</v>
      </c>
      <c r="DY86" s="459">
        <f t="shared" si="75"/>
        <v>-236.9788984182361</v>
      </c>
      <c r="DZ86" s="440"/>
      <c r="EA86" s="457">
        <f t="shared" si="76"/>
        <v>9985.0554526811466</v>
      </c>
      <c r="EB86" s="459">
        <f t="shared" si="77"/>
        <v>7.616365715241149</v>
      </c>
      <c r="ED86" s="457">
        <v>-4523.8032819577347</v>
      </c>
      <c r="EE86" s="458">
        <v>3762.5174974718611</v>
      </c>
      <c r="EF86" s="458">
        <v>2335.2755468591822</v>
      </c>
      <c r="EG86" s="458">
        <v>774.87222833995281</v>
      </c>
      <c r="EH86" s="459">
        <v>-504.92486620694848</v>
      </c>
    </row>
    <row r="87" spans="1:138" x14ac:dyDescent="0.2">
      <c r="A87" s="67">
        <v>217</v>
      </c>
      <c r="B87" s="67" t="s">
        <v>209</v>
      </c>
      <c r="C87" s="67">
        <v>16</v>
      </c>
      <c r="D87" s="67">
        <v>5352</v>
      </c>
      <c r="E87" s="82">
        <v>14823834.675037969</v>
      </c>
      <c r="F87" s="67">
        <v>7421204.3458031863</v>
      </c>
      <c r="G87" s="67">
        <v>2026058</v>
      </c>
      <c r="H87" s="67">
        <v>886705.58417505084</v>
      </c>
      <c r="I87" s="67">
        <v>5293944.0720509822</v>
      </c>
      <c r="J87" s="67">
        <v>1033805.7613143772</v>
      </c>
      <c r="K87" s="67">
        <v>-731358.68466606014</v>
      </c>
      <c r="L87" s="67">
        <v>42922</v>
      </c>
      <c r="M87" s="68">
        <v>250246.84</v>
      </c>
      <c r="N87" s="68">
        <v>44991.775711205031</v>
      </c>
      <c r="O87" s="68">
        <v>-155761.21705203952</v>
      </c>
      <c r="P87" s="168">
        <f t="shared" si="43"/>
        <v>1288923.8022987333</v>
      </c>
      <c r="Q87" s="169">
        <f t="shared" si="44"/>
        <v>240.83030685701294</v>
      </c>
      <c r="R87" s="67"/>
      <c r="S87" s="82">
        <v>37609635.419999994</v>
      </c>
      <c r="T87" s="67">
        <v>17097224.429604296</v>
      </c>
      <c r="U87" s="67">
        <v>1332676.1728079123</v>
      </c>
      <c r="V87" s="67">
        <v>13790776.595319424</v>
      </c>
      <c r="W87" s="67">
        <v>3447881.9174647089</v>
      </c>
      <c r="X87" s="67">
        <v>2319226.84</v>
      </c>
      <c r="Y87" s="168">
        <f t="shared" si="45"/>
        <v>378150.53519634902</v>
      </c>
      <c r="Z87" s="169">
        <f t="shared" si="46"/>
        <v>70.655929595730385</v>
      </c>
      <c r="AA87" s="67"/>
      <c r="AB87" s="77">
        <f t="shared" si="47"/>
        <v>910773.26710238424</v>
      </c>
      <c r="AC87" s="123">
        <f t="shared" si="48"/>
        <v>170.17437726128256</v>
      </c>
      <c r="AE87" s="170"/>
      <c r="AF87" s="177">
        <v>-824348.49137858849</v>
      </c>
      <c r="AG87" s="177">
        <v>-758014.34009597474</v>
      </c>
      <c r="AH87" s="177">
        <v>-685885.42598667613</v>
      </c>
      <c r="AI87" s="178">
        <v>-614850.82496442227</v>
      </c>
      <c r="AK87" s="67">
        <f t="shared" si="49"/>
        <v>9676020.0838011093</v>
      </c>
      <c r="AL87" s="67">
        <f t="shared" si="50"/>
        <v>445970.5886328615</v>
      </c>
      <c r="AM87" s="67">
        <f t="shared" si="51"/>
        <v>8496832.5232684426</v>
      </c>
      <c r="AN87" s="67">
        <f t="shared" si="52"/>
        <v>22785800.744962025</v>
      </c>
      <c r="AO87" s="67">
        <f t="shared" si="53"/>
        <v>0</v>
      </c>
      <c r="AP87" s="67">
        <f t="shared" si="54"/>
        <v>-824348.49137858849</v>
      </c>
      <c r="AQ87" s="67">
        <f t="shared" si="55"/>
        <v>-758014.34009597474</v>
      </c>
      <c r="AR87" s="67">
        <f t="shared" si="56"/>
        <v>-685885.42598667613</v>
      </c>
      <c r="AS87" s="67">
        <f t="shared" si="57"/>
        <v>-614850.82496442227</v>
      </c>
      <c r="AT87" s="68">
        <v>1166</v>
      </c>
      <c r="AU87" s="68"/>
      <c r="AV87" s="68"/>
      <c r="AW87" s="68">
        <v>22</v>
      </c>
      <c r="AX87" s="68">
        <v>6690.0166119621117</v>
      </c>
      <c r="AY87" s="68">
        <v>-2230.0167219646819</v>
      </c>
      <c r="AZ87" s="68">
        <v>2422.8012660525283</v>
      </c>
      <c r="BA87" s="299"/>
      <c r="BB87" s="67"/>
      <c r="BC87" s="67"/>
      <c r="BD87" s="67"/>
      <c r="BE87" s="67"/>
      <c r="BF87" s="67"/>
      <c r="BG87" s="67"/>
      <c r="BH87" s="67"/>
      <c r="BN87" s="299"/>
      <c r="BO87" s="67">
        <v>14862080.649266027</v>
      </c>
      <c r="BP87" s="67">
        <v>20815597.100000001</v>
      </c>
      <c r="BQ87" s="67">
        <v>22000000</v>
      </c>
      <c r="BR87" s="67">
        <v>611343</v>
      </c>
      <c r="BS87" s="67">
        <v>647000</v>
      </c>
      <c r="BT87" s="428">
        <v>0.56594098788612879</v>
      </c>
      <c r="BU87" s="428">
        <v>0.33464287704132478</v>
      </c>
      <c r="BV87" s="67">
        <f t="shared" si="58"/>
        <v>10179549.994752713</v>
      </c>
      <c r="BW87" s="299"/>
      <c r="BX87" s="67">
        <v>37150411</v>
      </c>
      <c r="BY87" s="67">
        <v>14862080.649266027</v>
      </c>
      <c r="BZ87" s="67">
        <v>20239897.537071485</v>
      </c>
      <c r="CA87" s="67">
        <v>10182680.164340582</v>
      </c>
      <c r="CB87" s="67">
        <f t="shared" si="59"/>
        <v>-561355.27344695409</v>
      </c>
      <c r="CC87" s="67">
        <f t="shared" si="60"/>
        <v>70.655929595730044</v>
      </c>
      <c r="CD87" s="67">
        <f t="shared" si="61"/>
        <v>301.69813725147219</v>
      </c>
      <c r="CE87" s="67">
        <f t="shared" si="62"/>
        <v>231.04220765574215</v>
      </c>
      <c r="CF87" s="67">
        <f t="shared" si="63"/>
        <v>-216.04220765574215</v>
      </c>
      <c r="CG87" s="67">
        <f t="shared" si="64"/>
        <v>-201.04220765574215</v>
      </c>
      <c r="CH87" s="67">
        <f t="shared" si="65"/>
        <v>-186.04220765574215</v>
      </c>
      <c r="CI87" s="67">
        <f t="shared" si="66"/>
        <v>-171.04220765574215</v>
      </c>
      <c r="CJ87" s="67">
        <f t="shared" si="67"/>
        <v>-1156257.8953735321</v>
      </c>
      <c r="CK87" s="67">
        <f t="shared" si="68"/>
        <v>-1075977.8953735321</v>
      </c>
      <c r="CL87" s="67">
        <f t="shared" si="69"/>
        <v>-995697.89537353197</v>
      </c>
      <c r="CM87" s="67">
        <f t="shared" si="70"/>
        <v>-915417.89537353197</v>
      </c>
      <c r="CN87" s="299"/>
      <c r="CO87" s="430">
        <v>17097.224429604295</v>
      </c>
      <c r="CP87" s="430">
        <v>1332.6761728079123</v>
      </c>
      <c r="CQ87" s="430">
        <v>2026.058</v>
      </c>
      <c r="CR87" s="430">
        <v>13790776.595319424</v>
      </c>
      <c r="CS87" s="430">
        <v>5293944.0720509822</v>
      </c>
      <c r="CT87" s="430">
        <v>3447881.9174647089</v>
      </c>
      <c r="CU87" s="430">
        <v>1033805.7613143772</v>
      </c>
      <c r="CV87" s="430">
        <v>42922</v>
      </c>
      <c r="CW87" s="430">
        <v>44991.775711205031</v>
      </c>
      <c r="CX87" s="430">
        <v>250246.84</v>
      </c>
      <c r="CY87" s="430">
        <v>14823834.675037969</v>
      </c>
      <c r="CZ87" s="519"/>
      <c r="DA87" s="524">
        <v>17223.84074</v>
      </c>
      <c r="DB87" s="524">
        <v>1322.2543552868217</v>
      </c>
      <c r="DC87" s="520">
        <f t="shared" si="71"/>
        <v>-1</v>
      </c>
      <c r="DD87" s="440">
        <v>5390</v>
      </c>
      <c r="DE87" s="450">
        <v>14862080.649266027</v>
      </c>
      <c r="DF87" s="440">
        <v>7520032.0592405805</v>
      </c>
      <c r="DG87" s="440">
        <v>1864873.9125000001</v>
      </c>
      <c r="DH87" s="440">
        <v>797774.19260000007</v>
      </c>
      <c r="DI87" s="440">
        <v>5285395.8624997651</v>
      </c>
      <c r="DJ87" s="440">
        <v>1037542.2088419409</v>
      </c>
      <c r="DK87" s="440">
        <v>-561106.87027460278</v>
      </c>
      <c r="DL87" s="440">
        <v>40606</v>
      </c>
      <c r="DM87" s="440">
        <v>37287</v>
      </c>
      <c r="DN87" s="440">
        <v>44580.954979269307</v>
      </c>
      <c r="DO87" s="457">
        <f t="shared" si="72"/>
        <v>1204904.6711209267</v>
      </c>
      <c r="DP87" s="459">
        <f t="shared" si="73"/>
        <v>223.54446588514412</v>
      </c>
      <c r="DQ87" s="440"/>
      <c r="DR87" s="450">
        <v>37150411</v>
      </c>
      <c r="DS87" s="440">
        <v>17178362.335671484</v>
      </c>
      <c r="DT87" s="440">
        <v>1196661.2889</v>
      </c>
      <c r="DU87" s="440">
        <v>13782247.25531942</v>
      </c>
      <c r="DV87" s="440">
        <v>3460343.4748944691</v>
      </c>
      <c r="DW87" s="440">
        <v>1942766.9125000001</v>
      </c>
      <c r="DX87" s="457">
        <f t="shared" si="74"/>
        <v>409970.26728537679</v>
      </c>
      <c r="DY87" s="459">
        <f t="shared" si="75"/>
        <v>76.061274078919624</v>
      </c>
      <c r="DZ87" s="440"/>
      <c r="EA87" s="457">
        <f t="shared" si="76"/>
        <v>794934.40383554995</v>
      </c>
      <c r="EB87" s="459">
        <f t="shared" si="77"/>
        <v>147.48319180622448</v>
      </c>
      <c r="ED87" s="457">
        <v>-772481.20078429987</v>
      </c>
      <c r="EE87" s="458">
        <v>-698615.31969262613</v>
      </c>
      <c r="EF87" s="458">
        <v>-623633.23282291018</v>
      </c>
      <c r="EG87" s="458">
        <v>-549198.62098981987</v>
      </c>
      <c r="EH87" s="459">
        <v>-473610.33444489824</v>
      </c>
    </row>
    <row r="88" spans="1:138" x14ac:dyDescent="0.2">
      <c r="A88" s="67">
        <v>218</v>
      </c>
      <c r="B88" s="67" t="s">
        <v>210</v>
      </c>
      <c r="C88" s="67">
        <v>14</v>
      </c>
      <c r="D88" s="67">
        <v>1200</v>
      </c>
      <c r="E88" s="82">
        <v>3022172.1789982375</v>
      </c>
      <c r="F88" s="67">
        <v>1554672.8222583404</v>
      </c>
      <c r="G88" s="67">
        <v>303051</v>
      </c>
      <c r="H88" s="67">
        <v>323327.58087100665</v>
      </c>
      <c r="I88" s="67">
        <v>573358.5951439226</v>
      </c>
      <c r="J88" s="67">
        <v>325633.13893353881</v>
      </c>
      <c r="K88" s="67">
        <v>276065.39974555065</v>
      </c>
      <c r="L88" s="67">
        <v>-287088</v>
      </c>
      <c r="M88" s="68">
        <v>26747.4</v>
      </c>
      <c r="N88" s="68">
        <v>8611.6783176696936</v>
      </c>
      <c r="O88" s="68">
        <v>-34924.039697766711</v>
      </c>
      <c r="P88" s="168">
        <f t="shared" si="43"/>
        <v>47283.396574024635</v>
      </c>
      <c r="Q88" s="169">
        <f t="shared" si="44"/>
        <v>39.402830478353863</v>
      </c>
      <c r="R88" s="67"/>
      <c r="S88" s="82">
        <v>9612673.2000000011</v>
      </c>
      <c r="T88" s="67">
        <v>3329460.2893592757</v>
      </c>
      <c r="U88" s="67">
        <v>485945.92244425142</v>
      </c>
      <c r="V88" s="67">
        <v>4853830.7035246128</v>
      </c>
      <c r="W88" s="67">
        <v>1086030.5228215868</v>
      </c>
      <c r="X88" s="67">
        <v>42710.400000000001</v>
      </c>
      <c r="Y88" s="168">
        <f t="shared" si="45"/>
        <v>185304.63814972527</v>
      </c>
      <c r="Z88" s="169">
        <f t="shared" si="46"/>
        <v>154.42053179143772</v>
      </c>
      <c r="AA88" s="67"/>
      <c r="AB88" s="77">
        <f t="shared" si="47"/>
        <v>-138021.24157570064</v>
      </c>
      <c r="AC88" s="123">
        <f t="shared" si="48"/>
        <v>-115.01770131308386</v>
      </c>
      <c r="AE88" s="170"/>
      <c r="AF88" s="177">
        <v>121398.9939801406</v>
      </c>
      <c r="AG88" s="177">
        <v>100272.12207041272</v>
      </c>
      <c r="AH88" s="177">
        <v>80444.524337071605</v>
      </c>
      <c r="AI88" s="178">
        <v>60371.564925020924</v>
      </c>
      <c r="AK88" s="67">
        <f t="shared" si="49"/>
        <v>1774787.4671009353</v>
      </c>
      <c r="AL88" s="67">
        <f t="shared" si="50"/>
        <v>162618.34157324478</v>
      </c>
      <c r="AM88" s="67">
        <f t="shared" si="51"/>
        <v>4280472.1083806902</v>
      </c>
      <c r="AN88" s="67">
        <f t="shared" si="52"/>
        <v>6590501.0210017636</v>
      </c>
      <c r="AO88" s="67">
        <f t="shared" si="53"/>
        <v>0</v>
      </c>
      <c r="AP88" s="67">
        <f t="shared" si="54"/>
        <v>121398.9939801406</v>
      </c>
      <c r="AQ88" s="67">
        <f t="shared" si="55"/>
        <v>100272.12207041272</v>
      </c>
      <c r="AR88" s="67">
        <f t="shared" si="56"/>
        <v>80444.524337071605</v>
      </c>
      <c r="AS88" s="67">
        <f t="shared" si="57"/>
        <v>60371.564925020924</v>
      </c>
      <c r="AT88" s="68">
        <v>301</v>
      </c>
      <c r="AU88" s="68"/>
      <c r="AV88" s="68"/>
      <c r="AW88" s="68">
        <v>0</v>
      </c>
      <c r="AX88" s="68">
        <v>3656.4926846777325</v>
      </c>
      <c r="AY88" s="68">
        <v>-670.00178195762658</v>
      </c>
      <c r="AZ88" s="68">
        <v>762.60755059611176</v>
      </c>
      <c r="BA88" s="299"/>
      <c r="BB88" s="67"/>
      <c r="BC88" s="67"/>
      <c r="BD88" s="67"/>
      <c r="BE88" s="67"/>
      <c r="BF88" s="67"/>
      <c r="BG88" s="67"/>
      <c r="BH88" s="67"/>
      <c r="BN88" s="299"/>
      <c r="BO88" s="67">
        <v>2858621.0182516454</v>
      </c>
      <c r="BP88" s="67">
        <v>6081003.209999999</v>
      </c>
      <c r="BQ88" s="67">
        <v>6414000</v>
      </c>
      <c r="BR88" s="67">
        <v>125115.29</v>
      </c>
      <c r="BS88" s="67">
        <v>128000</v>
      </c>
      <c r="BT88" s="428">
        <v>0.53305560446929878</v>
      </c>
      <c r="BU88" s="428">
        <v>0.33464287704132478</v>
      </c>
      <c r="BV88" s="67">
        <f t="shared" si="58"/>
        <v>5316934.8920142893</v>
      </c>
      <c r="BW88" s="299"/>
      <c r="BX88" s="67">
        <v>9296712</v>
      </c>
      <c r="BY88" s="67">
        <v>2858621.0182516454</v>
      </c>
      <c r="BZ88" s="67">
        <v>4358018.2267392799</v>
      </c>
      <c r="CA88" s="67">
        <v>2294420.6685333578</v>
      </c>
      <c r="CB88" s="67">
        <f t="shared" si="59"/>
        <v>423285.77675511217</v>
      </c>
      <c r="CC88" s="67">
        <f t="shared" si="60"/>
        <v>154.42053179143761</v>
      </c>
      <c r="CD88" s="67">
        <f t="shared" si="61"/>
        <v>191.18984440112743</v>
      </c>
      <c r="CE88" s="67">
        <f t="shared" si="62"/>
        <v>36.76931260968982</v>
      </c>
      <c r="CF88" s="67">
        <f t="shared" si="63"/>
        <v>-21.76931260968982</v>
      </c>
      <c r="CG88" s="67">
        <f t="shared" si="64"/>
        <v>-6.7693126096898197</v>
      </c>
      <c r="CH88" s="67">
        <f t="shared" si="65"/>
        <v>0</v>
      </c>
      <c r="CI88" s="67">
        <f t="shared" si="66"/>
        <v>0</v>
      </c>
      <c r="CJ88" s="67">
        <f t="shared" si="67"/>
        <v>-26123.175131627784</v>
      </c>
      <c r="CK88" s="67">
        <f t="shared" si="68"/>
        <v>-8123.1751316277841</v>
      </c>
      <c r="CL88" s="67">
        <f t="shared" si="69"/>
        <v>0</v>
      </c>
      <c r="CM88" s="67">
        <f t="shared" si="70"/>
        <v>0</v>
      </c>
      <c r="CN88" s="299"/>
      <c r="CO88" s="430">
        <v>3329.4602893592755</v>
      </c>
      <c r="CP88" s="430">
        <v>485.94592244425144</v>
      </c>
      <c r="CQ88" s="430">
        <v>303.05099999999999</v>
      </c>
      <c r="CR88" s="430">
        <v>4853830.7035246128</v>
      </c>
      <c r="CS88" s="430">
        <v>573358.5951439226</v>
      </c>
      <c r="CT88" s="430">
        <v>1086030.5228215868</v>
      </c>
      <c r="CU88" s="430">
        <v>325633.13893353881</v>
      </c>
      <c r="CV88" s="430">
        <v>-287088</v>
      </c>
      <c r="CW88" s="430">
        <v>8611.6783176696936</v>
      </c>
      <c r="CX88" s="430">
        <v>26747.4</v>
      </c>
      <c r="CY88" s="430">
        <v>3022172.1789982375</v>
      </c>
      <c r="CZ88" s="519"/>
      <c r="DA88" s="524">
        <v>3570.9603999999999</v>
      </c>
      <c r="DB88" s="524">
        <v>482.14529322072485</v>
      </c>
      <c r="DC88" s="520">
        <f t="shared" si="71"/>
        <v>-1</v>
      </c>
      <c r="DD88" s="440">
        <v>1192</v>
      </c>
      <c r="DE88" s="450">
        <v>2858621.0182516454</v>
      </c>
      <c r="DF88" s="440">
        <v>1703962.149933358</v>
      </c>
      <c r="DG88" s="440">
        <v>299558.80580000003</v>
      </c>
      <c r="DH88" s="440">
        <v>290899.71279999998</v>
      </c>
      <c r="DI88" s="440">
        <v>571467.88821032445</v>
      </c>
      <c r="DJ88" s="440">
        <v>326579.6223617614</v>
      </c>
      <c r="DK88" s="440">
        <v>422971.04760824348</v>
      </c>
      <c r="DL88" s="440">
        <v>-287088</v>
      </c>
      <c r="DM88" s="440">
        <v>-20000</v>
      </c>
      <c r="DN88" s="440">
        <v>9147.3761009828577</v>
      </c>
      <c r="DO88" s="457">
        <f t="shared" si="72"/>
        <v>458877.58456302481</v>
      </c>
      <c r="DP88" s="459">
        <f t="shared" si="73"/>
        <v>384.96441657971877</v>
      </c>
      <c r="DQ88" s="440"/>
      <c r="DR88" s="450">
        <v>9296712</v>
      </c>
      <c r="DS88" s="440">
        <v>3622109.8517392799</v>
      </c>
      <c r="DT88" s="440">
        <v>436349.56920000003</v>
      </c>
      <c r="DU88" s="440">
        <v>4851947.5735246139</v>
      </c>
      <c r="DV88" s="440">
        <v>1089187.1729578732</v>
      </c>
      <c r="DW88" s="440">
        <v>-7529.194199999969</v>
      </c>
      <c r="DX88" s="457">
        <f t="shared" si="74"/>
        <v>695352.97322176769</v>
      </c>
      <c r="DY88" s="459">
        <f t="shared" si="75"/>
        <v>583.3498097498051</v>
      </c>
      <c r="DZ88" s="440"/>
      <c r="EA88" s="457">
        <f t="shared" si="76"/>
        <v>-236475.38865874289</v>
      </c>
      <c r="EB88" s="459">
        <f t="shared" si="77"/>
        <v>-198.3853931700863</v>
      </c>
      <c r="ED88" s="457">
        <v>241440.92076209918</v>
      </c>
      <c r="EE88" s="458">
        <v>222016.38092189046</v>
      </c>
      <c r="EF88" s="458">
        <v>202838.69030012822</v>
      </c>
      <c r="EG88" s="458">
        <v>183539.92542165765</v>
      </c>
      <c r="EH88" s="459">
        <v>164496.29602676834</v>
      </c>
    </row>
    <row r="89" spans="1:138" x14ac:dyDescent="0.2">
      <c r="A89" s="67">
        <v>224</v>
      </c>
      <c r="B89" s="67" t="s">
        <v>211</v>
      </c>
      <c r="C89" s="67">
        <v>33</v>
      </c>
      <c r="D89" s="67">
        <v>8603</v>
      </c>
      <c r="E89" s="82">
        <v>20771950.714600645</v>
      </c>
      <c r="F89" s="67">
        <v>12894047.788474809</v>
      </c>
      <c r="G89" s="67">
        <v>2334530</v>
      </c>
      <c r="H89" s="67">
        <v>1168753.9109370848</v>
      </c>
      <c r="I89" s="67">
        <v>5345682.7235735757</v>
      </c>
      <c r="J89" s="67">
        <v>1461630.0151830451</v>
      </c>
      <c r="K89" s="67">
        <v>-159208.1248510959</v>
      </c>
      <c r="L89" s="67">
        <v>-368097</v>
      </c>
      <c r="M89" s="68">
        <v>-56019.040000000001</v>
      </c>
      <c r="N89" s="68">
        <v>82389.753051189691</v>
      </c>
      <c r="O89" s="68">
        <v>-250376.26126657252</v>
      </c>
      <c r="P89" s="168">
        <f t="shared" si="43"/>
        <v>1681383.0505013932</v>
      </c>
      <c r="Q89" s="169">
        <f t="shared" si="44"/>
        <v>195.4414797746592</v>
      </c>
      <c r="R89" s="67"/>
      <c r="S89" s="82">
        <v>55711098.049999997</v>
      </c>
      <c r="T89" s="67">
        <v>30841792.65932944</v>
      </c>
      <c r="U89" s="67">
        <v>1756581.3464804152</v>
      </c>
      <c r="V89" s="67">
        <v>17728834.415632203</v>
      </c>
      <c r="W89" s="67">
        <v>4874733.618205077</v>
      </c>
      <c r="X89" s="67">
        <v>1910413.96</v>
      </c>
      <c r="Y89" s="168">
        <f t="shared" si="45"/>
        <v>1401257.9496471435</v>
      </c>
      <c r="Z89" s="169">
        <f t="shared" si="46"/>
        <v>162.88015223144757</v>
      </c>
      <c r="AA89" s="67"/>
      <c r="AB89" s="77">
        <f t="shared" si="47"/>
        <v>280125.10085424967</v>
      </c>
      <c r="AC89" s="123">
        <f t="shared" si="48"/>
        <v>32.561327543211632</v>
      </c>
      <c r="AE89" s="170"/>
      <c r="AF89" s="177">
        <v>-141202.76424141743</v>
      </c>
      <c r="AG89" s="177">
        <v>-34574.830107574955</v>
      </c>
      <c r="AH89" s="177">
        <v>-25642.082003271578</v>
      </c>
      <c r="AI89" s="178">
        <v>-40503.473521498323</v>
      </c>
      <c r="AK89" s="67">
        <f t="shared" si="49"/>
        <v>17947744.870854631</v>
      </c>
      <c r="AL89" s="67">
        <f t="shared" si="50"/>
        <v>587827.43554333039</v>
      </c>
      <c r="AM89" s="67">
        <f t="shared" si="51"/>
        <v>12383151.692058627</v>
      </c>
      <c r="AN89" s="67">
        <f t="shared" si="52"/>
        <v>34939147.335399352</v>
      </c>
      <c r="AO89" s="67">
        <f t="shared" si="53"/>
        <v>0</v>
      </c>
      <c r="AP89" s="67">
        <f t="shared" si="54"/>
        <v>-141202.76424141743</v>
      </c>
      <c r="AQ89" s="67">
        <f t="shared" si="55"/>
        <v>-34574.830107574955</v>
      </c>
      <c r="AR89" s="67">
        <f t="shared" si="56"/>
        <v>-25642.082003271578</v>
      </c>
      <c r="AS89" s="67">
        <f t="shared" si="57"/>
        <v>-40503.473521498323</v>
      </c>
      <c r="AT89" s="68">
        <v>2866</v>
      </c>
      <c r="AU89" s="68"/>
      <c r="AV89" s="68"/>
      <c r="AW89" s="68">
        <v>0</v>
      </c>
      <c r="AX89" s="68">
        <v>10571.378972057677</v>
      </c>
      <c r="AY89" s="68">
        <v>-1985.7590709544806</v>
      </c>
      <c r="AZ89" s="68">
        <v>3377.9701576369921</v>
      </c>
      <c r="BA89" s="299"/>
      <c r="BB89" s="67"/>
      <c r="BC89" s="67"/>
      <c r="BD89" s="67"/>
      <c r="BE89" s="67"/>
      <c r="BF89" s="67"/>
      <c r="BG89" s="67"/>
      <c r="BH89" s="67"/>
      <c r="BN89" s="299"/>
      <c r="BO89" s="67">
        <v>21007003.979698114</v>
      </c>
      <c r="BP89" s="67">
        <v>32576100.220000006</v>
      </c>
      <c r="BQ89" s="67">
        <v>33736000</v>
      </c>
      <c r="BR89" s="67">
        <v>628476.1100000001</v>
      </c>
      <c r="BS89" s="67">
        <v>643000</v>
      </c>
      <c r="BT89" s="428">
        <v>0.58192936672329121</v>
      </c>
      <c r="BU89" s="428">
        <v>0.33464287704132484</v>
      </c>
      <c r="BV89" s="67">
        <f t="shared" si="58"/>
        <v>15637047.170229563</v>
      </c>
      <c r="BW89" s="299"/>
      <c r="BX89" s="67">
        <v>56484092</v>
      </c>
      <c r="BY89" s="67">
        <v>21007003.979698114</v>
      </c>
      <c r="BZ89" s="67">
        <v>34860750.261784993</v>
      </c>
      <c r="CA89" s="67">
        <v>16466317.186616454</v>
      </c>
      <c r="CB89" s="67">
        <f t="shared" si="59"/>
        <v>-740201.34880431718</v>
      </c>
      <c r="CC89" s="67">
        <f t="shared" si="60"/>
        <v>162.88015223144691</v>
      </c>
      <c r="CD89" s="67">
        <f t="shared" si="61"/>
        <v>157.0110528669932</v>
      </c>
      <c r="CE89" s="67">
        <f t="shared" si="62"/>
        <v>-5.8690993644537173</v>
      </c>
      <c r="CF89" s="67">
        <f t="shared" si="63"/>
        <v>0</v>
      </c>
      <c r="CG89" s="67">
        <f t="shared" si="64"/>
        <v>0</v>
      </c>
      <c r="CH89" s="67">
        <f t="shared" si="65"/>
        <v>0</v>
      </c>
      <c r="CI89" s="67">
        <f t="shared" si="66"/>
        <v>0</v>
      </c>
      <c r="CJ89" s="67">
        <f t="shared" si="67"/>
        <v>0</v>
      </c>
      <c r="CK89" s="67">
        <f t="shared" si="68"/>
        <v>0</v>
      </c>
      <c r="CL89" s="67">
        <f t="shared" si="69"/>
        <v>0</v>
      </c>
      <c r="CM89" s="67">
        <f t="shared" si="70"/>
        <v>0</v>
      </c>
      <c r="CN89" s="299"/>
      <c r="CO89" s="430">
        <v>30841.79265932944</v>
      </c>
      <c r="CP89" s="430">
        <v>1756.5813464804153</v>
      </c>
      <c r="CQ89" s="430">
        <v>2334.5300000000002</v>
      </c>
      <c r="CR89" s="430">
        <v>17728834.415632203</v>
      </c>
      <c r="CS89" s="430">
        <v>5345682.7235735757</v>
      </c>
      <c r="CT89" s="430">
        <v>4874733.618205077</v>
      </c>
      <c r="CU89" s="430">
        <v>1461630.0151830451</v>
      </c>
      <c r="CV89" s="430">
        <v>-368097</v>
      </c>
      <c r="CW89" s="430">
        <v>82389.753051189691</v>
      </c>
      <c r="CX89" s="430">
        <v>-56019.040000000001</v>
      </c>
      <c r="CY89" s="430">
        <v>20771950.714600645</v>
      </c>
      <c r="CZ89" s="519"/>
      <c r="DA89" s="524">
        <v>30849.536370000002</v>
      </c>
      <c r="DB89" s="524">
        <v>1742.8438958641875</v>
      </c>
      <c r="DC89" s="520">
        <f t="shared" si="71"/>
        <v>-1</v>
      </c>
      <c r="DD89" s="440">
        <v>8717</v>
      </c>
      <c r="DE89" s="450">
        <v>21007003.979698114</v>
      </c>
      <c r="DF89" s="440">
        <v>13075989.018216453</v>
      </c>
      <c r="DG89" s="440">
        <v>2338793.449</v>
      </c>
      <c r="DH89" s="440">
        <v>1051534.7194000001</v>
      </c>
      <c r="DI89" s="440">
        <v>5332000.9144349797</v>
      </c>
      <c r="DJ89" s="440">
        <v>1446584.4425065848</v>
      </c>
      <c r="DK89" s="440">
        <v>-739697.95930586406</v>
      </c>
      <c r="DL89" s="440">
        <v>-414361</v>
      </c>
      <c r="DM89" s="440">
        <v>-202900</v>
      </c>
      <c r="DN89" s="440">
        <v>81537.602539717162</v>
      </c>
      <c r="DO89" s="457">
        <f t="shared" si="72"/>
        <v>962477.20709375665</v>
      </c>
      <c r="DP89" s="459">
        <f t="shared" si="73"/>
        <v>110.41381290509999</v>
      </c>
      <c r="DQ89" s="440"/>
      <c r="DR89" s="450">
        <v>56484092</v>
      </c>
      <c r="DS89" s="440">
        <v>30944654.733684994</v>
      </c>
      <c r="DT89" s="440">
        <v>1577302.0791</v>
      </c>
      <c r="DU89" s="440">
        <v>17715187.665632196</v>
      </c>
      <c r="DV89" s="440">
        <v>4824554.600143577</v>
      </c>
      <c r="DW89" s="440">
        <v>1721532.449</v>
      </c>
      <c r="DX89" s="457">
        <f t="shared" si="74"/>
        <v>299139.52756077051</v>
      </c>
      <c r="DY89" s="459">
        <f t="shared" si="75"/>
        <v>34.316797930569059</v>
      </c>
      <c r="DZ89" s="440"/>
      <c r="EA89" s="457">
        <f t="shared" si="76"/>
        <v>663337.67953298613</v>
      </c>
      <c r="EB89" s="459">
        <f t="shared" si="77"/>
        <v>76.097014974530936</v>
      </c>
      <c r="ED89" s="457">
        <v>-627025.14316977875</v>
      </c>
      <c r="EE89" s="458">
        <v>-507565.23862875463</v>
      </c>
      <c r="EF89" s="458">
        <v>-386300.14563370554</v>
      </c>
      <c r="EG89" s="458">
        <v>-265920.45892701764</v>
      </c>
      <c r="EH89" s="459">
        <v>-143674.98697672423</v>
      </c>
    </row>
    <row r="90" spans="1:138" x14ac:dyDescent="0.2">
      <c r="A90" s="67">
        <v>226</v>
      </c>
      <c r="B90" s="67" t="s">
        <v>212</v>
      </c>
      <c r="C90" s="67">
        <v>13</v>
      </c>
      <c r="D90" s="67">
        <v>3665</v>
      </c>
      <c r="E90" s="82">
        <v>10610026.124988873</v>
      </c>
      <c r="F90" s="67">
        <v>4485826.878908203</v>
      </c>
      <c r="G90" s="67">
        <v>1239611</v>
      </c>
      <c r="H90" s="67">
        <v>1282894.3448591079</v>
      </c>
      <c r="I90" s="67">
        <v>2625689.5419044038</v>
      </c>
      <c r="J90" s="67">
        <v>810919.87821073527</v>
      </c>
      <c r="K90" s="67">
        <v>363694.90433486301</v>
      </c>
      <c r="L90" s="67">
        <v>5607</v>
      </c>
      <c r="M90" s="68">
        <v>32490.75</v>
      </c>
      <c r="N90" s="68">
        <v>28839.048634600407</v>
      </c>
      <c r="O90" s="68">
        <v>-106663.83791026249</v>
      </c>
      <c r="P90" s="168">
        <f t="shared" si="43"/>
        <v>158883.38395277821</v>
      </c>
      <c r="Q90" s="169">
        <f t="shared" si="44"/>
        <v>43.351537231317387</v>
      </c>
      <c r="R90" s="67"/>
      <c r="S90" s="82">
        <v>30058488.580000002</v>
      </c>
      <c r="T90" s="67">
        <v>10328635.382106557</v>
      </c>
      <c r="U90" s="67">
        <v>1928128.9710319783</v>
      </c>
      <c r="V90" s="67">
        <v>14215742.686532058</v>
      </c>
      <c r="W90" s="67">
        <v>2704527.3776001297</v>
      </c>
      <c r="X90" s="67">
        <v>1277708.75</v>
      </c>
      <c r="Y90" s="168">
        <f t="shared" si="45"/>
        <v>396254.58727072179</v>
      </c>
      <c r="Z90" s="169">
        <f t="shared" si="46"/>
        <v>108.11857770006051</v>
      </c>
      <c r="AA90" s="67"/>
      <c r="AB90" s="77">
        <f t="shared" si="47"/>
        <v>-237371.20331794358</v>
      </c>
      <c r="AC90" s="123">
        <f t="shared" si="48"/>
        <v>-64.767040468743133</v>
      </c>
      <c r="AE90" s="170"/>
      <c r="AF90" s="177">
        <v>186604.0887865042</v>
      </c>
      <c r="AG90" s="177">
        <v>122079.10082887695</v>
      </c>
      <c r="AH90" s="177">
        <v>61522.312751630998</v>
      </c>
      <c r="AI90" s="178">
        <v>216.14921399284356</v>
      </c>
      <c r="AK90" s="67">
        <f t="shared" si="49"/>
        <v>5842808.5031983545</v>
      </c>
      <c r="AL90" s="67">
        <f t="shared" si="50"/>
        <v>645234.6261728704</v>
      </c>
      <c r="AM90" s="67">
        <f t="shared" si="51"/>
        <v>11590053.144627653</v>
      </c>
      <c r="AN90" s="67">
        <f t="shared" si="52"/>
        <v>19448462.455011129</v>
      </c>
      <c r="AO90" s="67">
        <f t="shared" si="53"/>
        <v>0</v>
      </c>
      <c r="AP90" s="67">
        <f t="shared" si="54"/>
        <v>186604.0887865042</v>
      </c>
      <c r="AQ90" s="67">
        <f t="shared" si="55"/>
        <v>122079.10082887695</v>
      </c>
      <c r="AR90" s="67">
        <f t="shared" si="56"/>
        <v>61522.312751630998</v>
      </c>
      <c r="AS90" s="67">
        <f t="shared" si="57"/>
        <v>216.14921399284356</v>
      </c>
      <c r="AT90" s="68">
        <v>2016</v>
      </c>
      <c r="AU90" s="68"/>
      <c r="AV90" s="68"/>
      <c r="AW90" s="68">
        <v>0</v>
      </c>
      <c r="AX90" s="68">
        <v>9550.1503265918236</v>
      </c>
      <c r="AY90" s="68">
        <v>-2044.9948842744686</v>
      </c>
      <c r="AZ90" s="68">
        <v>1897.4220596267021</v>
      </c>
      <c r="BA90" s="299"/>
      <c r="BB90" s="67"/>
      <c r="BC90" s="67"/>
      <c r="BD90" s="67"/>
      <c r="BE90" s="67"/>
      <c r="BF90" s="67"/>
      <c r="BG90" s="67"/>
      <c r="BH90" s="67"/>
      <c r="BN90" s="299"/>
      <c r="BO90" s="67">
        <v>10276233.989545912</v>
      </c>
      <c r="BP90" s="67">
        <v>17669504.649999999</v>
      </c>
      <c r="BQ90" s="67">
        <v>19223000</v>
      </c>
      <c r="BR90" s="67">
        <v>361041</v>
      </c>
      <c r="BS90" s="67">
        <v>366000</v>
      </c>
      <c r="BT90" s="428">
        <v>0.56569026662713839</v>
      </c>
      <c r="BU90" s="428">
        <v>0.33464287704132478</v>
      </c>
      <c r="BV90" s="67">
        <f t="shared" si="58"/>
        <v>13847355.548351912</v>
      </c>
      <c r="BW90" s="299"/>
      <c r="BX90" s="67">
        <v>29061770</v>
      </c>
      <c r="BY90" s="67">
        <v>10276233.989545912</v>
      </c>
      <c r="BZ90" s="67">
        <v>13731036.421620678</v>
      </c>
      <c r="CA90" s="67">
        <v>7099330.5324102575</v>
      </c>
      <c r="CB90" s="67">
        <f t="shared" si="59"/>
        <v>784984.82279037475</v>
      </c>
      <c r="CC90" s="67">
        <f t="shared" si="60"/>
        <v>108.11857770006051</v>
      </c>
      <c r="CD90" s="67">
        <f t="shared" si="61"/>
        <v>187.4044039068356</v>
      </c>
      <c r="CE90" s="67">
        <f t="shared" si="62"/>
        <v>79.285826206775084</v>
      </c>
      <c r="CF90" s="67">
        <f t="shared" si="63"/>
        <v>-64.285826206775084</v>
      </c>
      <c r="CG90" s="67">
        <f t="shared" si="64"/>
        <v>-49.285826206775084</v>
      </c>
      <c r="CH90" s="67">
        <f t="shared" si="65"/>
        <v>-34.285826206775084</v>
      </c>
      <c r="CI90" s="67">
        <f t="shared" si="66"/>
        <v>-19.285826206775084</v>
      </c>
      <c r="CJ90" s="67">
        <f t="shared" si="67"/>
        <v>-235607.55304783068</v>
      </c>
      <c r="CK90" s="67">
        <f t="shared" si="68"/>
        <v>-180632.55304783068</v>
      </c>
      <c r="CL90" s="67">
        <f t="shared" si="69"/>
        <v>-125657.55304783069</v>
      </c>
      <c r="CM90" s="67">
        <f t="shared" si="70"/>
        <v>-70682.55304783069</v>
      </c>
      <c r="CN90" s="299"/>
      <c r="CO90" s="430">
        <v>10328.635382106557</v>
      </c>
      <c r="CP90" s="430">
        <v>1928.1289710319782</v>
      </c>
      <c r="CQ90" s="430">
        <v>1239.6110000000001</v>
      </c>
      <c r="CR90" s="430">
        <v>14215742.686532058</v>
      </c>
      <c r="CS90" s="430">
        <v>2625689.5419044038</v>
      </c>
      <c r="CT90" s="430">
        <v>2704527.3776001297</v>
      </c>
      <c r="CU90" s="430">
        <v>810919.87821073527</v>
      </c>
      <c r="CV90" s="430">
        <v>5607</v>
      </c>
      <c r="CW90" s="430">
        <v>28839.048634600407</v>
      </c>
      <c r="CX90" s="430">
        <v>32490.75</v>
      </c>
      <c r="CY90" s="430">
        <v>10610026.124988873</v>
      </c>
      <c r="CZ90" s="519"/>
      <c r="DA90" s="524">
        <v>10574.249089999999</v>
      </c>
      <c r="DB90" s="524">
        <v>1913.0500529904643</v>
      </c>
      <c r="DC90" s="520">
        <f t="shared" si="71"/>
        <v>-1</v>
      </c>
      <c r="DD90" s="440">
        <v>3774</v>
      </c>
      <c r="DE90" s="450">
        <v>10276233.989545912</v>
      </c>
      <c r="DF90" s="440">
        <v>4726438.9838102572</v>
      </c>
      <c r="DG90" s="440">
        <v>1218664.0142000003</v>
      </c>
      <c r="DH90" s="440">
        <v>1154227.5344</v>
      </c>
      <c r="DI90" s="440">
        <v>2619638.7962037851</v>
      </c>
      <c r="DJ90" s="440">
        <v>812553.4283123624</v>
      </c>
      <c r="DK90" s="440">
        <v>784635.01991361193</v>
      </c>
      <c r="DL90" s="440">
        <v>82538</v>
      </c>
      <c r="DM90" s="440">
        <v>-14830</v>
      </c>
      <c r="DN90" s="440">
        <v>29396.578668396189</v>
      </c>
      <c r="DO90" s="457">
        <f t="shared" si="72"/>
        <v>1137028.3659625016</v>
      </c>
      <c r="DP90" s="459">
        <f t="shared" si="73"/>
        <v>301.27937624867559</v>
      </c>
      <c r="DQ90" s="440"/>
      <c r="DR90" s="450">
        <v>29061770</v>
      </c>
      <c r="DS90" s="440">
        <v>10781031.105820678</v>
      </c>
      <c r="DT90" s="440">
        <v>1731341.3016000001</v>
      </c>
      <c r="DU90" s="440">
        <v>14209713.416532055</v>
      </c>
      <c r="DV90" s="440">
        <v>2709975.4879390644</v>
      </c>
      <c r="DW90" s="440">
        <v>1286372.0142000003</v>
      </c>
      <c r="DX90" s="457">
        <f t="shared" si="74"/>
        <v>1656663.3260917999</v>
      </c>
      <c r="DY90" s="459">
        <f t="shared" si="75"/>
        <v>438.96749498987811</v>
      </c>
      <c r="DZ90" s="440"/>
      <c r="EA90" s="457">
        <f t="shared" si="76"/>
        <v>-519634.96012929827</v>
      </c>
      <c r="EB90" s="459">
        <f t="shared" si="77"/>
        <v>-137.68811874120252</v>
      </c>
      <c r="ED90" s="457">
        <v>535356.36798002361</v>
      </c>
      <c r="EE90" s="458">
        <v>473856.18898929568</v>
      </c>
      <c r="EF90" s="458">
        <v>413137.56113146787</v>
      </c>
      <c r="EG90" s="458">
        <v>352035.59917563904</v>
      </c>
      <c r="EH90" s="459">
        <v>291741.42355792742</v>
      </c>
    </row>
    <row r="91" spans="1:138" x14ac:dyDescent="0.2">
      <c r="A91" s="67">
        <v>230</v>
      </c>
      <c r="B91" s="67" t="s">
        <v>213</v>
      </c>
      <c r="C91" s="67">
        <v>4</v>
      </c>
      <c r="D91" s="67">
        <v>2240</v>
      </c>
      <c r="E91" s="82">
        <v>5917235.8751741331</v>
      </c>
      <c r="F91" s="67">
        <v>2337425.1101933527</v>
      </c>
      <c r="G91" s="67">
        <v>734904</v>
      </c>
      <c r="H91" s="67">
        <v>575785.93432047695</v>
      </c>
      <c r="I91" s="67">
        <v>1761131.664162012</v>
      </c>
      <c r="J91" s="67">
        <v>571248.1309295306</v>
      </c>
      <c r="K91" s="67">
        <v>-52209.167689296737</v>
      </c>
      <c r="L91" s="67">
        <v>-402247</v>
      </c>
      <c r="M91" s="68">
        <v>248474.77</v>
      </c>
      <c r="N91" s="68">
        <v>16053.350284570379</v>
      </c>
      <c r="O91" s="68">
        <v>-65191.540769164523</v>
      </c>
      <c r="P91" s="168">
        <f t="shared" si="43"/>
        <v>-191860.62374265218</v>
      </c>
      <c r="Q91" s="169">
        <f t="shared" si="44"/>
        <v>-85.652064170826861</v>
      </c>
      <c r="R91" s="67"/>
      <c r="S91" s="82">
        <v>16634502.76</v>
      </c>
      <c r="T91" s="67">
        <v>5659422.590555408</v>
      </c>
      <c r="U91" s="67">
        <v>865378.77848230186</v>
      </c>
      <c r="V91" s="67">
        <v>7344148.6585835256</v>
      </c>
      <c r="W91" s="67">
        <v>1905189.7123433547</v>
      </c>
      <c r="X91" s="67">
        <v>581131.77</v>
      </c>
      <c r="Y91" s="168">
        <f t="shared" si="45"/>
        <v>-279231.25003541075</v>
      </c>
      <c r="Z91" s="169">
        <f t="shared" si="46"/>
        <v>-124.65680805152266</v>
      </c>
      <c r="AA91" s="67"/>
      <c r="AB91" s="77">
        <f t="shared" si="47"/>
        <v>87370.626292758563</v>
      </c>
      <c r="AC91" s="123">
        <f t="shared" si="48"/>
        <v>39.004743880695784</v>
      </c>
      <c r="AE91" s="170"/>
      <c r="AF91" s="177">
        <v>-51198.821804471721</v>
      </c>
      <c r="AG91" s="177">
        <v>-23435.649369297116</v>
      </c>
      <c r="AH91" s="177">
        <v>-6676.5388454409322</v>
      </c>
      <c r="AI91" s="178">
        <v>-10546.063081268887</v>
      </c>
      <c r="AK91" s="67">
        <f t="shared" si="49"/>
        <v>3321997.4803620554</v>
      </c>
      <c r="AL91" s="67">
        <f t="shared" si="50"/>
        <v>289592.84416182491</v>
      </c>
      <c r="AM91" s="67">
        <f t="shared" si="51"/>
        <v>5583016.9944215138</v>
      </c>
      <c r="AN91" s="67">
        <f t="shared" si="52"/>
        <v>10717266.884825867</v>
      </c>
      <c r="AO91" s="67">
        <f t="shared" si="53"/>
        <v>0</v>
      </c>
      <c r="AP91" s="67">
        <f t="shared" si="54"/>
        <v>-51198.821804471721</v>
      </c>
      <c r="AQ91" s="67">
        <f t="shared" si="55"/>
        <v>-23435.649369297116</v>
      </c>
      <c r="AR91" s="67">
        <f t="shared" si="56"/>
        <v>-6676.5388454409322</v>
      </c>
      <c r="AS91" s="67">
        <f t="shared" si="57"/>
        <v>-10546.063081268887</v>
      </c>
      <c r="AT91" s="68">
        <v>811</v>
      </c>
      <c r="AU91" s="68"/>
      <c r="AV91" s="68"/>
      <c r="AW91" s="68">
        <v>0</v>
      </c>
      <c r="AX91" s="68">
        <v>4239.0139564571191</v>
      </c>
      <c r="AY91" s="68">
        <v>-1396.5675524642895</v>
      </c>
      <c r="AZ91" s="68">
        <v>1338.6129632745319</v>
      </c>
      <c r="BA91" s="299"/>
      <c r="BB91" s="67"/>
      <c r="BC91" s="67"/>
      <c r="BD91" s="67"/>
      <c r="BE91" s="67"/>
      <c r="BF91" s="67"/>
      <c r="BG91" s="67"/>
      <c r="BH91" s="67"/>
      <c r="BN91" s="299"/>
      <c r="BO91" s="67">
        <v>6184646.5482433308</v>
      </c>
      <c r="BP91" s="67">
        <v>9650265.1400000006</v>
      </c>
      <c r="BQ91" s="67">
        <v>10394000</v>
      </c>
      <c r="BR91" s="67">
        <v>350595.69</v>
      </c>
      <c r="BS91" s="67">
        <v>335000</v>
      </c>
      <c r="BT91" s="428">
        <v>0.58698523165700534</v>
      </c>
      <c r="BU91" s="428">
        <v>0.33464287704132495</v>
      </c>
      <c r="BV91" s="67">
        <f t="shared" si="58"/>
        <v>6864749.4081460405</v>
      </c>
      <c r="BW91" s="299"/>
      <c r="BX91" s="67">
        <v>16993250</v>
      </c>
      <c r="BY91" s="67">
        <v>6184646.5482433308</v>
      </c>
      <c r="BZ91" s="67">
        <v>7367643.862070132</v>
      </c>
      <c r="CA91" s="67">
        <v>3699089.9562843926</v>
      </c>
      <c r="CB91" s="67">
        <f t="shared" si="59"/>
        <v>-109728.14970879271</v>
      </c>
      <c r="CC91" s="67">
        <f t="shared" si="60"/>
        <v>-124.65680805152203</v>
      </c>
      <c r="CD91" s="67">
        <f t="shared" si="61"/>
        <v>-82.226814729010371</v>
      </c>
      <c r="CE91" s="67">
        <f t="shared" si="62"/>
        <v>42.429993322511663</v>
      </c>
      <c r="CF91" s="67">
        <f t="shared" si="63"/>
        <v>-27.429993322511663</v>
      </c>
      <c r="CG91" s="67">
        <f t="shared" si="64"/>
        <v>-12.429993322511663</v>
      </c>
      <c r="CH91" s="67">
        <f t="shared" si="65"/>
        <v>0</v>
      </c>
      <c r="CI91" s="67">
        <f t="shared" si="66"/>
        <v>0</v>
      </c>
      <c r="CJ91" s="67">
        <f t="shared" si="67"/>
        <v>-61443.185042426128</v>
      </c>
      <c r="CK91" s="67">
        <f t="shared" si="68"/>
        <v>-27843.185042426125</v>
      </c>
      <c r="CL91" s="67">
        <f t="shared" si="69"/>
        <v>0</v>
      </c>
      <c r="CM91" s="67">
        <f t="shared" si="70"/>
        <v>0</v>
      </c>
      <c r="CN91" s="299"/>
      <c r="CO91" s="430">
        <v>5659.4225905554076</v>
      </c>
      <c r="CP91" s="430">
        <v>865.37877848230187</v>
      </c>
      <c r="CQ91" s="430">
        <v>734.904</v>
      </c>
      <c r="CR91" s="430">
        <v>7344148.6585835256</v>
      </c>
      <c r="CS91" s="430">
        <v>1761131.664162012</v>
      </c>
      <c r="CT91" s="430">
        <v>1905189.7123433547</v>
      </c>
      <c r="CU91" s="430">
        <v>571248.1309295306</v>
      </c>
      <c r="CV91" s="430">
        <v>-402247</v>
      </c>
      <c r="CW91" s="430">
        <v>16053.350284570379</v>
      </c>
      <c r="CX91" s="430">
        <v>248474.77</v>
      </c>
      <c r="CY91" s="430">
        <v>5917235.8751741331</v>
      </c>
      <c r="CZ91" s="519"/>
      <c r="DA91" s="524">
        <v>5902.6647800000001</v>
      </c>
      <c r="DB91" s="524">
        <v>858.61110309300943</v>
      </c>
      <c r="DC91" s="520">
        <f t="shared" si="71"/>
        <v>-1</v>
      </c>
      <c r="DD91" s="440">
        <v>2290</v>
      </c>
      <c r="DE91" s="450">
        <v>6184646.5482433308</v>
      </c>
      <c r="DF91" s="440">
        <v>2442375.0704843928</v>
      </c>
      <c r="DG91" s="440">
        <v>738676.91800000006</v>
      </c>
      <c r="DH91" s="440">
        <v>518037.96779999998</v>
      </c>
      <c r="DI91" s="440">
        <v>1757495.1564902549</v>
      </c>
      <c r="DJ91" s="440">
        <v>573248.60695784469</v>
      </c>
      <c r="DK91" s="440">
        <v>-109857.50508823193</v>
      </c>
      <c r="DL91" s="440">
        <v>-402247</v>
      </c>
      <c r="DM91" s="440">
        <v>229780</v>
      </c>
      <c r="DN91" s="440">
        <v>16261.718371156911</v>
      </c>
      <c r="DO91" s="457">
        <f t="shared" si="72"/>
        <v>-420875.61522791348</v>
      </c>
      <c r="DP91" s="459">
        <f t="shared" si="73"/>
        <v>-183.78847826546439</v>
      </c>
      <c r="DQ91" s="440"/>
      <c r="DR91" s="450">
        <v>16993250</v>
      </c>
      <c r="DS91" s="440">
        <v>5851909.9923701324</v>
      </c>
      <c r="DT91" s="440">
        <v>777056.95169999998</v>
      </c>
      <c r="DU91" s="440">
        <v>7340526.438583523</v>
      </c>
      <c r="DV91" s="440">
        <v>1911861.5702323767</v>
      </c>
      <c r="DW91" s="440">
        <v>566209.91800000006</v>
      </c>
      <c r="DX91" s="457">
        <f t="shared" si="74"/>
        <v>-545685.1291139666</v>
      </c>
      <c r="DY91" s="459">
        <f t="shared" si="75"/>
        <v>-238.29044939474525</v>
      </c>
      <c r="DZ91" s="440"/>
      <c r="EA91" s="457">
        <f t="shared" si="76"/>
        <v>124809.51388605312</v>
      </c>
      <c r="EB91" s="459">
        <f t="shared" si="77"/>
        <v>54.50197112928084</v>
      </c>
      <c r="ED91" s="457">
        <v>-115270.02687541251</v>
      </c>
      <c r="EE91" s="458">
        <v>-83887.305595276543</v>
      </c>
      <c r="EF91" s="458">
        <v>-52030.352175675493</v>
      </c>
      <c r="EG91" s="458">
        <v>-20405.999467368121</v>
      </c>
      <c r="EH91" s="459">
        <v>-881.98165035386114</v>
      </c>
    </row>
    <row r="92" spans="1:138" x14ac:dyDescent="0.2">
      <c r="A92" s="67">
        <v>231</v>
      </c>
      <c r="B92" s="67" t="s">
        <v>214</v>
      </c>
      <c r="C92" s="67">
        <v>15</v>
      </c>
      <c r="D92" s="67">
        <v>1256</v>
      </c>
      <c r="E92" s="82">
        <v>3026803.5935018891</v>
      </c>
      <c r="F92" s="67">
        <v>2426802.4854234508</v>
      </c>
      <c r="G92" s="67">
        <v>853224</v>
      </c>
      <c r="H92" s="67">
        <v>753766.55359540321</v>
      </c>
      <c r="I92" s="67">
        <v>155885.06052106575</v>
      </c>
      <c r="J92" s="67">
        <v>220765.16641035757</v>
      </c>
      <c r="K92" s="67">
        <v>-844225.36511177127</v>
      </c>
      <c r="L92" s="67">
        <v>-201438</v>
      </c>
      <c r="M92" s="68">
        <v>-22770.31</v>
      </c>
      <c r="N92" s="68">
        <v>14336.838852668245</v>
      </c>
      <c r="O92" s="68">
        <v>-36553.828216995826</v>
      </c>
      <c r="P92" s="168">
        <f t="shared" si="43"/>
        <v>292989.00797228958</v>
      </c>
      <c r="Q92" s="169">
        <f t="shared" si="44"/>
        <v>233.27150316265093</v>
      </c>
      <c r="R92" s="67"/>
      <c r="S92" s="82">
        <v>10291017.960000001</v>
      </c>
      <c r="T92" s="67">
        <v>5273113.3492198512</v>
      </c>
      <c r="U92" s="67">
        <v>1132875.1546892496</v>
      </c>
      <c r="V92" s="67">
        <v>2285067.512512214</v>
      </c>
      <c r="W92" s="67">
        <v>736281.66310913884</v>
      </c>
      <c r="X92" s="67">
        <v>629015.68999999994</v>
      </c>
      <c r="Y92" s="168">
        <f t="shared" si="45"/>
        <v>-234664.59046954662</v>
      </c>
      <c r="Z92" s="169">
        <f t="shared" si="46"/>
        <v>-186.83486502352437</v>
      </c>
      <c r="AA92" s="67"/>
      <c r="AB92" s="77">
        <f t="shared" si="47"/>
        <v>527653.59844183619</v>
      </c>
      <c r="AC92" s="123">
        <f t="shared" si="48"/>
        <v>420.1063681861753</v>
      </c>
      <c r="AE92" s="170"/>
      <c r="AF92" s="177">
        <v>-507371.55092519074</v>
      </c>
      <c r="AG92" s="177">
        <v>-491804.34352403926</v>
      </c>
      <c r="AH92" s="177">
        <v>-474877.22915160289</v>
      </c>
      <c r="AI92" s="178">
        <v>-458206.92666954931</v>
      </c>
      <c r="AK92" s="67">
        <f t="shared" si="49"/>
        <v>2846310.8637964004</v>
      </c>
      <c r="AL92" s="67">
        <f t="shared" si="50"/>
        <v>379108.60109384637</v>
      </c>
      <c r="AM92" s="67">
        <f t="shared" si="51"/>
        <v>2129182.4519911483</v>
      </c>
      <c r="AN92" s="67">
        <f t="shared" si="52"/>
        <v>7264214.3664981117</v>
      </c>
      <c r="AO92" s="67">
        <f t="shared" si="53"/>
        <v>0</v>
      </c>
      <c r="AP92" s="67">
        <f t="shared" si="54"/>
        <v>-507371.55092519074</v>
      </c>
      <c r="AQ92" s="67">
        <f t="shared" si="55"/>
        <v>-491804.34352403926</v>
      </c>
      <c r="AR92" s="67">
        <f t="shared" si="56"/>
        <v>-474877.22915160289</v>
      </c>
      <c r="AS92" s="67">
        <f t="shared" si="57"/>
        <v>-458206.92666954931</v>
      </c>
      <c r="AT92" s="68">
        <v>692</v>
      </c>
      <c r="AU92" s="68"/>
      <c r="AV92" s="68"/>
      <c r="AW92" s="68">
        <v>42</v>
      </c>
      <c r="AX92" s="68">
        <v>2234.9560908281396</v>
      </c>
      <c r="AY92" s="68">
        <v>140.93695046966812</v>
      </c>
      <c r="AZ92" s="68">
        <v>514.8869512300912</v>
      </c>
      <c r="BA92" s="299"/>
      <c r="BB92" s="67"/>
      <c r="BC92" s="67"/>
      <c r="BD92" s="67"/>
      <c r="BE92" s="67"/>
      <c r="BF92" s="67"/>
      <c r="BG92" s="67"/>
      <c r="BH92" s="67"/>
      <c r="BN92" s="299"/>
      <c r="BO92" s="67">
        <v>3298589.9716609614</v>
      </c>
      <c r="BP92" s="67">
        <v>7013673.6799999997</v>
      </c>
      <c r="BQ92" s="67">
        <v>6811000</v>
      </c>
      <c r="BR92" s="67">
        <v>124759.43</v>
      </c>
      <c r="BS92" s="67">
        <v>102000</v>
      </c>
      <c r="BT92" s="428">
        <v>0.53977805430970061</v>
      </c>
      <c r="BU92" s="428">
        <v>0.33464287704132484</v>
      </c>
      <c r="BV92" s="67">
        <f t="shared" si="58"/>
        <v>1800473.5835781584</v>
      </c>
      <c r="BW92" s="299"/>
      <c r="BX92" s="67">
        <v>10612768</v>
      </c>
      <c r="BY92" s="67">
        <v>3298589.9716609614</v>
      </c>
      <c r="BZ92" s="67">
        <v>7331386.8040757934</v>
      </c>
      <c r="CA92" s="67">
        <v>4050468.8540074509</v>
      </c>
      <c r="CB92" s="67">
        <f t="shared" si="59"/>
        <v>-863541.44517041615</v>
      </c>
      <c r="CC92" s="67">
        <f t="shared" si="60"/>
        <v>-186.83486502352494</v>
      </c>
      <c r="CD92" s="67">
        <f t="shared" si="61"/>
        <v>246.99582494477738</v>
      </c>
      <c r="CE92" s="67">
        <f t="shared" si="62"/>
        <v>433.83068996830229</v>
      </c>
      <c r="CF92" s="67">
        <f t="shared" si="63"/>
        <v>-418.83068996830229</v>
      </c>
      <c r="CG92" s="67">
        <f t="shared" si="64"/>
        <v>-403.83068996830229</v>
      </c>
      <c r="CH92" s="67">
        <f t="shared" si="65"/>
        <v>-388.83068996830229</v>
      </c>
      <c r="CI92" s="67">
        <f t="shared" si="66"/>
        <v>-373.83068996830229</v>
      </c>
      <c r="CJ92" s="67">
        <f t="shared" si="67"/>
        <v>-526051.34660018771</v>
      </c>
      <c r="CK92" s="67">
        <f t="shared" si="68"/>
        <v>-507211.34660018771</v>
      </c>
      <c r="CL92" s="67">
        <f t="shared" si="69"/>
        <v>-488371.34660018771</v>
      </c>
      <c r="CM92" s="67">
        <f t="shared" si="70"/>
        <v>-469531.34660018771</v>
      </c>
      <c r="CN92" s="299"/>
      <c r="CO92" s="430">
        <v>5273.1133492198514</v>
      </c>
      <c r="CP92" s="430">
        <v>1132.8751546892495</v>
      </c>
      <c r="CQ92" s="430">
        <v>853.22400000000005</v>
      </c>
      <c r="CR92" s="430">
        <v>2285067.512512214</v>
      </c>
      <c r="CS92" s="430">
        <v>155885.06052106575</v>
      </c>
      <c r="CT92" s="430">
        <v>736281.66310913884</v>
      </c>
      <c r="CU92" s="430">
        <v>220765.16641035757</v>
      </c>
      <c r="CV92" s="430">
        <v>-201438</v>
      </c>
      <c r="CW92" s="430">
        <v>14336.838852668245</v>
      </c>
      <c r="CX92" s="430">
        <v>-22770.31</v>
      </c>
      <c r="CY92" s="430">
        <v>3026803.5935018891</v>
      </c>
      <c r="CZ92" s="519"/>
      <c r="DA92" s="524">
        <v>5190.2673600000007</v>
      </c>
      <c r="DB92" s="524">
        <v>1124.0180853603244</v>
      </c>
      <c r="DC92" s="520">
        <f t="shared" si="71"/>
        <v>-1</v>
      </c>
      <c r="DD92" s="440">
        <v>1289</v>
      </c>
      <c r="DE92" s="450">
        <v>3298589.9716609614</v>
      </c>
      <c r="DF92" s="440">
        <v>2524852.0546074505</v>
      </c>
      <c r="DG92" s="440">
        <v>847448.62900000007</v>
      </c>
      <c r="DH92" s="440">
        <v>678168.17039999994</v>
      </c>
      <c r="DI92" s="440">
        <v>153886.59208992781</v>
      </c>
      <c r="DJ92" s="440">
        <v>220495.56939251628</v>
      </c>
      <c r="DK92" s="440">
        <v>-863668.8372573927</v>
      </c>
      <c r="DL92" s="440">
        <v>-201438</v>
      </c>
      <c r="DM92" s="440">
        <v>-24100</v>
      </c>
      <c r="DN92" s="440">
        <v>14543.431846194313</v>
      </c>
      <c r="DO92" s="457">
        <f t="shared" si="72"/>
        <v>51597.638417734765</v>
      </c>
      <c r="DP92" s="459">
        <f t="shared" si="73"/>
        <v>40.029199703440469</v>
      </c>
      <c r="DQ92" s="440"/>
      <c r="DR92" s="450">
        <v>10612768</v>
      </c>
      <c r="DS92" s="440">
        <v>5466685.9194757938</v>
      </c>
      <c r="DT92" s="440">
        <v>1017252.2556</v>
      </c>
      <c r="DU92" s="440">
        <v>2283077.5725122141</v>
      </c>
      <c r="DV92" s="440">
        <v>735382.52062260744</v>
      </c>
      <c r="DW92" s="440">
        <v>621910.62900000007</v>
      </c>
      <c r="DX92" s="457">
        <f t="shared" si="74"/>
        <v>-488459.10278938338</v>
      </c>
      <c r="DY92" s="459">
        <f t="shared" si="75"/>
        <v>-378.9442224898242</v>
      </c>
      <c r="DZ92" s="440"/>
      <c r="EA92" s="457">
        <f t="shared" si="76"/>
        <v>540056.74120711815</v>
      </c>
      <c r="EB92" s="459">
        <f t="shared" si="77"/>
        <v>418.97342219326464</v>
      </c>
      <c r="ED92" s="457">
        <v>-534687.13476313686</v>
      </c>
      <c r="EE92" s="458">
        <v>-517022.36282859748</v>
      </c>
      <c r="EF92" s="458">
        <v>-499090.65411337221</v>
      </c>
      <c r="EG92" s="458">
        <v>-481289.87217406742</v>
      </c>
      <c r="EH92" s="459">
        <v>-463213.19288716494</v>
      </c>
    </row>
    <row r="93" spans="1:138" x14ac:dyDescent="0.2">
      <c r="A93" s="67">
        <v>232</v>
      </c>
      <c r="B93" s="67" t="s">
        <v>215</v>
      </c>
      <c r="C93" s="67">
        <v>14</v>
      </c>
      <c r="D93" s="67">
        <v>12750</v>
      </c>
      <c r="E93" s="82">
        <v>33460734.728291087</v>
      </c>
      <c r="F93" s="67">
        <v>17959971.117447421</v>
      </c>
      <c r="G93" s="67">
        <v>3752462</v>
      </c>
      <c r="H93" s="67">
        <v>3989761.6824329435</v>
      </c>
      <c r="I93" s="67">
        <v>7923513.3885416426</v>
      </c>
      <c r="J93" s="67">
        <v>2764797.0975931585</v>
      </c>
      <c r="K93" s="67">
        <v>-266595.43320422864</v>
      </c>
      <c r="L93" s="67">
        <v>-691888</v>
      </c>
      <c r="M93" s="68">
        <v>-474849.89</v>
      </c>
      <c r="N93" s="68">
        <v>107320.28699450589</v>
      </c>
      <c r="O93" s="68">
        <v>-371067.92178877129</v>
      </c>
      <c r="P93" s="168">
        <f t="shared" si="43"/>
        <v>1232689.599725585</v>
      </c>
      <c r="Q93" s="169">
        <f t="shared" si="44"/>
        <v>96.681537233379217</v>
      </c>
      <c r="R93" s="67"/>
      <c r="S93" s="82">
        <v>93797053.219999984</v>
      </c>
      <c r="T93" s="67">
        <v>40097611.715044744</v>
      </c>
      <c r="U93" s="67">
        <v>5996421.3874971094</v>
      </c>
      <c r="V93" s="67">
        <v>36599891.647561699</v>
      </c>
      <c r="W93" s="67">
        <v>9220971.9417025931</v>
      </c>
      <c r="X93" s="67">
        <v>2585724.11</v>
      </c>
      <c r="Y93" s="168">
        <f t="shared" si="45"/>
        <v>703567.58180616796</v>
      </c>
      <c r="Z93" s="169">
        <f t="shared" si="46"/>
        <v>55.181771122052389</v>
      </c>
      <c r="AA93" s="67"/>
      <c r="AB93" s="77">
        <f t="shared" si="47"/>
        <v>529122.01791941701</v>
      </c>
      <c r="AC93" s="123">
        <f t="shared" si="48"/>
        <v>41.499766111326821</v>
      </c>
      <c r="AE93" s="170"/>
      <c r="AF93" s="177">
        <v>-323233.3986222471</v>
      </c>
      <c r="AG93" s="177">
        <v>-165206.4126631059</v>
      </c>
      <c r="AH93" s="177">
        <v>-38002.620660433873</v>
      </c>
      <c r="AI93" s="178">
        <v>-60027.814413472457</v>
      </c>
      <c r="AK93" s="67">
        <f t="shared" si="49"/>
        <v>22137640.597597323</v>
      </c>
      <c r="AL93" s="67">
        <f t="shared" si="50"/>
        <v>2006659.7050641659</v>
      </c>
      <c r="AM93" s="67">
        <f t="shared" si="51"/>
        <v>28676378.259020057</v>
      </c>
      <c r="AN93" s="67">
        <f t="shared" si="52"/>
        <v>60336318.491708897</v>
      </c>
      <c r="AO93" s="67">
        <f t="shared" si="53"/>
        <v>0</v>
      </c>
      <c r="AP93" s="67">
        <f t="shared" si="54"/>
        <v>-323233.3986222471</v>
      </c>
      <c r="AQ93" s="67">
        <f t="shared" si="55"/>
        <v>-165206.4126631059</v>
      </c>
      <c r="AR93" s="67">
        <f t="shared" si="56"/>
        <v>-38002.620660433873</v>
      </c>
      <c r="AS93" s="67">
        <f t="shared" si="57"/>
        <v>-60027.814413472457</v>
      </c>
      <c r="AT93" s="68">
        <v>5578</v>
      </c>
      <c r="AU93" s="68"/>
      <c r="AV93" s="68"/>
      <c r="AW93" s="68">
        <v>0</v>
      </c>
      <c r="AX93" s="68">
        <v>23417.171716147175</v>
      </c>
      <c r="AY93" s="68">
        <v>-5610.5982719895001</v>
      </c>
      <c r="AZ93" s="68">
        <v>6480.4014268010596</v>
      </c>
      <c r="BA93" s="299"/>
      <c r="BB93" s="67"/>
      <c r="BC93" s="67"/>
      <c r="BD93" s="67"/>
      <c r="BE93" s="67"/>
      <c r="BF93" s="67"/>
      <c r="BG93" s="67"/>
      <c r="BH93" s="67"/>
      <c r="BN93" s="299"/>
      <c r="BO93" s="67">
        <v>32386522.3403586</v>
      </c>
      <c r="BP93" s="67">
        <v>56336001.239999995</v>
      </c>
      <c r="BQ93" s="67">
        <v>57682000</v>
      </c>
      <c r="BR93" s="67">
        <v>1345572.14</v>
      </c>
      <c r="BS93" s="67">
        <v>1345000</v>
      </c>
      <c r="BT93" s="428">
        <v>0.55209374450825988</v>
      </c>
      <c r="BU93" s="428">
        <v>0.33464287704132489</v>
      </c>
      <c r="BV93" s="67">
        <f t="shared" si="58"/>
        <v>34865957.669925265</v>
      </c>
      <c r="BW93" s="299"/>
      <c r="BX93" s="67">
        <v>91942521</v>
      </c>
      <c r="BY93" s="67">
        <v>32386522.3403586</v>
      </c>
      <c r="BZ93" s="67">
        <v>50099666.760173753</v>
      </c>
      <c r="CA93" s="67">
        <v>25909318.787953012</v>
      </c>
      <c r="CB93" s="67">
        <f t="shared" si="59"/>
        <v>17801.306844131985</v>
      </c>
      <c r="CC93" s="67">
        <f t="shared" si="60"/>
        <v>55.181771122052133</v>
      </c>
      <c r="CD93" s="67">
        <f t="shared" si="61"/>
        <v>148.09053031864445</v>
      </c>
      <c r="CE93" s="67">
        <f t="shared" si="62"/>
        <v>92.908759196592314</v>
      </c>
      <c r="CF93" s="67">
        <f t="shared" si="63"/>
        <v>-77.908759196592314</v>
      </c>
      <c r="CG93" s="67">
        <f t="shared" si="64"/>
        <v>-62.908759196592314</v>
      </c>
      <c r="CH93" s="67">
        <f t="shared" si="65"/>
        <v>-47.908759196592314</v>
      </c>
      <c r="CI93" s="67">
        <f t="shared" si="66"/>
        <v>-32.908759196592314</v>
      </c>
      <c r="CJ93" s="67">
        <f t="shared" si="67"/>
        <v>-993336.67975655198</v>
      </c>
      <c r="CK93" s="67">
        <f t="shared" si="68"/>
        <v>-802086.67975655198</v>
      </c>
      <c r="CL93" s="67">
        <f t="shared" si="69"/>
        <v>-610836.67975655198</v>
      </c>
      <c r="CM93" s="67">
        <f t="shared" si="70"/>
        <v>-419586.67975655198</v>
      </c>
      <c r="CN93" s="299"/>
      <c r="CO93" s="430">
        <v>40097.611715044746</v>
      </c>
      <c r="CP93" s="430">
        <v>5996.4213874971092</v>
      </c>
      <c r="CQ93" s="430">
        <v>3752.462</v>
      </c>
      <c r="CR93" s="430">
        <v>36599891.647561699</v>
      </c>
      <c r="CS93" s="430">
        <v>7923513.3885416426</v>
      </c>
      <c r="CT93" s="430">
        <v>9220971.9417025931</v>
      </c>
      <c r="CU93" s="430">
        <v>2764797.0975931585</v>
      </c>
      <c r="CV93" s="430">
        <v>-691888</v>
      </c>
      <c r="CW93" s="430">
        <v>107320.28699450589</v>
      </c>
      <c r="CX93" s="430">
        <v>-474849.89</v>
      </c>
      <c r="CY93" s="430">
        <v>33460734.728291087</v>
      </c>
      <c r="CZ93" s="519"/>
      <c r="DA93" s="524">
        <v>40425.053899999999</v>
      </c>
      <c r="DB93" s="524">
        <v>5949.5276654867466</v>
      </c>
      <c r="DC93" s="520">
        <f t="shared" si="71"/>
        <v>-1</v>
      </c>
      <c r="DD93" s="440">
        <v>12890</v>
      </c>
      <c r="DE93" s="450">
        <v>32386522.3403586</v>
      </c>
      <c r="DF93" s="440">
        <v>18520993.484253012</v>
      </c>
      <c r="DG93" s="440">
        <v>3798713.4171000007</v>
      </c>
      <c r="DH93" s="440">
        <v>3589611.8865999999</v>
      </c>
      <c r="DI93" s="440">
        <v>7903063.678815946</v>
      </c>
      <c r="DJ93" s="440">
        <v>2775171.9073106442</v>
      </c>
      <c r="DK93" s="440">
        <v>17854.550463376247</v>
      </c>
      <c r="DL93" s="440">
        <v>-589482</v>
      </c>
      <c r="DM93" s="440">
        <v>-5500</v>
      </c>
      <c r="DN93" s="440">
        <v>107229.34325815397</v>
      </c>
      <c r="DO93" s="457">
        <f t="shared" si="72"/>
        <v>3731133.9274425358</v>
      </c>
      <c r="DP93" s="459">
        <f t="shared" si="73"/>
        <v>289.45957544162417</v>
      </c>
      <c r="DQ93" s="440"/>
      <c r="DR93" s="450">
        <v>91942521</v>
      </c>
      <c r="DS93" s="440">
        <v>40916535.513173759</v>
      </c>
      <c r="DT93" s="440">
        <v>5384417.8298999993</v>
      </c>
      <c r="DU93" s="440">
        <v>36579498.937561683</v>
      </c>
      <c r="DV93" s="440">
        <v>9255573.3341117036</v>
      </c>
      <c r="DW93" s="440">
        <v>3203731.4171000007</v>
      </c>
      <c r="DX93" s="457">
        <f t="shared" si="74"/>
        <v>3397236.0318471491</v>
      </c>
      <c r="DY93" s="459">
        <f t="shared" si="75"/>
        <v>263.55593730389057</v>
      </c>
      <c r="DZ93" s="440"/>
      <c r="EA93" s="457">
        <f t="shared" si="76"/>
        <v>333897.89559538662</v>
      </c>
      <c r="EB93" s="459">
        <f t="shared" si="77"/>
        <v>25.90363813773364</v>
      </c>
      <c r="ED93" s="457">
        <v>-280201.83115556877</v>
      </c>
      <c r="EE93" s="458">
        <v>-103554.11181017452</v>
      </c>
      <c r="EF93" s="458">
        <v>22960.87093746366</v>
      </c>
      <c r="EG93" s="458">
        <v>7618.6903305125797</v>
      </c>
      <c r="EH93" s="459">
        <v>-4964.516800463437</v>
      </c>
    </row>
    <row r="94" spans="1:138" x14ac:dyDescent="0.2">
      <c r="A94" s="67">
        <v>233</v>
      </c>
      <c r="B94" s="67" t="s">
        <v>216</v>
      </c>
      <c r="C94" s="67">
        <v>14</v>
      </c>
      <c r="D94" s="67">
        <v>15116</v>
      </c>
      <c r="E94" s="82">
        <v>46004114.626853779</v>
      </c>
      <c r="F94" s="67">
        <v>21223269.115597516</v>
      </c>
      <c r="G94" s="67">
        <v>4089785</v>
      </c>
      <c r="H94" s="67">
        <v>3198308.9442137713</v>
      </c>
      <c r="I94" s="67">
        <v>10814299.531915214</v>
      </c>
      <c r="J94" s="67">
        <v>3293877.8902320564</v>
      </c>
      <c r="K94" s="67">
        <v>1972754.4642058385</v>
      </c>
      <c r="L94" s="67">
        <v>-743025</v>
      </c>
      <c r="M94" s="68">
        <v>407096.08</v>
      </c>
      <c r="N94" s="68">
        <v>127782.64268277062</v>
      </c>
      <c r="O94" s="68">
        <v>-439926.48672620131</v>
      </c>
      <c r="P94" s="168">
        <f t="shared" si="43"/>
        <v>-2059892.4447328143</v>
      </c>
      <c r="Q94" s="169">
        <f t="shared" si="44"/>
        <v>-136.27232367906947</v>
      </c>
      <c r="R94" s="67"/>
      <c r="S94" s="82">
        <v>116158755.77000001</v>
      </c>
      <c r="T94" s="67">
        <v>48362475.643168285</v>
      </c>
      <c r="U94" s="67">
        <v>4806905.6959842844</v>
      </c>
      <c r="V94" s="67">
        <v>46558190.02502881</v>
      </c>
      <c r="W94" s="67">
        <v>10985527.882557729</v>
      </c>
      <c r="X94" s="67">
        <v>3753856.08</v>
      </c>
      <c r="Y94" s="168">
        <f t="shared" si="45"/>
        <v>-1691800.4432609081</v>
      </c>
      <c r="Z94" s="169">
        <f t="shared" si="46"/>
        <v>-111.9211724835213</v>
      </c>
      <c r="AA94" s="67"/>
      <c r="AB94" s="77">
        <f t="shared" si="47"/>
        <v>-368092.0014719062</v>
      </c>
      <c r="AC94" s="123">
        <f t="shared" si="48"/>
        <v>-24.351151195548173</v>
      </c>
      <c r="AE94" s="170"/>
      <c r="AF94" s="177">
        <v>158707.0892598425</v>
      </c>
      <c r="AG94" s="177">
        <v>-22033.075368277438</v>
      </c>
      <c r="AH94" s="177">
        <v>-45054.714815930864</v>
      </c>
      <c r="AI94" s="178">
        <v>-71167.093543062729</v>
      </c>
      <c r="AK94" s="67">
        <f t="shared" si="49"/>
        <v>27139206.527570769</v>
      </c>
      <c r="AL94" s="67">
        <f t="shared" si="50"/>
        <v>1608596.7517705131</v>
      </c>
      <c r="AM94" s="67">
        <f t="shared" si="51"/>
        <v>35743890.493113592</v>
      </c>
      <c r="AN94" s="67">
        <f t="shared" si="52"/>
        <v>70154641.143146232</v>
      </c>
      <c r="AO94" s="67">
        <f t="shared" si="53"/>
        <v>0</v>
      </c>
      <c r="AP94" s="67">
        <f t="shared" si="54"/>
        <v>158707.0892598425</v>
      </c>
      <c r="AQ94" s="67">
        <f t="shared" si="55"/>
        <v>-22033.075368277438</v>
      </c>
      <c r="AR94" s="67">
        <f t="shared" si="56"/>
        <v>-45054.714815930864</v>
      </c>
      <c r="AS94" s="67">
        <f t="shared" si="57"/>
        <v>-71167.093543062729</v>
      </c>
      <c r="AT94" s="68">
        <v>6240</v>
      </c>
      <c r="AU94" s="68"/>
      <c r="AV94" s="68"/>
      <c r="AW94" s="68">
        <v>0</v>
      </c>
      <c r="AX94" s="68">
        <v>30170.088076901993</v>
      </c>
      <c r="AY94" s="68">
        <v>-6520.8800575436162</v>
      </c>
      <c r="AZ94" s="68">
        <v>7721.9988028819416</v>
      </c>
      <c r="BA94" s="299"/>
      <c r="BB94" s="67"/>
      <c r="BC94" s="67"/>
      <c r="BD94" s="67"/>
      <c r="BE94" s="67"/>
      <c r="BF94" s="67"/>
      <c r="BG94" s="67"/>
      <c r="BH94" s="67"/>
      <c r="BN94" s="299"/>
      <c r="BO94" s="67">
        <v>43456367.178099155</v>
      </c>
      <c r="BP94" s="67">
        <v>64621660.729999989</v>
      </c>
      <c r="BQ94" s="67">
        <v>67927000</v>
      </c>
      <c r="BR94" s="67">
        <v>1548437.96</v>
      </c>
      <c r="BS94" s="67">
        <v>1603000</v>
      </c>
      <c r="BT94" s="428">
        <v>0.5611624749694647</v>
      </c>
      <c r="BU94" s="428">
        <v>0.33464287704132489</v>
      </c>
      <c r="BV94" s="67">
        <f t="shared" si="58"/>
        <v>45408294.949645109</v>
      </c>
      <c r="BW94" s="299"/>
      <c r="BX94" s="67">
        <v>112508360</v>
      </c>
      <c r="BY94" s="67">
        <v>43456367.178099155</v>
      </c>
      <c r="BZ94" s="67">
        <v>57910516.395200424</v>
      </c>
      <c r="CA94" s="67">
        <v>28979722.357047081</v>
      </c>
      <c r="CB94" s="67">
        <f t="shared" si="59"/>
        <v>2494456.4546867888</v>
      </c>
      <c r="CC94" s="67">
        <f t="shared" si="60"/>
        <v>-111.92117248352106</v>
      </c>
      <c r="CD94" s="67">
        <f t="shared" si="61"/>
        <v>-72.655726880501618</v>
      </c>
      <c r="CE94" s="67">
        <f t="shared" si="62"/>
        <v>39.265445603019444</v>
      </c>
      <c r="CF94" s="67">
        <f t="shared" si="63"/>
        <v>-24.265445603019444</v>
      </c>
      <c r="CG94" s="67">
        <f t="shared" si="64"/>
        <v>-9.2654456030194439</v>
      </c>
      <c r="CH94" s="67">
        <f t="shared" si="65"/>
        <v>0</v>
      </c>
      <c r="CI94" s="67">
        <f t="shared" si="66"/>
        <v>0</v>
      </c>
      <c r="CJ94" s="67">
        <f t="shared" si="67"/>
        <v>-366796.4757352419</v>
      </c>
      <c r="CK94" s="67">
        <f t="shared" si="68"/>
        <v>-140056.47573524193</v>
      </c>
      <c r="CL94" s="67">
        <f t="shared" si="69"/>
        <v>0</v>
      </c>
      <c r="CM94" s="67">
        <f t="shared" si="70"/>
        <v>0</v>
      </c>
      <c r="CN94" s="299"/>
      <c r="CO94" s="430">
        <v>48362.475643168284</v>
      </c>
      <c r="CP94" s="430">
        <v>4806.9056959842846</v>
      </c>
      <c r="CQ94" s="430">
        <v>4089.7849999999999</v>
      </c>
      <c r="CR94" s="430">
        <v>46558190.02502881</v>
      </c>
      <c r="CS94" s="430">
        <v>10814299.531915214</v>
      </c>
      <c r="CT94" s="430">
        <v>10985527.882557729</v>
      </c>
      <c r="CU94" s="430">
        <v>3293877.8902320564</v>
      </c>
      <c r="CV94" s="430">
        <v>-743025</v>
      </c>
      <c r="CW94" s="430">
        <v>127782.64268277062</v>
      </c>
      <c r="CX94" s="430">
        <v>407096.08</v>
      </c>
      <c r="CY94" s="430">
        <v>46004114.626853779</v>
      </c>
      <c r="CZ94" s="519"/>
      <c r="DA94" s="524">
        <v>49775.726409999996</v>
      </c>
      <c r="DB94" s="524">
        <v>4769.3158391094548</v>
      </c>
      <c r="DC94" s="520">
        <f t="shared" si="71"/>
        <v>-1</v>
      </c>
      <c r="DD94" s="440">
        <v>15312</v>
      </c>
      <c r="DE94" s="450">
        <v>43456367.178099155</v>
      </c>
      <c r="DF94" s="440">
        <v>21895298.271247085</v>
      </c>
      <c r="DG94" s="440">
        <v>4206886.8499999996</v>
      </c>
      <c r="DH94" s="440">
        <v>2877537.2357999999</v>
      </c>
      <c r="DI94" s="440">
        <v>10789894.860651322</v>
      </c>
      <c r="DJ94" s="440">
        <v>3306874.487345282</v>
      </c>
      <c r="DK94" s="440">
        <v>2494170.1595986546</v>
      </c>
      <c r="DL94" s="440">
        <v>-707248</v>
      </c>
      <c r="DM94" s="440">
        <v>-44300</v>
      </c>
      <c r="DN94" s="440">
        <v>128242.47291566781</v>
      </c>
      <c r="DO94" s="457">
        <f t="shared" si="72"/>
        <v>1490989.1594588608</v>
      </c>
      <c r="DP94" s="459">
        <f t="shared" si="73"/>
        <v>97.373900173645552</v>
      </c>
      <c r="DQ94" s="440"/>
      <c r="DR94" s="450">
        <v>112508360</v>
      </c>
      <c r="DS94" s="440">
        <v>49387323.691500425</v>
      </c>
      <c r="DT94" s="440">
        <v>4316305.8536999999</v>
      </c>
      <c r="DU94" s="440">
        <v>46533851.115028784</v>
      </c>
      <c r="DV94" s="440">
        <v>11028873.290227223</v>
      </c>
      <c r="DW94" s="440">
        <v>3455338.8499999996</v>
      </c>
      <c r="DX94" s="457">
        <f t="shared" si="74"/>
        <v>2213332.8004564345</v>
      </c>
      <c r="DY94" s="459">
        <f t="shared" si="75"/>
        <v>144.54890285112555</v>
      </c>
      <c r="DZ94" s="440"/>
      <c r="EA94" s="457">
        <f t="shared" si="76"/>
        <v>-722343.64099757373</v>
      </c>
      <c r="EB94" s="459">
        <f t="shared" si="77"/>
        <v>-47.175002677479995</v>
      </c>
      <c r="ED94" s="457">
        <v>786129.06680846482</v>
      </c>
      <c r="EE94" s="458">
        <v>536608.46778726054</v>
      </c>
      <c r="EF94" s="458">
        <v>290258.8043640863</v>
      </c>
      <c r="EG94" s="458">
        <v>42353.864918497908</v>
      </c>
      <c r="EH94" s="459">
        <v>-5897.3375677809263</v>
      </c>
    </row>
    <row r="95" spans="1:138" x14ac:dyDescent="0.2">
      <c r="A95" s="67">
        <v>235</v>
      </c>
      <c r="B95" s="67" t="s">
        <v>217</v>
      </c>
      <c r="C95" s="67">
        <v>33</v>
      </c>
      <c r="D95" s="67">
        <v>10284</v>
      </c>
      <c r="E95" s="82">
        <v>37885392.209794693</v>
      </c>
      <c r="F95" s="67">
        <v>19113663.544016644</v>
      </c>
      <c r="G95" s="67">
        <v>4743482</v>
      </c>
      <c r="H95" s="67">
        <v>1562497.4084009242</v>
      </c>
      <c r="I95" s="67">
        <v>5309331.9580494426</v>
      </c>
      <c r="J95" s="67">
        <v>628326.58681047126</v>
      </c>
      <c r="K95" s="67">
        <v>10683108.89431571</v>
      </c>
      <c r="L95" s="67">
        <v>2756532</v>
      </c>
      <c r="M95" s="68">
        <v>377488.68</v>
      </c>
      <c r="N95" s="68">
        <v>255635.88400219445</v>
      </c>
      <c r="O95" s="68">
        <v>-299299.0202098607</v>
      </c>
      <c r="P95" s="168">
        <f t="shared" si="43"/>
        <v>7245375.7255908353</v>
      </c>
      <c r="Q95" s="169">
        <f t="shared" si="44"/>
        <v>704.52895036861491</v>
      </c>
      <c r="R95" s="67"/>
      <c r="S95" s="82">
        <v>76419562.679999992</v>
      </c>
      <c r="T95" s="67">
        <v>75839291.35513252</v>
      </c>
      <c r="U95" s="67">
        <v>2348359.030790702</v>
      </c>
      <c r="V95" s="67">
        <v>-842236.26413816959</v>
      </c>
      <c r="W95" s="67">
        <v>2095554.0760111404</v>
      </c>
      <c r="X95" s="67">
        <v>7877502.6799999997</v>
      </c>
      <c r="Y95" s="168">
        <f t="shared" si="45"/>
        <v>10898908.197796196</v>
      </c>
      <c r="Z95" s="169">
        <f t="shared" si="46"/>
        <v>1059.7927069035586</v>
      </c>
      <c r="AA95" s="67"/>
      <c r="AB95" s="77">
        <f t="shared" si="47"/>
        <v>-3653532.4722053604</v>
      </c>
      <c r="AC95" s="123">
        <f t="shared" si="48"/>
        <v>-355.26375653494364</v>
      </c>
      <c r="AE95" s="170"/>
      <c r="AF95" s="177">
        <v>3511079.810311405</v>
      </c>
      <c r="AG95" s="177">
        <v>3330022.5180450371</v>
      </c>
      <c r="AH95" s="177">
        <v>3160100.0054703043</v>
      </c>
      <c r="AI95" s="178">
        <v>2988074.7433090294</v>
      </c>
      <c r="AK95" s="67">
        <f t="shared" si="49"/>
        <v>56725627.811115876</v>
      </c>
      <c r="AL95" s="67">
        <f t="shared" si="50"/>
        <v>785861.6223897778</v>
      </c>
      <c r="AM95" s="67">
        <f t="shared" si="51"/>
        <v>-6151568.2221876122</v>
      </c>
      <c r="AN95" s="67">
        <f t="shared" si="52"/>
        <v>38534170.4702053</v>
      </c>
      <c r="AO95" s="67">
        <f t="shared" si="53"/>
        <v>0</v>
      </c>
      <c r="AP95" s="67">
        <f t="shared" si="54"/>
        <v>3511079.810311405</v>
      </c>
      <c r="AQ95" s="67">
        <f t="shared" si="55"/>
        <v>3330022.5180450371</v>
      </c>
      <c r="AR95" s="67">
        <f t="shared" si="56"/>
        <v>3160100.0054703043</v>
      </c>
      <c r="AS95" s="67">
        <f t="shared" si="57"/>
        <v>2988074.7433090294</v>
      </c>
      <c r="AT95" s="68">
        <v>8572</v>
      </c>
      <c r="AU95" s="68"/>
      <c r="AV95" s="68"/>
      <c r="AW95" s="68">
        <v>306</v>
      </c>
      <c r="AX95" s="68">
        <v>7430.7054334444574</v>
      </c>
      <c r="AY95" s="68">
        <v>10113.733531626949</v>
      </c>
      <c r="AZ95" s="68">
        <v>1456.2952059824499</v>
      </c>
      <c r="BA95" s="299"/>
      <c r="BB95" s="67"/>
      <c r="BC95" s="67"/>
      <c r="BD95" s="67"/>
      <c r="BE95" s="67"/>
      <c r="BF95" s="67"/>
      <c r="BG95" s="67"/>
      <c r="BH95" s="67"/>
      <c r="BN95" s="299"/>
      <c r="BO95" s="67">
        <v>40801351.832899645</v>
      </c>
      <c r="BP95" s="67">
        <v>36571861.420000002</v>
      </c>
      <c r="BQ95" s="67">
        <v>36012000</v>
      </c>
      <c r="BR95" s="67">
        <v>1009181.22</v>
      </c>
      <c r="BS95" s="67">
        <v>943000</v>
      </c>
      <c r="BT95" s="428">
        <v>0.74797149073409552</v>
      </c>
      <c r="BU95" s="428">
        <v>0.33464287704132489</v>
      </c>
      <c r="BV95" s="67">
        <f t="shared" si="58"/>
        <v>5998768.1613287665</v>
      </c>
      <c r="BW95" s="299"/>
      <c r="BX95" s="67">
        <v>78465711</v>
      </c>
      <c r="BY95" s="67">
        <v>40801351.832899645</v>
      </c>
      <c r="BZ95" s="67">
        <v>74872753.311993808</v>
      </c>
      <c r="CA95" s="67">
        <v>23477371.823780149</v>
      </c>
      <c r="CB95" s="67">
        <f t="shared" si="59"/>
        <v>7346515.0948983729</v>
      </c>
      <c r="CC95" s="67">
        <f t="shared" si="60"/>
        <v>1059.7927069035588</v>
      </c>
      <c r="CD95" s="67">
        <f t="shared" si="61"/>
        <v>409.18717876150896</v>
      </c>
      <c r="CE95" s="67">
        <f t="shared" si="62"/>
        <v>-650.60552814204993</v>
      </c>
      <c r="CF95" s="67">
        <f t="shared" si="63"/>
        <v>635.60552814204993</v>
      </c>
      <c r="CG95" s="67">
        <f t="shared" si="64"/>
        <v>620.60552814204993</v>
      </c>
      <c r="CH95" s="67">
        <f t="shared" si="65"/>
        <v>605.60552814204993</v>
      </c>
      <c r="CI95" s="67">
        <f t="shared" si="66"/>
        <v>590.60552814204993</v>
      </c>
      <c r="CJ95" s="67">
        <f t="shared" si="67"/>
        <v>6536567.2514128415</v>
      </c>
      <c r="CK95" s="67">
        <f t="shared" si="68"/>
        <v>6382307.2514128415</v>
      </c>
      <c r="CL95" s="67">
        <f t="shared" si="69"/>
        <v>6228047.2514128415</v>
      </c>
      <c r="CM95" s="67">
        <f t="shared" si="70"/>
        <v>6073787.2514128415</v>
      </c>
      <c r="CN95" s="299"/>
      <c r="CO95" s="430">
        <v>75839.291355132518</v>
      </c>
      <c r="CP95" s="430">
        <v>2348.359030790702</v>
      </c>
      <c r="CQ95" s="430">
        <v>4743.482</v>
      </c>
      <c r="CR95" s="430">
        <v>-842236.26413816959</v>
      </c>
      <c r="CS95" s="430">
        <v>5309331.9580494426</v>
      </c>
      <c r="CT95" s="430">
        <v>2095554.0760111404</v>
      </c>
      <c r="CU95" s="430">
        <v>628326.58681047126</v>
      </c>
      <c r="CV95" s="430">
        <v>2756532</v>
      </c>
      <c r="CW95" s="430">
        <v>255635.88400219445</v>
      </c>
      <c r="CX95" s="430">
        <v>377488.68</v>
      </c>
      <c r="CY95" s="430">
        <v>37885392.209794693</v>
      </c>
      <c r="CZ95" s="519"/>
      <c r="DA95" s="524">
        <v>75385.890719999996</v>
      </c>
      <c r="DB95" s="524">
        <v>2329.9943247920719</v>
      </c>
      <c r="DC95" s="520">
        <f t="shared" si="71"/>
        <v>-1</v>
      </c>
      <c r="DD95" s="440">
        <v>10396</v>
      </c>
      <c r="DE95" s="450">
        <v>40801351.832899645</v>
      </c>
      <c r="DF95" s="440">
        <v>17325845.435380146</v>
      </c>
      <c r="DG95" s="440">
        <v>4745738.344800001</v>
      </c>
      <c r="DH95" s="440">
        <v>1405788.0436</v>
      </c>
      <c r="DI95" s="440">
        <v>5293279.8363353834</v>
      </c>
      <c r="DJ95" s="440">
        <v>623644.93774711527</v>
      </c>
      <c r="DK95" s="440">
        <v>7363193.4739771765</v>
      </c>
      <c r="DL95" s="440">
        <v>2808288</v>
      </c>
      <c r="DM95" s="440">
        <v>150000</v>
      </c>
      <c r="DN95" s="440">
        <v>227821.98130478151</v>
      </c>
      <c r="DO95" s="457">
        <f t="shared" si="72"/>
        <v>-857751.779755041</v>
      </c>
      <c r="DP95" s="459">
        <f t="shared" si="73"/>
        <v>-82.507866463547614</v>
      </c>
      <c r="DQ95" s="440"/>
      <c r="DR95" s="450">
        <v>78465711</v>
      </c>
      <c r="DS95" s="440">
        <v>68018332.901793808</v>
      </c>
      <c r="DT95" s="440">
        <v>2108682.0653999997</v>
      </c>
      <c r="DU95" s="440">
        <v>-858258.26413816959</v>
      </c>
      <c r="DV95" s="440">
        <v>2079940.1437295652</v>
      </c>
      <c r="DW95" s="440">
        <v>7704026.344800001</v>
      </c>
      <c r="DX95" s="457">
        <f t="shared" si="74"/>
        <v>587012.19158521295</v>
      </c>
      <c r="DY95" s="459">
        <f t="shared" si="75"/>
        <v>56.465197343710365</v>
      </c>
      <c r="DZ95" s="440"/>
      <c r="EA95" s="457">
        <f t="shared" si="76"/>
        <v>-1444763.9713402539</v>
      </c>
      <c r="EB95" s="459">
        <f t="shared" si="77"/>
        <v>-138.97306380725797</v>
      </c>
      <c r="ED95" s="457">
        <v>1488070.7429396599</v>
      </c>
      <c r="EE95" s="458">
        <v>1318660.0750044168</v>
      </c>
      <c r="EF95" s="458">
        <v>1151402.2967293828</v>
      </c>
      <c r="EG95" s="458">
        <v>983088.57216849341</v>
      </c>
      <c r="EH95" s="459">
        <v>817000.00573454273</v>
      </c>
    </row>
    <row r="96" spans="1:138" x14ac:dyDescent="0.2">
      <c r="A96" s="67">
        <v>236</v>
      </c>
      <c r="B96" s="67" t="s">
        <v>218</v>
      </c>
      <c r="C96" s="67">
        <v>16</v>
      </c>
      <c r="D96" s="67">
        <v>4198</v>
      </c>
      <c r="E96" s="82">
        <v>12462742.395501509</v>
      </c>
      <c r="F96" s="67">
        <v>6054320.0421051886</v>
      </c>
      <c r="G96" s="67">
        <v>1153349</v>
      </c>
      <c r="H96" s="67">
        <v>679301.89569476387</v>
      </c>
      <c r="I96" s="67">
        <v>4237090.1774609219</v>
      </c>
      <c r="J96" s="67">
        <v>848784.58753831126</v>
      </c>
      <c r="K96" s="67">
        <v>-222858.80705181885</v>
      </c>
      <c r="L96" s="67">
        <v>812855</v>
      </c>
      <c r="M96" s="68">
        <v>62172.74</v>
      </c>
      <c r="N96" s="68">
        <v>34830.294450360147</v>
      </c>
      <c r="O96" s="68">
        <v>-122175.93220935388</v>
      </c>
      <c r="P96" s="168">
        <f t="shared" si="43"/>
        <v>1074926.6024868637</v>
      </c>
      <c r="Q96" s="169">
        <f t="shared" si="44"/>
        <v>256.05683718124436</v>
      </c>
      <c r="R96" s="67"/>
      <c r="S96" s="82">
        <v>29464268.049999997</v>
      </c>
      <c r="T96" s="67">
        <v>13548582.730070496</v>
      </c>
      <c r="U96" s="67">
        <v>1020958.3278737287</v>
      </c>
      <c r="V96" s="67">
        <v>10588684.759080874</v>
      </c>
      <c r="W96" s="67">
        <v>2830811.300060207</v>
      </c>
      <c r="X96" s="67">
        <v>2028376.74</v>
      </c>
      <c r="Y96" s="168">
        <f t="shared" si="45"/>
        <v>553145.80708530918</v>
      </c>
      <c r="Z96" s="169">
        <f t="shared" si="46"/>
        <v>131.76412746196027</v>
      </c>
      <c r="AA96" s="67"/>
      <c r="AB96" s="77">
        <f t="shared" si="47"/>
        <v>521780.79540155455</v>
      </c>
      <c r="AC96" s="123">
        <f t="shared" si="48"/>
        <v>124.29270971928408</v>
      </c>
      <c r="AE96" s="170"/>
      <c r="AF96" s="177">
        <v>-453990.9582400223</v>
      </c>
      <c r="AG96" s="177">
        <v>-401959.79847088706</v>
      </c>
      <c r="AH96" s="177">
        <v>-345383.34454135865</v>
      </c>
      <c r="AI96" s="178">
        <v>-289665.24755118263</v>
      </c>
      <c r="AK96" s="67">
        <f t="shared" si="49"/>
        <v>7494262.6879653074</v>
      </c>
      <c r="AL96" s="67">
        <f t="shared" si="50"/>
        <v>341656.43217896484</v>
      </c>
      <c r="AM96" s="67">
        <f t="shared" si="51"/>
        <v>6351594.5816199519</v>
      </c>
      <c r="AN96" s="67">
        <f t="shared" si="52"/>
        <v>17001525.654498488</v>
      </c>
      <c r="AO96" s="67">
        <f t="shared" si="53"/>
        <v>0</v>
      </c>
      <c r="AP96" s="67">
        <f t="shared" si="54"/>
        <v>-453990.9582400223</v>
      </c>
      <c r="AQ96" s="67">
        <f t="shared" si="55"/>
        <v>-401959.79847088706</v>
      </c>
      <c r="AR96" s="67">
        <f t="shared" si="56"/>
        <v>-345383.34454135865</v>
      </c>
      <c r="AS96" s="67">
        <f t="shared" si="57"/>
        <v>-289665.24755118263</v>
      </c>
      <c r="AT96" s="68">
        <v>1524</v>
      </c>
      <c r="AU96" s="68"/>
      <c r="AV96" s="68"/>
      <c r="AW96" s="68">
        <v>22</v>
      </c>
      <c r="AX96" s="68">
        <v>4849.3649998491592</v>
      </c>
      <c r="AY96" s="68">
        <v>-1875.4378391378082</v>
      </c>
      <c r="AZ96" s="68">
        <v>1991.616607772962</v>
      </c>
      <c r="BA96" s="299"/>
      <c r="BB96" s="67"/>
      <c r="BC96" s="67"/>
      <c r="BD96" s="67"/>
      <c r="BE96" s="67"/>
      <c r="BF96" s="67"/>
      <c r="BG96" s="67"/>
      <c r="BH96" s="67"/>
      <c r="BN96" s="299"/>
      <c r="BO96" s="67">
        <v>12257779.07342487</v>
      </c>
      <c r="BP96" s="67">
        <v>15315128.029999999</v>
      </c>
      <c r="BQ96" s="67">
        <v>16746000</v>
      </c>
      <c r="BR96" s="67">
        <v>333754.44</v>
      </c>
      <c r="BS96" s="67">
        <v>491000</v>
      </c>
      <c r="BT96" s="428">
        <v>0.55313997318200037</v>
      </c>
      <c r="BU96" s="428">
        <v>0.33464287704132489</v>
      </c>
      <c r="BV96" s="67">
        <f t="shared" si="58"/>
        <v>8110762.4870900288</v>
      </c>
      <c r="BW96" s="299"/>
      <c r="BX96" s="67">
        <v>28753700</v>
      </c>
      <c r="BY96" s="67">
        <v>12257779.07342487</v>
      </c>
      <c r="BZ96" s="67">
        <v>15487877.084037941</v>
      </c>
      <c r="CA96" s="67">
        <v>7847582.1244159061</v>
      </c>
      <c r="CB96" s="67">
        <f t="shared" si="59"/>
        <v>-105514.8718023173</v>
      </c>
      <c r="CC96" s="67">
        <f t="shared" si="60"/>
        <v>131.76412746196021</v>
      </c>
      <c r="CD96" s="67">
        <f t="shared" si="61"/>
        <v>313.11254643776078</v>
      </c>
      <c r="CE96" s="67">
        <f t="shared" si="62"/>
        <v>181.34841897580057</v>
      </c>
      <c r="CF96" s="67">
        <f t="shared" si="63"/>
        <v>-166.34841897580057</v>
      </c>
      <c r="CG96" s="67">
        <f t="shared" si="64"/>
        <v>-151.34841897580057</v>
      </c>
      <c r="CH96" s="67">
        <f t="shared" si="65"/>
        <v>-136.34841897580057</v>
      </c>
      <c r="CI96" s="67">
        <f t="shared" si="66"/>
        <v>-121.34841897580057</v>
      </c>
      <c r="CJ96" s="67">
        <f t="shared" si="67"/>
        <v>-698330.66286041075</v>
      </c>
      <c r="CK96" s="67">
        <f t="shared" si="68"/>
        <v>-635360.66286041075</v>
      </c>
      <c r="CL96" s="67">
        <f t="shared" si="69"/>
        <v>-572390.66286041075</v>
      </c>
      <c r="CM96" s="67">
        <f t="shared" si="70"/>
        <v>-509420.66286041081</v>
      </c>
      <c r="CN96" s="299"/>
      <c r="CO96" s="430">
        <v>13548.582730070497</v>
      </c>
      <c r="CP96" s="430">
        <v>1020.9583278737286</v>
      </c>
      <c r="CQ96" s="430">
        <v>1153.3489999999999</v>
      </c>
      <c r="CR96" s="430">
        <v>10588684.759080874</v>
      </c>
      <c r="CS96" s="430">
        <v>4237090.1774609219</v>
      </c>
      <c r="CT96" s="430">
        <v>2830811.300060207</v>
      </c>
      <c r="CU96" s="430">
        <v>848784.58753831126</v>
      </c>
      <c r="CV96" s="430">
        <v>812855</v>
      </c>
      <c r="CW96" s="430">
        <v>34830.294450360147</v>
      </c>
      <c r="CX96" s="430">
        <v>62172.74</v>
      </c>
      <c r="CY96" s="430">
        <v>12462742.395501509</v>
      </c>
      <c r="CZ96" s="519"/>
      <c r="DA96" s="524">
        <v>13370.90235</v>
      </c>
      <c r="DB96" s="524">
        <v>1012.9746946290709</v>
      </c>
      <c r="DC96" s="520">
        <f t="shared" si="71"/>
        <v>-1</v>
      </c>
      <c r="DD96" s="440">
        <v>4196</v>
      </c>
      <c r="DE96" s="450">
        <v>12257779.07342487</v>
      </c>
      <c r="DF96" s="440">
        <v>6095272.5526159061</v>
      </c>
      <c r="DG96" s="440">
        <v>1141137.6890000002</v>
      </c>
      <c r="DH96" s="440">
        <v>611171.88280000002</v>
      </c>
      <c r="DI96" s="440">
        <v>4230420.0781471999</v>
      </c>
      <c r="DJ96" s="440">
        <v>852891.37138425629</v>
      </c>
      <c r="DK96" s="440">
        <v>-104928.87593170683</v>
      </c>
      <c r="DL96" s="440">
        <v>791784</v>
      </c>
      <c r="DM96" s="440">
        <v>-174300</v>
      </c>
      <c r="DN96" s="440">
        <v>33867.384287306057</v>
      </c>
      <c r="DO96" s="457">
        <f t="shared" si="72"/>
        <v>1219537.0088780914</v>
      </c>
      <c r="DP96" s="459">
        <f t="shared" si="73"/>
        <v>290.64275712061283</v>
      </c>
      <c r="DQ96" s="440"/>
      <c r="DR96" s="450">
        <v>28753700</v>
      </c>
      <c r="DS96" s="440">
        <v>13429981.570837941</v>
      </c>
      <c r="DT96" s="440">
        <v>916757.82420000003</v>
      </c>
      <c r="DU96" s="440">
        <v>10582026.819080867</v>
      </c>
      <c r="DV96" s="440">
        <v>2844507.9791572182</v>
      </c>
      <c r="DW96" s="440">
        <v>1758621.6890000002</v>
      </c>
      <c r="DX96" s="457">
        <f t="shared" si="74"/>
        <v>778195.88227602839</v>
      </c>
      <c r="DY96" s="459">
        <f t="shared" si="75"/>
        <v>185.46136374547865</v>
      </c>
      <c r="DZ96" s="440"/>
      <c r="EA96" s="457">
        <f t="shared" si="76"/>
        <v>441341.12660206296</v>
      </c>
      <c r="EB96" s="459">
        <f t="shared" si="77"/>
        <v>105.18139337513416</v>
      </c>
      <c r="ED96" s="457">
        <v>-423861.78708387638</v>
      </c>
      <c r="EE96" s="458">
        <v>-366358.77464219491</v>
      </c>
      <c r="EF96" s="458">
        <v>-307986.81981745869</v>
      </c>
      <c r="EG96" s="458">
        <v>-250041.06262791381</v>
      </c>
      <c r="EH96" s="459">
        <v>-191197.19428978933</v>
      </c>
    </row>
    <row r="97" spans="1:138" x14ac:dyDescent="0.2">
      <c r="A97" s="67">
        <v>239</v>
      </c>
      <c r="B97" s="67" t="s">
        <v>219</v>
      </c>
      <c r="C97" s="67">
        <v>11</v>
      </c>
      <c r="D97" s="67">
        <v>2029</v>
      </c>
      <c r="E97" s="82">
        <v>5225467.9895875715</v>
      </c>
      <c r="F97" s="67">
        <v>2406003.8775131577</v>
      </c>
      <c r="G97" s="67">
        <v>513407</v>
      </c>
      <c r="H97" s="67">
        <v>777053.94450071757</v>
      </c>
      <c r="I97" s="67">
        <v>1146018.2062317771</v>
      </c>
      <c r="J97" s="67">
        <v>456946.48377625551</v>
      </c>
      <c r="K97" s="67">
        <v>287947.13172688341</v>
      </c>
      <c r="L97" s="67">
        <v>-468504</v>
      </c>
      <c r="M97" s="68">
        <v>204441.43</v>
      </c>
      <c r="N97" s="68">
        <v>17589.175491596583</v>
      </c>
      <c r="O97" s="68">
        <v>-59050.730455640543</v>
      </c>
      <c r="P97" s="168">
        <f t="shared" si="43"/>
        <v>56384.529197175216</v>
      </c>
      <c r="Q97" s="169">
        <f t="shared" si="44"/>
        <v>27.789319466325882</v>
      </c>
      <c r="R97" s="67"/>
      <c r="S97" s="82">
        <v>16615807.429999998</v>
      </c>
      <c r="T97" s="67">
        <v>5972294.2677753605</v>
      </c>
      <c r="U97" s="67">
        <v>1167874.9917718696</v>
      </c>
      <c r="V97" s="67">
        <v>7523208.0145848226</v>
      </c>
      <c r="W97" s="67">
        <v>1523978.2729186474</v>
      </c>
      <c r="X97" s="67">
        <v>249344.43</v>
      </c>
      <c r="Y97" s="168">
        <f t="shared" si="45"/>
        <v>-179107.45294929855</v>
      </c>
      <c r="Z97" s="169">
        <f t="shared" si="46"/>
        <v>-88.273756998175728</v>
      </c>
      <c r="AA97" s="67"/>
      <c r="AB97" s="77">
        <f t="shared" si="47"/>
        <v>235491.98214647378</v>
      </c>
      <c r="AC97" s="123">
        <f t="shared" si="48"/>
        <v>116.06307646450162</v>
      </c>
      <c r="AE97" s="170"/>
      <c r="AF97" s="177">
        <v>-202727.43245596645</v>
      </c>
      <c r="AG97" s="177">
        <v>-177579.45170999801</v>
      </c>
      <c r="AH97" s="177">
        <v>-150234.61487745561</v>
      </c>
      <c r="AI97" s="178">
        <v>-123304.64374999798</v>
      </c>
      <c r="AK97" s="67">
        <f t="shared" si="49"/>
        <v>3566290.3902622028</v>
      </c>
      <c r="AL97" s="67">
        <f t="shared" si="50"/>
        <v>390821.04727115203</v>
      </c>
      <c r="AM97" s="67">
        <f t="shared" si="51"/>
        <v>6377189.808353046</v>
      </c>
      <c r="AN97" s="67">
        <f t="shared" si="52"/>
        <v>11390339.440412426</v>
      </c>
      <c r="AO97" s="67">
        <f t="shared" si="53"/>
        <v>0</v>
      </c>
      <c r="AP97" s="67">
        <f t="shared" si="54"/>
        <v>-202727.43245596645</v>
      </c>
      <c r="AQ97" s="67">
        <f t="shared" si="55"/>
        <v>-177579.45170999801</v>
      </c>
      <c r="AR97" s="67">
        <f t="shared" si="56"/>
        <v>-150234.61487745561</v>
      </c>
      <c r="AS97" s="67">
        <f t="shared" si="57"/>
        <v>-123304.64374999798</v>
      </c>
      <c r="AT97" s="68">
        <v>762</v>
      </c>
      <c r="AU97" s="68"/>
      <c r="AV97" s="68"/>
      <c r="AW97" s="68">
        <v>18</v>
      </c>
      <c r="AX97" s="68">
        <v>5923.9351136597706</v>
      </c>
      <c r="AY97" s="68">
        <v>-880.71143132434133</v>
      </c>
      <c r="AZ97" s="68">
        <v>1067.9173410201231</v>
      </c>
      <c r="BA97" s="299"/>
      <c r="BB97" s="67"/>
      <c r="BC97" s="67"/>
      <c r="BD97" s="67"/>
      <c r="BE97" s="67"/>
      <c r="BF97" s="67"/>
      <c r="BG97" s="67"/>
      <c r="BH97" s="67"/>
      <c r="BN97" s="299"/>
      <c r="BO97" s="67">
        <v>4799290.6681616362</v>
      </c>
      <c r="BP97" s="67">
        <v>10925001.429999996</v>
      </c>
      <c r="BQ97" s="67">
        <v>10589000</v>
      </c>
      <c r="BR97" s="67">
        <v>237310.58000000002</v>
      </c>
      <c r="BS97" s="67">
        <v>281000</v>
      </c>
      <c r="BT97" s="428">
        <v>0.59713909435186319</v>
      </c>
      <c r="BU97" s="428">
        <v>0.33464287704132484</v>
      </c>
      <c r="BV97" s="67">
        <f t="shared" si="58"/>
        <v>7732168.72922232</v>
      </c>
      <c r="BW97" s="299"/>
      <c r="BX97" s="67">
        <v>16328288</v>
      </c>
      <c r="BY97" s="67">
        <v>4799290.6681616362</v>
      </c>
      <c r="BZ97" s="67">
        <v>7722608.2808365272</v>
      </c>
      <c r="CA97" s="67">
        <v>3721713.6246862463</v>
      </c>
      <c r="CB97" s="67">
        <f t="shared" si="59"/>
        <v>195595.05111391479</v>
      </c>
      <c r="CC97" s="67">
        <f t="shared" si="60"/>
        <v>-88.273756998175472</v>
      </c>
      <c r="CD97" s="67">
        <f t="shared" si="61"/>
        <v>11.376628408007752</v>
      </c>
      <c r="CE97" s="67">
        <f t="shared" si="62"/>
        <v>99.650385406183219</v>
      </c>
      <c r="CF97" s="67">
        <f t="shared" si="63"/>
        <v>-84.650385406183219</v>
      </c>
      <c r="CG97" s="67">
        <f t="shared" si="64"/>
        <v>-69.650385406183219</v>
      </c>
      <c r="CH97" s="67">
        <f t="shared" si="65"/>
        <v>-54.650385406183219</v>
      </c>
      <c r="CI97" s="67">
        <f t="shared" si="66"/>
        <v>-39.650385406183219</v>
      </c>
      <c r="CJ97" s="67">
        <f t="shared" si="67"/>
        <v>-171755.63198914574</v>
      </c>
      <c r="CK97" s="67">
        <f t="shared" si="68"/>
        <v>-141320.63198914574</v>
      </c>
      <c r="CL97" s="67">
        <f t="shared" si="69"/>
        <v>-110885.63198914575</v>
      </c>
      <c r="CM97" s="67">
        <f t="shared" si="70"/>
        <v>-80450.631989145753</v>
      </c>
      <c r="CN97" s="299"/>
      <c r="CO97" s="430">
        <v>5972.2942677753608</v>
      </c>
      <c r="CP97" s="430">
        <v>1167.8749917718696</v>
      </c>
      <c r="CQ97" s="430">
        <v>513.40700000000004</v>
      </c>
      <c r="CR97" s="430">
        <v>7523208.0145848226</v>
      </c>
      <c r="CS97" s="430">
        <v>1146018.2062317771</v>
      </c>
      <c r="CT97" s="430">
        <v>1523978.2729186474</v>
      </c>
      <c r="CU97" s="430">
        <v>456946.48377625551</v>
      </c>
      <c r="CV97" s="430">
        <v>-468504</v>
      </c>
      <c r="CW97" s="430">
        <v>17589.175491596583</v>
      </c>
      <c r="CX97" s="430">
        <v>204441.43</v>
      </c>
      <c r="CY97" s="430">
        <v>5225467.9895875715</v>
      </c>
      <c r="CZ97" s="519"/>
      <c r="DA97" s="524">
        <v>5987.7791500000003</v>
      </c>
      <c r="DB97" s="524">
        <v>1158.7404891499771</v>
      </c>
      <c r="DC97" s="520">
        <f t="shared" si="71"/>
        <v>-1</v>
      </c>
      <c r="DD97" s="440">
        <v>2095</v>
      </c>
      <c r="DE97" s="450">
        <v>4799290.6681616362</v>
      </c>
      <c r="DF97" s="440">
        <v>2507767.7321862462</v>
      </c>
      <c r="DG97" s="440">
        <v>514825.92050000007</v>
      </c>
      <c r="DH97" s="440">
        <v>699119.97199999995</v>
      </c>
      <c r="DI97" s="440">
        <v>1142644.8151471829</v>
      </c>
      <c r="DJ97" s="440">
        <v>457325.71316834074</v>
      </c>
      <c r="DK97" s="440">
        <v>195498.780700011</v>
      </c>
      <c r="DL97" s="440">
        <v>-468504</v>
      </c>
      <c r="DM97" s="440">
        <v>152200</v>
      </c>
      <c r="DN97" s="440">
        <v>17734.896038565239</v>
      </c>
      <c r="DO97" s="457">
        <f t="shared" si="72"/>
        <v>419323.16157870926</v>
      </c>
      <c r="DP97" s="459">
        <f t="shared" si="73"/>
        <v>200.15425373685406</v>
      </c>
      <c r="DQ97" s="440"/>
      <c r="DR97" s="450">
        <v>16328288</v>
      </c>
      <c r="DS97" s="440">
        <v>6159102.4023365276</v>
      </c>
      <c r="DT97" s="440">
        <v>1048679.9579999999</v>
      </c>
      <c r="DU97" s="440">
        <v>7519848.4045848232</v>
      </c>
      <c r="DV97" s="440">
        <v>1525243.0541884638</v>
      </c>
      <c r="DW97" s="440">
        <v>198521.92050000007</v>
      </c>
      <c r="DX97" s="457">
        <f t="shared" si="74"/>
        <v>123107.73960981518</v>
      </c>
      <c r="DY97" s="459">
        <f t="shared" si="75"/>
        <v>58.762644205162374</v>
      </c>
      <c r="DZ97" s="440"/>
      <c r="EA97" s="457">
        <f t="shared" si="76"/>
        <v>296215.42196889408</v>
      </c>
      <c r="EB97" s="459">
        <f t="shared" si="77"/>
        <v>141.39160953169167</v>
      </c>
      <c r="ED97" s="457">
        <v>-287488.24935435434</v>
      </c>
      <c r="EE97" s="458">
        <v>-258777.85586881512</v>
      </c>
      <c r="EF97" s="458">
        <v>-229633.61245656002</v>
      </c>
      <c r="EG97" s="458">
        <v>-200702.16314481158</v>
      </c>
      <c r="EH97" s="459">
        <v>-171322.30037827897</v>
      </c>
    </row>
    <row r="98" spans="1:138" x14ac:dyDescent="0.2">
      <c r="A98" s="67">
        <v>240</v>
      </c>
      <c r="B98" s="67" t="s">
        <v>220</v>
      </c>
      <c r="C98" s="67">
        <v>19</v>
      </c>
      <c r="D98" s="67">
        <v>19499</v>
      </c>
      <c r="E98" s="82">
        <v>45579697.242829472</v>
      </c>
      <c r="F98" s="67">
        <v>33050820.195877034</v>
      </c>
      <c r="G98" s="67">
        <v>7358835</v>
      </c>
      <c r="H98" s="67">
        <v>3529056.2208363204</v>
      </c>
      <c r="I98" s="67">
        <v>6697633.6112783607</v>
      </c>
      <c r="J98" s="67">
        <v>3179748.339460317</v>
      </c>
      <c r="K98" s="67">
        <v>-7432886.2609428847</v>
      </c>
      <c r="L98" s="67">
        <v>1177870</v>
      </c>
      <c r="M98" s="68">
        <v>1243364.01</v>
      </c>
      <c r="N98" s="68">
        <v>207014.27171614004</v>
      </c>
      <c r="O98" s="68">
        <v>-567486.54172229429</v>
      </c>
      <c r="P98" s="168">
        <f t="shared" si="43"/>
        <v>2864271.603673521</v>
      </c>
      <c r="Q98" s="169">
        <f t="shared" si="44"/>
        <v>146.89325625280892</v>
      </c>
      <c r="R98" s="67"/>
      <c r="S98" s="82">
        <v>149336200.26999998</v>
      </c>
      <c r="T98" s="67">
        <v>77848752.375884727</v>
      </c>
      <c r="U98" s="67">
        <v>5304003.0670198556</v>
      </c>
      <c r="V98" s="67">
        <v>43951446.774061777</v>
      </c>
      <c r="W98" s="67">
        <v>10604890.407821713</v>
      </c>
      <c r="X98" s="67">
        <v>9780069.0099999998</v>
      </c>
      <c r="Y98" s="168">
        <f t="shared" si="45"/>
        <v>-1847038.6352119148</v>
      </c>
      <c r="Z98" s="169">
        <f t="shared" si="46"/>
        <v>-94.724787692287535</v>
      </c>
      <c r="AA98" s="67"/>
      <c r="AB98" s="77">
        <f t="shared" si="47"/>
        <v>4711310.2388854362</v>
      </c>
      <c r="AC98" s="123">
        <f t="shared" si="48"/>
        <v>241.61804394509647</v>
      </c>
      <c r="AE98" s="170"/>
      <c r="AF98" s="177">
        <v>-4396437.9104402801</v>
      </c>
      <c r="AG98" s="177">
        <v>-4154761.9732467667</v>
      </c>
      <c r="AH98" s="177">
        <v>-3891973.9134154487</v>
      </c>
      <c r="AI98" s="178">
        <v>-3633172.7763950955</v>
      </c>
      <c r="AK98" s="67">
        <f t="shared" si="49"/>
        <v>44797932.180007696</v>
      </c>
      <c r="AL98" s="67">
        <f t="shared" si="50"/>
        <v>1774946.8461835352</v>
      </c>
      <c r="AM98" s="67">
        <f t="shared" si="51"/>
        <v>37253813.162783414</v>
      </c>
      <c r="AN98" s="67">
        <f t="shared" si="52"/>
        <v>103756503.02717051</v>
      </c>
      <c r="AO98" s="67">
        <f t="shared" si="53"/>
        <v>0</v>
      </c>
      <c r="AP98" s="67">
        <f t="shared" si="54"/>
        <v>-4396437.9104402801</v>
      </c>
      <c r="AQ98" s="67">
        <f t="shared" si="55"/>
        <v>-4154761.9732467667</v>
      </c>
      <c r="AR98" s="67">
        <f t="shared" si="56"/>
        <v>-3891973.9134154487</v>
      </c>
      <c r="AS98" s="67">
        <f t="shared" si="57"/>
        <v>-3633172.7763950955</v>
      </c>
      <c r="AT98" s="68">
        <v>5065</v>
      </c>
      <c r="AU98" s="68"/>
      <c r="AV98" s="68"/>
      <c r="AW98" s="68">
        <v>93</v>
      </c>
      <c r="AX98" s="68">
        <v>35521.056245612221</v>
      </c>
      <c r="AY98" s="68">
        <v>-1488.8096487613861</v>
      </c>
      <c r="AZ98" s="68">
        <v>7436.9707038691931</v>
      </c>
      <c r="BA98" s="299"/>
      <c r="BB98" s="67"/>
      <c r="BC98" s="67"/>
      <c r="BD98" s="67"/>
      <c r="BE98" s="67"/>
      <c r="BF98" s="67"/>
      <c r="BG98" s="67"/>
      <c r="BH98" s="67"/>
      <c r="BN98" s="299"/>
      <c r="BO98" s="67">
        <v>46695893.532581434</v>
      </c>
      <c r="BP98" s="67">
        <v>97060864.01000002</v>
      </c>
      <c r="BQ98" s="67">
        <v>98715000</v>
      </c>
      <c r="BR98" s="67">
        <v>2379614.2400000002</v>
      </c>
      <c r="BS98" s="67">
        <v>2540000</v>
      </c>
      <c r="BT98" s="428">
        <v>0.57544829959130839</v>
      </c>
      <c r="BU98" s="428">
        <v>0.33464287704132478</v>
      </c>
      <c r="BV98" s="67">
        <f t="shared" si="58"/>
        <v>37246068.970201932</v>
      </c>
      <c r="BW98" s="299"/>
      <c r="BX98" s="67">
        <v>148620000</v>
      </c>
      <c r="BY98" s="67">
        <v>46695893.532581434</v>
      </c>
      <c r="BZ98" s="67">
        <v>91972184.766871467</v>
      </c>
      <c r="CA98" s="67">
        <v>44456314.156140894</v>
      </c>
      <c r="CB98" s="67">
        <f t="shared" si="59"/>
        <v>-6106123.9103866788</v>
      </c>
      <c r="CC98" s="67">
        <f t="shared" si="60"/>
        <v>-94.724787692287165</v>
      </c>
      <c r="CD98" s="67">
        <f t="shared" si="61"/>
        <v>244.03920693122839</v>
      </c>
      <c r="CE98" s="67">
        <f t="shared" si="62"/>
        <v>338.76399462351554</v>
      </c>
      <c r="CF98" s="67">
        <f t="shared" si="63"/>
        <v>-323.76399462351554</v>
      </c>
      <c r="CG98" s="67">
        <f t="shared" si="64"/>
        <v>-308.76399462351554</v>
      </c>
      <c r="CH98" s="67">
        <f t="shared" si="65"/>
        <v>-293.76399462351554</v>
      </c>
      <c r="CI98" s="67">
        <f t="shared" si="66"/>
        <v>-278.76399462351554</v>
      </c>
      <c r="CJ98" s="67">
        <f t="shared" si="67"/>
        <v>-6313074.1311639296</v>
      </c>
      <c r="CK98" s="67">
        <f t="shared" si="68"/>
        <v>-6020589.1311639296</v>
      </c>
      <c r="CL98" s="67">
        <f t="shared" si="69"/>
        <v>-5728104.1311639296</v>
      </c>
      <c r="CM98" s="67">
        <f t="shared" si="70"/>
        <v>-5435619.1311639296</v>
      </c>
      <c r="CN98" s="299"/>
      <c r="CO98" s="430">
        <v>77848.752375884724</v>
      </c>
      <c r="CP98" s="430">
        <v>5304.0030670198557</v>
      </c>
      <c r="CQ98" s="430">
        <v>7358.835</v>
      </c>
      <c r="CR98" s="430">
        <v>43951446.774061777</v>
      </c>
      <c r="CS98" s="430">
        <v>6697633.6112783607</v>
      </c>
      <c r="CT98" s="430">
        <v>10604890.407821713</v>
      </c>
      <c r="CU98" s="430">
        <v>3179748.339460317</v>
      </c>
      <c r="CV98" s="430">
        <v>1177870</v>
      </c>
      <c r="CW98" s="430">
        <v>207014.27171614004</v>
      </c>
      <c r="CX98" s="430">
        <v>1243364.01</v>
      </c>
      <c r="CY98" s="430">
        <v>45579697.242829472</v>
      </c>
      <c r="CZ98" s="519"/>
      <c r="DA98" s="524">
        <v>78232.879709999994</v>
      </c>
      <c r="DB98" s="524">
        <v>5262.5234126929872</v>
      </c>
      <c r="DC98" s="520">
        <f t="shared" si="71"/>
        <v>-1</v>
      </c>
      <c r="DD98" s="440">
        <v>19982</v>
      </c>
      <c r="DE98" s="450">
        <v>46695893.532581434</v>
      </c>
      <c r="DF98" s="440">
        <v>34428038.483540893</v>
      </c>
      <c r="DG98" s="440">
        <v>6853163.1804</v>
      </c>
      <c r="DH98" s="440">
        <v>3175112.4922000002</v>
      </c>
      <c r="DI98" s="440">
        <v>6665522.537387928</v>
      </c>
      <c r="DJ98" s="440">
        <v>3184813.843092137</v>
      </c>
      <c r="DK98" s="440">
        <v>-6108357.624492256</v>
      </c>
      <c r="DL98" s="440">
        <v>1211424</v>
      </c>
      <c r="DM98" s="440">
        <v>1474000</v>
      </c>
      <c r="DN98" s="440">
        <v>210625.14709499295</v>
      </c>
      <c r="DO98" s="457">
        <f t="shared" si="72"/>
        <v>4398448.5266422629</v>
      </c>
      <c r="DP98" s="459">
        <f t="shared" si="73"/>
        <v>220.12053481344526</v>
      </c>
      <c r="DQ98" s="440"/>
      <c r="DR98" s="450">
        <v>148620000</v>
      </c>
      <c r="DS98" s="440">
        <v>80356352.848171473</v>
      </c>
      <c r="DT98" s="440">
        <v>4762668.7383000003</v>
      </c>
      <c r="DU98" s="440">
        <v>43919431.234061748</v>
      </c>
      <c r="DV98" s="440">
        <v>10621784.54696133</v>
      </c>
      <c r="DW98" s="440">
        <v>9538587.180399999</v>
      </c>
      <c r="DX98" s="457">
        <f t="shared" si="74"/>
        <v>578824.54789453745</v>
      </c>
      <c r="DY98" s="459">
        <f t="shared" si="75"/>
        <v>28.967297962893475</v>
      </c>
      <c r="DZ98" s="440"/>
      <c r="EA98" s="457">
        <f t="shared" si="76"/>
        <v>3819623.9787477255</v>
      </c>
      <c r="EB98" s="459">
        <f t="shared" si="77"/>
        <v>191.15323685055176</v>
      </c>
      <c r="ED98" s="457">
        <v>-3736384.6645788797</v>
      </c>
      <c r="EE98" s="458">
        <v>-3462546.438980767</v>
      </c>
      <c r="EF98" s="458">
        <v>-3184570.1755613489</v>
      </c>
      <c r="EG98" s="458">
        <v>-2908623.531099603</v>
      </c>
      <c r="EH98" s="459">
        <v>-2628399.9426505077</v>
      </c>
    </row>
    <row r="99" spans="1:138" x14ac:dyDescent="0.2">
      <c r="A99" s="67">
        <v>320</v>
      </c>
      <c r="B99" s="67" t="s">
        <v>221</v>
      </c>
      <c r="C99" s="67">
        <v>19</v>
      </c>
      <c r="D99" s="67">
        <v>6996</v>
      </c>
      <c r="E99" s="82">
        <v>21566163.666133188</v>
      </c>
      <c r="F99" s="67">
        <v>10154019.335774446</v>
      </c>
      <c r="G99" s="67">
        <v>4501173</v>
      </c>
      <c r="H99" s="67">
        <v>1167593.3916280244</v>
      </c>
      <c r="I99" s="67">
        <v>3486645.1223209403</v>
      </c>
      <c r="J99" s="67">
        <v>1319142.2897712681</v>
      </c>
      <c r="K99" s="67">
        <v>323770.66625699226</v>
      </c>
      <c r="L99" s="67">
        <v>-305796</v>
      </c>
      <c r="M99" s="68">
        <v>5596159.4400000004</v>
      </c>
      <c r="N99" s="68">
        <v>63939.420130566163</v>
      </c>
      <c r="O99" s="68">
        <v>-203607.15143797992</v>
      </c>
      <c r="P99" s="168">
        <f t="shared" si="43"/>
        <v>4536875.8483110694</v>
      </c>
      <c r="Q99" s="169">
        <f t="shared" si="44"/>
        <v>648.49569015309737</v>
      </c>
      <c r="R99" s="67"/>
      <c r="S99" s="82">
        <v>60799138.989999995</v>
      </c>
      <c r="T99" s="67">
        <v>23951498.214400679</v>
      </c>
      <c r="U99" s="67">
        <v>1754837.1413475389</v>
      </c>
      <c r="V99" s="67">
        <v>26196052.277605809</v>
      </c>
      <c r="W99" s="67">
        <v>4399517.798858773</v>
      </c>
      <c r="X99" s="67">
        <v>9791536.4400000013</v>
      </c>
      <c r="Y99" s="168">
        <f t="shared" si="45"/>
        <v>5294302.8822128102</v>
      </c>
      <c r="Z99" s="169">
        <f t="shared" si="46"/>
        <v>756.7614182694125</v>
      </c>
      <c r="AA99" s="67"/>
      <c r="AB99" s="77">
        <f t="shared" si="47"/>
        <v>-757427.0339017408</v>
      </c>
      <c r="AC99" s="123">
        <f t="shared" si="48"/>
        <v>-108.26572811631515</v>
      </c>
      <c r="AE99" s="170"/>
      <c r="AF99" s="177">
        <v>660519.3304196134</v>
      </c>
      <c r="AG99" s="177">
        <v>537349.6671858998</v>
      </c>
      <c r="AH99" s="177">
        <v>421754.77240052127</v>
      </c>
      <c r="AI99" s="178">
        <v>304729.41902826575</v>
      </c>
      <c r="AK99" s="67">
        <f t="shared" si="49"/>
        <v>13797478.878626233</v>
      </c>
      <c r="AL99" s="67">
        <f t="shared" si="50"/>
        <v>587243.74971951451</v>
      </c>
      <c r="AM99" s="67">
        <f t="shared" si="51"/>
        <v>22709407.15528487</v>
      </c>
      <c r="AN99" s="67">
        <f t="shared" si="52"/>
        <v>39232975.323866807</v>
      </c>
      <c r="AO99" s="67">
        <f t="shared" si="53"/>
        <v>0</v>
      </c>
      <c r="AP99" s="67">
        <f t="shared" si="54"/>
        <v>660519.3304196134</v>
      </c>
      <c r="AQ99" s="67">
        <f t="shared" si="55"/>
        <v>537349.6671858998</v>
      </c>
      <c r="AR99" s="67">
        <f t="shared" si="56"/>
        <v>421754.77240052127</v>
      </c>
      <c r="AS99" s="67">
        <f t="shared" si="57"/>
        <v>304729.41902826575</v>
      </c>
      <c r="AT99" s="68">
        <v>2913</v>
      </c>
      <c r="AU99" s="68"/>
      <c r="AV99" s="68"/>
      <c r="AW99" s="68">
        <v>72</v>
      </c>
      <c r="AX99" s="68">
        <v>20227.946068837373</v>
      </c>
      <c r="AY99" s="68">
        <v>-1939.8811633837581</v>
      </c>
      <c r="AZ99" s="68">
        <v>3089.3839596253074</v>
      </c>
      <c r="BA99" s="299"/>
      <c r="BB99" s="67"/>
      <c r="BC99" s="67"/>
      <c r="BD99" s="67"/>
      <c r="BE99" s="67"/>
      <c r="BF99" s="67"/>
      <c r="BG99" s="67"/>
      <c r="BH99" s="67"/>
      <c r="BN99" s="299"/>
      <c r="BO99" s="67">
        <v>21757484.374337003</v>
      </c>
      <c r="BP99" s="67">
        <v>33726933.050000004</v>
      </c>
      <c r="BQ99" s="67">
        <v>40579000</v>
      </c>
      <c r="BR99" s="67">
        <v>732877</v>
      </c>
      <c r="BS99" s="67">
        <v>850000</v>
      </c>
      <c r="BT99" s="428">
        <v>0.57605911559764522</v>
      </c>
      <c r="BU99" s="428">
        <v>0.33464287704132489</v>
      </c>
      <c r="BV99" s="67">
        <f t="shared" si="58"/>
        <v>26113553.330629367</v>
      </c>
      <c r="BW99" s="299"/>
      <c r="BX99" s="67">
        <v>59859500</v>
      </c>
      <c r="BY99" s="67">
        <v>21757484.374337003</v>
      </c>
      <c r="BZ99" s="67">
        <v>31226493.501158431</v>
      </c>
      <c r="CA99" s="67">
        <v>16285143.459162848</v>
      </c>
      <c r="CB99" s="67">
        <f t="shared" si="59"/>
        <v>1217742.5813423332</v>
      </c>
      <c r="CC99" s="67">
        <f t="shared" si="60"/>
        <v>756.7614182694125</v>
      </c>
      <c r="CD99" s="67">
        <f t="shared" si="61"/>
        <v>805.38234917587056</v>
      </c>
      <c r="CE99" s="67">
        <f t="shared" si="62"/>
        <v>48.620930906458057</v>
      </c>
      <c r="CF99" s="67">
        <f t="shared" si="63"/>
        <v>-33.620930906458057</v>
      </c>
      <c r="CG99" s="67">
        <f t="shared" si="64"/>
        <v>-18.620930906458057</v>
      </c>
      <c r="CH99" s="67">
        <f t="shared" si="65"/>
        <v>-3.6209309064580566</v>
      </c>
      <c r="CI99" s="67">
        <f t="shared" si="66"/>
        <v>0</v>
      </c>
      <c r="CJ99" s="67">
        <f t="shared" si="67"/>
        <v>-235212.03262158055</v>
      </c>
      <c r="CK99" s="67">
        <f t="shared" si="68"/>
        <v>-130272.03262158057</v>
      </c>
      <c r="CL99" s="67">
        <f t="shared" si="69"/>
        <v>-25332.032621580565</v>
      </c>
      <c r="CM99" s="67">
        <f t="shared" si="70"/>
        <v>0</v>
      </c>
      <c r="CN99" s="299"/>
      <c r="CO99" s="430">
        <v>23951.498214400679</v>
      </c>
      <c r="CP99" s="430">
        <v>1754.8371413475388</v>
      </c>
      <c r="CQ99" s="430">
        <v>4501.1729999999998</v>
      </c>
      <c r="CR99" s="430">
        <v>26196052.277605809</v>
      </c>
      <c r="CS99" s="430">
        <v>3486645.1223209403</v>
      </c>
      <c r="CT99" s="430">
        <v>4399517.798858773</v>
      </c>
      <c r="CU99" s="430">
        <v>1319142.2897712681</v>
      </c>
      <c r="CV99" s="430">
        <v>-305796</v>
      </c>
      <c r="CW99" s="430">
        <v>63939.420130566163</v>
      </c>
      <c r="CX99" s="430">
        <v>5596159.4400000004</v>
      </c>
      <c r="CY99" s="430">
        <v>21566163.666133188</v>
      </c>
      <c r="CZ99" s="519"/>
      <c r="DA99" s="524">
        <v>24732.590070000002</v>
      </c>
      <c r="DB99" s="524">
        <v>1741.112799429221</v>
      </c>
      <c r="DC99" s="520">
        <f t="shared" si="71"/>
        <v>-1</v>
      </c>
      <c r="DD99" s="440">
        <v>7105</v>
      </c>
      <c r="DE99" s="450">
        <v>21757484.374337003</v>
      </c>
      <c r="DF99" s="440">
        <v>10765209.017762849</v>
      </c>
      <c r="DG99" s="440">
        <v>4469443.8479999993</v>
      </c>
      <c r="DH99" s="440">
        <v>1050490.5934000001</v>
      </c>
      <c r="DI99" s="440">
        <v>3475397.0405660975</v>
      </c>
      <c r="DJ99" s="440">
        <v>1323000.0753025068</v>
      </c>
      <c r="DK99" s="440">
        <v>1216368.6201065173</v>
      </c>
      <c r="DL99" s="440">
        <v>-236808</v>
      </c>
      <c r="DM99" s="440">
        <v>1600000</v>
      </c>
      <c r="DN99" s="440">
        <v>66231.008922782974</v>
      </c>
      <c r="DO99" s="457">
        <f t="shared" si="72"/>
        <v>1971847.8297237493</v>
      </c>
      <c r="DP99" s="459">
        <f t="shared" si="73"/>
        <v>277.52960305752981</v>
      </c>
      <c r="DQ99" s="440"/>
      <c r="DR99" s="450">
        <v>59859500</v>
      </c>
      <c r="DS99" s="440">
        <v>25181313.763058431</v>
      </c>
      <c r="DT99" s="440">
        <v>1575735.8901</v>
      </c>
      <c r="DU99" s="440">
        <v>26184852.717605803</v>
      </c>
      <c r="DV99" s="440">
        <v>4412384.0349278143</v>
      </c>
      <c r="DW99" s="440">
        <v>5832635.8479999993</v>
      </c>
      <c r="DX99" s="457">
        <f t="shared" si="74"/>
        <v>3327422.2536920533</v>
      </c>
      <c r="DY99" s="459">
        <f t="shared" si="75"/>
        <v>468.32121797213978</v>
      </c>
      <c r="DZ99" s="440"/>
      <c r="EA99" s="457">
        <f t="shared" si="76"/>
        <v>-1355574.4239683039</v>
      </c>
      <c r="EB99" s="459">
        <f t="shared" si="77"/>
        <v>-190.79161491460999</v>
      </c>
      <c r="ED99" s="457">
        <v>1385171.8279903992</v>
      </c>
      <c r="EE99" s="458">
        <v>1269390.4894294236</v>
      </c>
      <c r="EF99" s="458">
        <v>1155080.5130304128</v>
      </c>
      <c r="EG99" s="458">
        <v>1040048.8649922138</v>
      </c>
      <c r="EH99" s="459">
        <v>926537.96998324676</v>
      </c>
    </row>
    <row r="100" spans="1:138" x14ac:dyDescent="0.2">
      <c r="A100" s="67">
        <v>241</v>
      </c>
      <c r="B100" s="67" t="s">
        <v>222</v>
      </c>
      <c r="C100" s="67">
        <v>19</v>
      </c>
      <c r="D100" s="67">
        <v>7771</v>
      </c>
      <c r="E100" s="82">
        <v>20844911.125743538</v>
      </c>
      <c r="F100" s="67">
        <v>13441856.468674367</v>
      </c>
      <c r="G100" s="67">
        <v>3986691</v>
      </c>
      <c r="H100" s="67">
        <v>1257511.1178307014</v>
      </c>
      <c r="I100" s="67">
        <v>4006871.3423714028</v>
      </c>
      <c r="J100" s="67">
        <v>1170542.9307595924</v>
      </c>
      <c r="K100" s="67">
        <v>-1719366.1933264041</v>
      </c>
      <c r="L100" s="67">
        <v>-392168</v>
      </c>
      <c r="M100" s="68">
        <v>146453.17000000001</v>
      </c>
      <c r="N100" s="68">
        <v>88937.146888510208</v>
      </c>
      <c r="O100" s="68">
        <v>-226162.26040945426</v>
      </c>
      <c r="P100" s="168">
        <f t="shared" si="43"/>
        <v>916255.59704517724</v>
      </c>
      <c r="Q100" s="169">
        <f t="shared" si="44"/>
        <v>117.9070386108837</v>
      </c>
      <c r="R100" s="67"/>
      <c r="S100" s="82">
        <v>55341466.969999991</v>
      </c>
      <c r="T100" s="67">
        <v>32817955.671420921</v>
      </c>
      <c r="U100" s="67">
        <v>1889979.1922852902</v>
      </c>
      <c r="V100" s="67">
        <v>12678169.511247599</v>
      </c>
      <c r="W100" s="67">
        <v>3903918.8555603726</v>
      </c>
      <c r="X100" s="67">
        <v>3740976.17</v>
      </c>
      <c r="Y100" s="168">
        <f t="shared" si="45"/>
        <v>-310467.56948580593</v>
      </c>
      <c r="Z100" s="169">
        <f t="shared" si="46"/>
        <v>-39.952074312933462</v>
      </c>
      <c r="AA100" s="67"/>
      <c r="AB100" s="77">
        <f t="shared" si="47"/>
        <v>1226723.1665309831</v>
      </c>
      <c r="AC100" s="123">
        <f t="shared" si="48"/>
        <v>157.85911292381715</v>
      </c>
      <c r="AE100" s="170"/>
      <c r="AF100" s="177">
        <v>-1101236.0715852445</v>
      </c>
      <c r="AG100" s="177">
        <v>-1004920.1729273238</v>
      </c>
      <c r="AH100" s="177">
        <v>-900190.39124881872</v>
      </c>
      <c r="AI100" s="178">
        <v>-797049.53090802359</v>
      </c>
      <c r="AK100" s="67">
        <f t="shared" si="49"/>
        <v>19376099.202746555</v>
      </c>
      <c r="AL100" s="67">
        <f t="shared" si="50"/>
        <v>632468.07445458882</v>
      </c>
      <c r="AM100" s="67">
        <f t="shared" si="51"/>
        <v>8671298.1688761972</v>
      </c>
      <c r="AN100" s="67">
        <f t="shared" si="52"/>
        <v>34496555.844256453</v>
      </c>
      <c r="AO100" s="67">
        <f t="shared" si="53"/>
        <v>0</v>
      </c>
      <c r="AP100" s="67">
        <f t="shared" si="54"/>
        <v>-1101236.0715852445</v>
      </c>
      <c r="AQ100" s="67">
        <f t="shared" si="55"/>
        <v>-1004920.1729273238</v>
      </c>
      <c r="AR100" s="67">
        <f t="shared" si="56"/>
        <v>-900190.39124881872</v>
      </c>
      <c r="AS100" s="67">
        <f t="shared" si="57"/>
        <v>-797049.53090802359</v>
      </c>
      <c r="AT100" s="68">
        <v>1607</v>
      </c>
      <c r="AU100" s="68"/>
      <c r="AV100" s="68"/>
      <c r="AW100" s="68">
        <v>93</v>
      </c>
      <c r="AX100" s="68">
        <v>9145.0094902236706</v>
      </c>
      <c r="AY100" s="68">
        <v>393.23228370074992</v>
      </c>
      <c r="AZ100" s="68">
        <v>2746.4702780772018</v>
      </c>
      <c r="BA100" s="299"/>
      <c r="BB100" s="67"/>
      <c r="BC100" s="67"/>
      <c r="BD100" s="67"/>
      <c r="BE100" s="67"/>
      <c r="BF100" s="67"/>
      <c r="BG100" s="67"/>
      <c r="BH100" s="67"/>
      <c r="BN100" s="299"/>
      <c r="BO100" s="67">
        <v>20826784.229494348</v>
      </c>
      <c r="BP100" s="67">
        <v>31878960.259999998</v>
      </c>
      <c r="BQ100" s="67">
        <v>33709000</v>
      </c>
      <c r="BR100" s="67">
        <v>552809.84</v>
      </c>
      <c r="BS100" s="67">
        <v>587000</v>
      </c>
      <c r="BT100" s="428">
        <v>0.59041152339723502</v>
      </c>
      <c r="BU100" s="428">
        <v>0.33464287704132484</v>
      </c>
      <c r="BV100" s="67">
        <f t="shared" si="58"/>
        <v>9685307.9003505725</v>
      </c>
      <c r="BW100" s="299"/>
      <c r="BX100" s="67">
        <v>54431200</v>
      </c>
      <c r="BY100" s="67">
        <v>20826784.229494348</v>
      </c>
      <c r="BZ100" s="67">
        <v>39214792.699374631</v>
      </c>
      <c r="CA100" s="67">
        <v>19018358.663820226</v>
      </c>
      <c r="CB100" s="67">
        <f t="shared" si="59"/>
        <v>-1201225.7103825861</v>
      </c>
      <c r="CC100" s="67">
        <f t="shared" si="60"/>
        <v>-39.952074312933583</v>
      </c>
      <c r="CD100" s="67">
        <f t="shared" si="61"/>
        <v>213.68657063421045</v>
      </c>
      <c r="CE100" s="67">
        <f t="shared" si="62"/>
        <v>253.63864494714403</v>
      </c>
      <c r="CF100" s="67">
        <f t="shared" si="63"/>
        <v>-238.63864494714403</v>
      </c>
      <c r="CG100" s="67">
        <f t="shared" si="64"/>
        <v>-223.63864494714403</v>
      </c>
      <c r="CH100" s="67">
        <f t="shared" si="65"/>
        <v>-208.63864494714403</v>
      </c>
      <c r="CI100" s="67">
        <f t="shared" si="66"/>
        <v>-193.63864494714403</v>
      </c>
      <c r="CJ100" s="67">
        <f t="shared" si="67"/>
        <v>-1854460.9098842563</v>
      </c>
      <c r="CK100" s="67">
        <f t="shared" si="68"/>
        <v>-1737895.9098842563</v>
      </c>
      <c r="CL100" s="67">
        <f t="shared" si="69"/>
        <v>-1621330.9098842563</v>
      </c>
      <c r="CM100" s="67">
        <f t="shared" si="70"/>
        <v>-1504765.9098842563</v>
      </c>
      <c r="CN100" s="299"/>
      <c r="CO100" s="430">
        <v>32817.955671420917</v>
      </c>
      <c r="CP100" s="430">
        <v>1889.9791922852903</v>
      </c>
      <c r="CQ100" s="430">
        <v>3986.6909999999998</v>
      </c>
      <c r="CR100" s="430">
        <v>12678169.511247599</v>
      </c>
      <c r="CS100" s="430">
        <v>4006871.3423714028</v>
      </c>
      <c r="CT100" s="430">
        <v>3903918.8555603726</v>
      </c>
      <c r="CU100" s="430">
        <v>1170542.9307595924</v>
      </c>
      <c r="CV100" s="430">
        <v>-392168</v>
      </c>
      <c r="CW100" s="430">
        <v>88937.146888510208</v>
      </c>
      <c r="CX100" s="430">
        <v>146453.17000000001</v>
      </c>
      <c r="CY100" s="430">
        <v>20844911.125743538</v>
      </c>
      <c r="CZ100" s="519"/>
      <c r="DA100" s="524">
        <v>32973.393539999997</v>
      </c>
      <c r="DB100" s="524">
        <v>1875.2001927504061</v>
      </c>
      <c r="DC100" s="520">
        <f t="shared" si="71"/>
        <v>-1</v>
      </c>
      <c r="DD100" s="440">
        <v>7904</v>
      </c>
      <c r="DE100" s="450">
        <v>20826784.229494348</v>
      </c>
      <c r="DF100" s="440">
        <v>13898146.794420227</v>
      </c>
      <c r="DG100" s="440">
        <v>3988821.7726000003</v>
      </c>
      <c r="DH100" s="440">
        <v>1131390.0967999999</v>
      </c>
      <c r="DI100" s="440">
        <v>3994292.1343114018</v>
      </c>
      <c r="DJ100" s="440">
        <v>1176150.4663062114</v>
      </c>
      <c r="DK100" s="440">
        <v>-1201596.3587326356</v>
      </c>
      <c r="DL100" s="440">
        <v>-357449</v>
      </c>
      <c r="DM100" s="440">
        <v>-22200</v>
      </c>
      <c r="DN100" s="440">
        <v>89525.390882184685</v>
      </c>
      <c r="DO100" s="457">
        <f t="shared" si="72"/>
        <v>1870297.0670930445</v>
      </c>
      <c r="DP100" s="459">
        <f t="shared" si="73"/>
        <v>236.62665322533459</v>
      </c>
      <c r="DQ100" s="440"/>
      <c r="DR100" s="450">
        <v>54431200</v>
      </c>
      <c r="DS100" s="440">
        <v>33528885.781574626</v>
      </c>
      <c r="DT100" s="440">
        <v>1697085.1451999999</v>
      </c>
      <c r="DU100" s="440">
        <v>12665617.271247588</v>
      </c>
      <c r="DV100" s="440">
        <v>3922620.7443834133</v>
      </c>
      <c r="DW100" s="440">
        <v>3609172.7726000003</v>
      </c>
      <c r="DX100" s="457">
        <f t="shared" si="74"/>
        <v>992181.71500562131</v>
      </c>
      <c r="DY100" s="459">
        <f t="shared" si="75"/>
        <v>125.52906313330229</v>
      </c>
      <c r="DZ100" s="440"/>
      <c r="EA100" s="457">
        <f t="shared" si="76"/>
        <v>878115.35208742321</v>
      </c>
      <c r="EB100" s="459">
        <f t="shared" si="77"/>
        <v>111.09759009203229</v>
      </c>
      <c r="ED100" s="457">
        <v>-845189.5418987103</v>
      </c>
      <c r="EE100" s="458">
        <v>-736871.18862438935</v>
      </c>
      <c r="EF100" s="458">
        <v>-626916.00965996727</v>
      </c>
      <c r="EG100" s="458">
        <v>-517763.65865277895</v>
      </c>
      <c r="EH100" s="459">
        <v>-406919.53678801819</v>
      </c>
    </row>
    <row r="101" spans="1:138" x14ac:dyDescent="0.2">
      <c r="A101" s="67">
        <v>322</v>
      </c>
      <c r="B101" s="67" t="s">
        <v>127</v>
      </c>
      <c r="C101" s="67">
        <v>2</v>
      </c>
      <c r="D101" s="67">
        <v>6549</v>
      </c>
      <c r="E101" s="82">
        <v>19778992.07711459</v>
      </c>
      <c r="F101" s="67">
        <v>7547632.3072621236</v>
      </c>
      <c r="G101" s="67">
        <v>3497107</v>
      </c>
      <c r="H101" s="67">
        <v>1078528.1658379813</v>
      </c>
      <c r="I101" s="67">
        <v>6529992.5903664017</v>
      </c>
      <c r="J101" s="67">
        <v>1238023.7177783982</v>
      </c>
      <c r="K101" s="67">
        <v>1045250.9413045773</v>
      </c>
      <c r="L101" s="67">
        <v>-494756</v>
      </c>
      <c r="M101" s="68">
        <v>-142176.82</v>
      </c>
      <c r="N101" s="68">
        <v>58421.910854037655</v>
      </c>
      <c r="O101" s="68">
        <v>-190597.94665056182</v>
      </c>
      <c r="P101" s="168">
        <f t="shared" si="43"/>
        <v>388433.7896383694</v>
      </c>
      <c r="Q101" s="169">
        <f t="shared" si="44"/>
        <v>59.311923902636956</v>
      </c>
      <c r="R101" s="67"/>
      <c r="S101" s="82">
        <v>48816783.559999995</v>
      </c>
      <c r="T101" s="67">
        <v>20148609.272026308</v>
      </c>
      <c r="U101" s="67">
        <v>1620976.3578422947</v>
      </c>
      <c r="V101" s="67">
        <v>21514092.061993629</v>
      </c>
      <c r="W101" s="67">
        <v>4128976.3992933631</v>
      </c>
      <c r="X101" s="67">
        <v>2860174.18</v>
      </c>
      <c r="Y101" s="168">
        <f t="shared" si="45"/>
        <v>1456044.7111556008</v>
      </c>
      <c r="Z101" s="169">
        <f t="shared" si="46"/>
        <v>222.33084610713098</v>
      </c>
      <c r="AA101" s="67"/>
      <c r="AB101" s="77">
        <f t="shared" si="47"/>
        <v>-1067610.9215172315</v>
      </c>
      <c r="AC101" s="123">
        <f t="shared" si="48"/>
        <v>-163.01892220449403</v>
      </c>
      <c r="AE101" s="170"/>
      <c r="AF101" s="177">
        <v>976895.005264465</v>
      </c>
      <c r="AG101" s="177">
        <v>861595.10181712522</v>
      </c>
      <c r="AH101" s="177">
        <v>753385.98718741606</v>
      </c>
      <c r="AI101" s="178">
        <v>643837.81119614944</v>
      </c>
      <c r="AK101" s="67">
        <f t="shared" si="49"/>
        <v>12600976.964764185</v>
      </c>
      <c r="AL101" s="67">
        <f t="shared" si="50"/>
        <v>542448.19200431346</v>
      </c>
      <c r="AM101" s="67">
        <f t="shared" si="51"/>
        <v>14984099.471627228</v>
      </c>
      <c r="AN101" s="67">
        <f t="shared" si="52"/>
        <v>29037791.482885405</v>
      </c>
      <c r="AO101" s="67">
        <f t="shared" si="53"/>
        <v>0</v>
      </c>
      <c r="AP101" s="67">
        <f t="shared" si="54"/>
        <v>976895.005264465</v>
      </c>
      <c r="AQ101" s="67">
        <f t="shared" si="55"/>
        <v>861595.10181712522</v>
      </c>
      <c r="AR101" s="67">
        <f t="shared" si="56"/>
        <v>753385.98718741606</v>
      </c>
      <c r="AS101" s="67">
        <f t="shared" si="57"/>
        <v>643837.81119614944</v>
      </c>
      <c r="AT101" s="68">
        <v>3376</v>
      </c>
      <c r="AU101" s="68"/>
      <c r="AV101" s="68"/>
      <c r="AW101" s="68">
        <v>71</v>
      </c>
      <c r="AX101" s="68">
        <v>12171.78881652211</v>
      </c>
      <c r="AY101" s="68">
        <v>-2441.5336944576115</v>
      </c>
      <c r="AZ101" s="68">
        <v>2893.0560849200788</v>
      </c>
      <c r="BA101" s="299"/>
      <c r="BB101" s="67"/>
      <c r="BC101" s="67"/>
      <c r="BD101" s="67"/>
      <c r="BE101" s="67"/>
      <c r="BF101" s="67"/>
      <c r="BG101" s="67"/>
      <c r="BH101" s="67"/>
      <c r="BN101" s="299"/>
      <c r="BO101" s="67">
        <v>18993484.224669464</v>
      </c>
      <c r="BP101" s="67">
        <v>26039096.390000004</v>
      </c>
      <c r="BQ101" s="67">
        <v>29121000</v>
      </c>
      <c r="BR101" s="67">
        <v>499483.69</v>
      </c>
      <c r="BS101" s="67">
        <v>509000</v>
      </c>
      <c r="BT101" s="428">
        <v>0.6254018227580096</v>
      </c>
      <c r="BU101" s="428">
        <v>0.33464287704132473</v>
      </c>
      <c r="BV101" s="67">
        <f t="shared" si="58"/>
        <v>18920303.094446767</v>
      </c>
      <c r="BW101" s="299"/>
      <c r="BX101" s="67">
        <v>47196906</v>
      </c>
      <c r="BY101" s="67">
        <v>18993484.224669464</v>
      </c>
      <c r="BZ101" s="67">
        <v>24877673.240516935</v>
      </c>
      <c r="CA101" s="67">
        <v>12041563.974031907</v>
      </c>
      <c r="CB101" s="67">
        <f t="shared" si="59"/>
        <v>1246681.7329776303</v>
      </c>
      <c r="CC101" s="67">
        <f t="shared" si="60"/>
        <v>222.33084610713107</v>
      </c>
      <c r="CD101" s="67">
        <f t="shared" si="61"/>
        <v>119.17277873904133</v>
      </c>
      <c r="CE101" s="67">
        <f t="shared" si="62"/>
        <v>-103.15806736808973</v>
      </c>
      <c r="CF101" s="67">
        <f t="shared" si="63"/>
        <v>88.158067368089732</v>
      </c>
      <c r="CG101" s="67">
        <f t="shared" si="64"/>
        <v>73.158067368089732</v>
      </c>
      <c r="CH101" s="67">
        <f t="shared" si="65"/>
        <v>58.158067368089732</v>
      </c>
      <c r="CI101" s="67">
        <f t="shared" si="66"/>
        <v>43.158067368089732</v>
      </c>
      <c r="CJ101" s="67">
        <f t="shared" si="67"/>
        <v>577347.18319361971</v>
      </c>
      <c r="CK101" s="67">
        <f t="shared" si="68"/>
        <v>479112.18319361965</v>
      </c>
      <c r="CL101" s="67">
        <f t="shared" si="69"/>
        <v>380877.18319361965</v>
      </c>
      <c r="CM101" s="67">
        <f t="shared" si="70"/>
        <v>282642.18319361965</v>
      </c>
      <c r="CN101" s="299"/>
      <c r="CO101" s="430">
        <v>20148.609272026308</v>
      </c>
      <c r="CP101" s="430">
        <v>1620.9763578422946</v>
      </c>
      <c r="CQ101" s="430">
        <v>3497.107</v>
      </c>
      <c r="CR101" s="430">
        <v>21514092.061993629</v>
      </c>
      <c r="CS101" s="430">
        <v>6529992.5903664017</v>
      </c>
      <c r="CT101" s="430">
        <v>4128976.3992933631</v>
      </c>
      <c r="CU101" s="430">
        <v>1238023.7177783982</v>
      </c>
      <c r="CV101" s="430">
        <v>-494756</v>
      </c>
      <c r="CW101" s="430">
        <v>58421.910854037655</v>
      </c>
      <c r="CX101" s="430">
        <v>-142176.82</v>
      </c>
      <c r="CY101" s="430">
        <v>19778992.07711459</v>
      </c>
      <c r="CZ101" s="519"/>
      <c r="DA101" s="524">
        <v>20598.46557</v>
      </c>
      <c r="DB101" s="524">
        <v>1608.2993544231297</v>
      </c>
      <c r="DC101" s="520">
        <f t="shared" si="71"/>
        <v>-1</v>
      </c>
      <c r="DD101" s="440">
        <v>6614</v>
      </c>
      <c r="DE101" s="450">
        <v>18993484.224669464</v>
      </c>
      <c r="DF101" s="440">
        <v>7533633.7055319054</v>
      </c>
      <c r="DG101" s="440">
        <v>3537572.1789000002</v>
      </c>
      <c r="DH101" s="440">
        <v>970358.08960000006</v>
      </c>
      <c r="DI101" s="440">
        <v>6519629.8400262855</v>
      </c>
      <c r="DJ101" s="440">
        <v>1238924.4808106842</v>
      </c>
      <c r="DK101" s="440">
        <v>1247601.3822249568</v>
      </c>
      <c r="DL101" s="440">
        <v>-653762</v>
      </c>
      <c r="DM101" s="440">
        <v>-150000</v>
      </c>
      <c r="DN101" s="440">
        <v>56899.039576268478</v>
      </c>
      <c r="DO101" s="457">
        <f t="shared" si="72"/>
        <v>1307372.4920006357</v>
      </c>
      <c r="DP101" s="459">
        <f t="shared" si="73"/>
        <v>197.6674466284602</v>
      </c>
      <c r="DQ101" s="440"/>
      <c r="DR101" s="450">
        <v>47196906</v>
      </c>
      <c r="DS101" s="440">
        <v>19884563.927216936</v>
      </c>
      <c r="DT101" s="440">
        <v>1455537.1344000001</v>
      </c>
      <c r="DU101" s="440">
        <v>21503766.771993622</v>
      </c>
      <c r="DV101" s="440">
        <v>4131980.5657307627</v>
      </c>
      <c r="DW101" s="440">
        <v>2733810.1789000002</v>
      </c>
      <c r="DX101" s="457">
        <f t="shared" si="74"/>
        <v>2512752.5782413185</v>
      </c>
      <c r="DY101" s="459">
        <f t="shared" si="75"/>
        <v>379.91420898719662</v>
      </c>
      <c r="DZ101" s="440"/>
      <c r="EA101" s="457">
        <f t="shared" si="76"/>
        <v>-1205380.0862406828</v>
      </c>
      <c r="EB101" s="459">
        <f t="shared" si="77"/>
        <v>-182.24676235873642</v>
      </c>
      <c r="ED101" s="457">
        <v>1232932.1242705509</v>
      </c>
      <c r="EE101" s="458">
        <v>1125152.0013652318</v>
      </c>
      <c r="EF101" s="458">
        <v>1018741.5602810576</v>
      </c>
      <c r="EG101" s="458">
        <v>911659.31958793325</v>
      </c>
      <c r="EH101" s="459">
        <v>805992.73836494831</v>
      </c>
    </row>
    <row r="102" spans="1:138" x14ac:dyDescent="0.2">
      <c r="A102" s="67">
        <v>244</v>
      </c>
      <c r="B102" s="67" t="s">
        <v>223</v>
      </c>
      <c r="C102" s="67">
        <v>17</v>
      </c>
      <c r="D102" s="67">
        <v>19300</v>
      </c>
      <c r="E102" s="82">
        <v>58133042.196410693</v>
      </c>
      <c r="F102" s="67">
        <v>29905991.740225058</v>
      </c>
      <c r="G102" s="67">
        <v>4628222</v>
      </c>
      <c r="H102" s="67">
        <v>3661561.3733832058</v>
      </c>
      <c r="I102" s="67">
        <v>20195254.123951219</v>
      </c>
      <c r="J102" s="67">
        <v>2106011.4461454153</v>
      </c>
      <c r="K102" s="67">
        <v>1520444.1407985187</v>
      </c>
      <c r="L102" s="67">
        <v>44798</v>
      </c>
      <c r="M102" s="68">
        <v>-475235.33</v>
      </c>
      <c r="N102" s="68">
        <v>216530.05959493169</v>
      </c>
      <c r="O102" s="68">
        <v>-561694.97180574795</v>
      </c>
      <c r="P102" s="168">
        <f t="shared" si="43"/>
        <v>3108840.3858819115</v>
      </c>
      <c r="Q102" s="169">
        <f t="shared" si="44"/>
        <v>161.07981273999542</v>
      </c>
      <c r="R102" s="67"/>
      <c r="S102" s="82">
        <v>117238196.09</v>
      </c>
      <c r="T102" s="67">
        <v>76778087.325223684</v>
      </c>
      <c r="U102" s="67">
        <v>5503151.9871631749</v>
      </c>
      <c r="V102" s="67">
        <v>26759578.408580389</v>
      </c>
      <c r="W102" s="67">
        <v>7023832.7690363359</v>
      </c>
      <c r="X102" s="67">
        <v>4197784.67</v>
      </c>
      <c r="Y102" s="168">
        <f t="shared" si="45"/>
        <v>3024239.070003584</v>
      </c>
      <c r="Z102" s="169">
        <f t="shared" si="46"/>
        <v>156.69632487065203</v>
      </c>
      <c r="AA102" s="67"/>
      <c r="AB102" s="77">
        <f t="shared" si="47"/>
        <v>84601.31587832747</v>
      </c>
      <c r="AC102" s="123">
        <f t="shared" si="48"/>
        <v>4.3834878693433925</v>
      </c>
      <c r="AE102" s="170"/>
      <c r="AF102" s="177">
        <v>22158.851171408711</v>
      </c>
      <c r="AG102" s="177">
        <v>-28131.672043381488</v>
      </c>
      <c r="AH102" s="177">
        <v>-57525.535587950886</v>
      </c>
      <c r="AI102" s="178">
        <v>-90865.632798432824</v>
      </c>
      <c r="AK102" s="67">
        <f t="shared" si="49"/>
        <v>46872095.584998623</v>
      </c>
      <c r="AL102" s="67">
        <f t="shared" si="50"/>
        <v>1841590.613779969</v>
      </c>
      <c r="AM102" s="67">
        <f t="shared" si="51"/>
        <v>6564324.2846291699</v>
      </c>
      <c r="AN102" s="67">
        <f t="shared" si="52"/>
        <v>59105153.89358931</v>
      </c>
      <c r="AO102" s="67">
        <f t="shared" si="53"/>
        <v>0</v>
      </c>
      <c r="AP102" s="67">
        <f t="shared" si="54"/>
        <v>22158.851171408711</v>
      </c>
      <c r="AQ102" s="67">
        <f t="shared" si="55"/>
        <v>-28131.672043381488</v>
      </c>
      <c r="AR102" s="67">
        <f t="shared" si="56"/>
        <v>-57525.535587950886</v>
      </c>
      <c r="AS102" s="67">
        <f t="shared" si="57"/>
        <v>-90865.632798432824</v>
      </c>
      <c r="AT102" s="68">
        <v>7128</v>
      </c>
      <c r="AU102" s="68"/>
      <c r="AV102" s="68"/>
      <c r="AW102" s="68">
        <v>81</v>
      </c>
      <c r="AX102" s="68">
        <v>7901.8817587744597</v>
      </c>
      <c r="AY102" s="68">
        <v>239.32673106792552</v>
      </c>
      <c r="AZ102" s="68">
        <v>4938.530255574804</v>
      </c>
      <c r="BA102" s="299"/>
      <c r="BB102" s="67"/>
      <c r="BC102" s="67"/>
      <c r="BD102" s="67"/>
      <c r="BE102" s="67"/>
      <c r="BF102" s="67"/>
      <c r="BG102" s="67"/>
      <c r="BH102" s="67"/>
      <c r="BN102" s="299"/>
      <c r="BO102" s="67">
        <v>57547596.200200334</v>
      </c>
      <c r="BP102" s="67">
        <v>55175107.440000005</v>
      </c>
      <c r="BQ102" s="67">
        <v>56424000</v>
      </c>
      <c r="BR102" s="67">
        <v>1348777.77</v>
      </c>
      <c r="BS102" s="67">
        <v>1379000</v>
      </c>
      <c r="BT102" s="428">
        <v>0.6104879297976451</v>
      </c>
      <c r="BU102" s="428">
        <v>0.33464287704132489</v>
      </c>
      <c r="BV102" s="67">
        <f t="shared" si="58"/>
        <v>13002589.748318607</v>
      </c>
      <c r="BW102" s="299"/>
      <c r="BX102" s="67">
        <v>116530620</v>
      </c>
      <c r="BY102" s="67">
        <v>57547596.200200334</v>
      </c>
      <c r="BZ102" s="67">
        <v>81639268.243447721</v>
      </c>
      <c r="CA102" s="67">
        <v>36455398.826597996</v>
      </c>
      <c r="CB102" s="67">
        <f t="shared" si="59"/>
        <v>-853783.48608044046</v>
      </c>
      <c r="CC102" s="67">
        <f t="shared" si="60"/>
        <v>156.69632487065164</v>
      </c>
      <c r="CD102" s="67">
        <f t="shared" si="61"/>
        <v>67.166203668844346</v>
      </c>
      <c r="CE102" s="67">
        <f t="shared" si="62"/>
        <v>-89.53012120180729</v>
      </c>
      <c r="CF102" s="67">
        <f t="shared" si="63"/>
        <v>74.53012120180729</v>
      </c>
      <c r="CG102" s="67">
        <f t="shared" si="64"/>
        <v>59.53012120180729</v>
      </c>
      <c r="CH102" s="67">
        <f t="shared" si="65"/>
        <v>44.53012120180729</v>
      </c>
      <c r="CI102" s="67">
        <f t="shared" si="66"/>
        <v>29.53012120180729</v>
      </c>
      <c r="CJ102" s="67">
        <f t="shared" si="67"/>
        <v>1438431.3391948808</v>
      </c>
      <c r="CK102" s="67">
        <f t="shared" si="68"/>
        <v>1148931.3391948808</v>
      </c>
      <c r="CL102" s="67">
        <f t="shared" si="69"/>
        <v>859431.33919488068</v>
      </c>
      <c r="CM102" s="67">
        <f t="shared" si="70"/>
        <v>569931.33919488068</v>
      </c>
      <c r="CN102" s="299"/>
      <c r="CO102" s="430">
        <v>76778.087325223678</v>
      </c>
      <c r="CP102" s="430">
        <v>5503.1519871631745</v>
      </c>
      <c r="CQ102" s="430">
        <v>4628.2219999999998</v>
      </c>
      <c r="CR102" s="430">
        <v>26759578.408580389</v>
      </c>
      <c r="CS102" s="430">
        <v>20195254.123951219</v>
      </c>
      <c r="CT102" s="430">
        <v>7023832.7690363359</v>
      </c>
      <c r="CU102" s="430">
        <v>2106011.4461454153</v>
      </c>
      <c r="CV102" s="430">
        <v>44798</v>
      </c>
      <c r="CW102" s="430">
        <v>216530.05959493169</v>
      </c>
      <c r="CX102" s="430">
        <v>-475235.33</v>
      </c>
      <c r="CY102" s="430">
        <v>58133042.196410693</v>
      </c>
      <c r="CZ102" s="519"/>
      <c r="DA102" s="524">
        <v>76007.88390999999</v>
      </c>
      <c r="DB102" s="524">
        <v>5460.120271060825</v>
      </c>
      <c r="DC102" s="520">
        <f t="shared" si="71"/>
        <v>-1</v>
      </c>
      <c r="DD102" s="440">
        <v>19116</v>
      </c>
      <c r="DE102" s="450">
        <v>57547596.200200334</v>
      </c>
      <c r="DF102" s="440">
        <v>28531217.103797998</v>
      </c>
      <c r="DG102" s="440">
        <v>4629853.5709999995</v>
      </c>
      <c r="DH102" s="440">
        <v>3294328.1517999996</v>
      </c>
      <c r="DI102" s="440">
        <v>20165479.558963556</v>
      </c>
      <c r="DJ102" s="440">
        <v>2114879.8548179176</v>
      </c>
      <c r="DK102" s="440">
        <v>-843977.50751002331</v>
      </c>
      <c r="DL102" s="440">
        <v>-90146</v>
      </c>
      <c r="DM102" s="440">
        <v>-244000</v>
      </c>
      <c r="DN102" s="440">
        <v>200288.00945711226</v>
      </c>
      <c r="DO102" s="457">
        <f t="shared" si="72"/>
        <v>210326.54212622344</v>
      </c>
      <c r="DP102" s="459">
        <f t="shared" si="73"/>
        <v>11.002643969775237</v>
      </c>
      <c r="DQ102" s="440"/>
      <c r="DR102" s="450">
        <v>116530620</v>
      </c>
      <c r="DS102" s="440">
        <v>72067922.444747731</v>
      </c>
      <c r="DT102" s="440">
        <v>4941492.2276999997</v>
      </c>
      <c r="DU102" s="440">
        <v>26729821.038580388</v>
      </c>
      <c r="DV102" s="440">
        <v>7053410.1103927214</v>
      </c>
      <c r="DW102" s="440">
        <v>4295707.5709999995</v>
      </c>
      <c r="DX102" s="457">
        <f t="shared" si="74"/>
        <v>-1442266.6075791568</v>
      </c>
      <c r="DY102" s="459">
        <f t="shared" si="75"/>
        <v>-75.448138082190667</v>
      </c>
      <c r="DZ102" s="440"/>
      <c r="EA102" s="457">
        <f t="shared" si="76"/>
        <v>1652593.1497053802</v>
      </c>
      <c r="EB102" s="459">
        <f t="shared" si="77"/>
        <v>86.450782051965902</v>
      </c>
      <c r="ED102" s="457">
        <v>-1572961.344598223</v>
      </c>
      <c r="EE102" s="458">
        <v>-1310990.9952571401</v>
      </c>
      <c r="EF102" s="458">
        <v>-1045061.9465370121</v>
      </c>
      <c r="EG102" s="458">
        <v>-781074.55510818947</v>
      </c>
      <c r="EH102" s="459">
        <v>-512995.57818931737</v>
      </c>
    </row>
    <row r="103" spans="1:138" x14ac:dyDescent="0.2">
      <c r="A103" s="67">
        <v>245</v>
      </c>
      <c r="B103" s="67" t="s">
        <v>224</v>
      </c>
      <c r="C103" s="67">
        <v>32</v>
      </c>
      <c r="D103" s="67">
        <v>37676</v>
      </c>
      <c r="E103" s="82">
        <v>100884568.71672443</v>
      </c>
      <c r="F103" s="67">
        <v>54499040.234383442</v>
      </c>
      <c r="G103" s="67">
        <v>14068327</v>
      </c>
      <c r="H103" s="67">
        <v>7761648.6684413319</v>
      </c>
      <c r="I103" s="67">
        <v>14358212.963612413</v>
      </c>
      <c r="J103" s="67">
        <v>4627350.3310485277</v>
      </c>
      <c r="K103" s="67">
        <v>-1593351.4511137675</v>
      </c>
      <c r="L103" s="67">
        <v>-3874723</v>
      </c>
      <c r="M103" s="68">
        <v>1039229.7800000001</v>
      </c>
      <c r="N103" s="68">
        <v>470316.72502362146</v>
      </c>
      <c r="O103" s="68">
        <v>-1096498.4330442154</v>
      </c>
      <c r="P103" s="168">
        <f t="shared" si="43"/>
        <v>-10625015.898373073</v>
      </c>
      <c r="Q103" s="169">
        <f t="shared" si="44"/>
        <v>-282.01018946738168</v>
      </c>
      <c r="R103" s="67"/>
      <c r="S103" s="82">
        <v>235068771.56</v>
      </c>
      <c r="T103" s="67">
        <v>156404450.48190603</v>
      </c>
      <c r="U103" s="67">
        <v>11665387.504874434</v>
      </c>
      <c r="V103" s="67">
        <v>29647164.659227043</v>
      </c>
      <c r="W103" s="67">
        <v>15432838.671659153</v>
      </c>
      <c r="X103" s="67">
        <v>11232833.779999999</v>
      </c>
      <c r="Y103" s="168">
        <f t="shared" si="45"/>
        <v>-10686096.462333351</v>
      </c>
      <c r="Z103" s="169">
        <f t="shared" si="46"/>
        <v>-283.6313956453273</v>
      </c>
      <c r="AA103" s="67"/>
      <c r="AB103" s="77">
        <f t="shared" si="47"/>
        <v>61080.563960278407</v>
      </c>
      <c r="AC103" s="123">
        <f t="shared" si="48"/>
        <v>1.6212061779455995</v>
      </c>
      <c r="AE103" s="170"/>
      <c r="AF103" s="177">
        <v>43256.832991398682</v>
      </c>
      <c r="AG103" s="177">
        <v>-54916.522067691243</v>
      </c>
      <c r="AH103" s="177">
        <v>-112296.99890215739</v>
      </c>
      <c r="AI103" s="178">
        <v>-177381.01457584221</v>
      </c>
      <c r="AK103" s="67">
        <f t="shared" si="49"/>
        <v>101905410.24752259</v>
      </c>
      <c r="AL103" s="67">
        <f t="shared" si="50"/>
        <v>3903738.8364331024</v>
      </c>
      <c r="AM103" s="67">
        <f t="shared" si="51"/>
        <v>15288951.69561463</v>
      </c>
      <c r="AN103" s="67">
        <f t="shared" si="52"/>
        <v>134184202.84327558</v>
      </c>
      <c r="AO103" s="67">
        <f t="shared" si="53"/>
        <v>0</v>
      </c>
      <c r="AP103" s="67">
        <f t="shared" si="54"/>
        <v>43256.832991398682</v>
      </c>
      <c r="AQ103" s="67">
        <f t="shared" si="55"/>
        <v>-54916.522067691243</v>
      </c>
      <c r="AR103" s="67">
        <f t="shared" si="56"/>
        <v>-112296.99890215739</v>
      </c>
      <c r="AS103" s="67">
        <f t="shared" si="57"/>
        <v>-177381.01457584221</v>
      </c>
      <c r="AT103" s="68">
        <v>17181</v>
      </c>
      <c r="AU103" s="68"/>
      <c r="AV103" s="68"/>
      <c r="AW103" s="68">
        <v>95</v>
      </c>
      <c r="AX103" s="68">
        <v>19889.28324346368</v>
      </c>
      <c r="AY103" s="68">
        <v>5601.4852846312278</v>
      </c>
      <c r="AZ103" s="68">
        <v>10703.894062373791</v>
      </c>
      <c r="BA103" s="299"/>
      <c r="BB103" s="67"/>
      <c r="BC103" s="67"/>
      <c r="BD103" s="67"/>
      <c r="BE103" s="67"/>
      <c r="BF103" s="67"/>
      <c r="BG103" s="67"/>
      <c r="BH103" s="67"/>
      <c r="BN103" s="299"/>
      <c r="BO103" s="67">
        <v>88789629.349231943</v>
      </c>
      <c r="BP103" s="67">
        <v>121120344.00999999</v>
      </c>
      <c r="BQ103" s="67">
        <v>132751000</v>
      </c>
      <c r="BR103" s="67">
        <v>2842036.89</v>
      </c>
      <c r="BS103" s="67">
        <v>2840000</v>
      </c>
      <c r="BT103" s="428">
        <v>0.65155057885844325</v>
      </c>
      <c r="BU103" s="428">
        <v>0.33464287704132484</v>
      </c>
      <c r="BV103" s="67">
        <f t="shared" si="58"/>
        <v>24501088.585111491</v>
      </c>
      <c r="BW103" s="299"/>
      <c r="BX103" s="67">
        <v>217203635.19999999</v>
      </c>
      <c r="BY103" s="67">
        <v>88789629.349231943</v>
      </c>
      <c r="BZ103" s="67">
        <v>177011768.31786424</v>
      </c>
      <c r="CA103" s="67">
        <v>74995599.136407629</v>
      </c>
      <c r="CB103" s="67">
        <f t="shared" si="59"/>
        <v>-1135684.2781217971</v>
      </c>
      <c r="CC103" s="67">
        <f t="shared" si="60"/>
        <v>-283.63139564532707</v>
      </c>
      <c r="CD103" s="67">
        <f t="shared" si="61"/>
        <v>-240.75937711903831</v>
      </c>
      <c r="CE103" s="67">
        <f t="shared" si="62"/>
        <v>42.87201852628877</v>
      </c>
      <c r="CF103" s="67">
        <f t="shared" si="63"/>
        <v>-27.87201852628877</v>
      </c>
      <c r="CG103" s="67">
        <f t="shared" si="64"/>
        <v>-12.87201852628877</v>
      </c>
      <c r="CH103" s="67">
        <f t="shared" si="65"/>
        <v>0</v>
      </c>
      <c r="CI103" s="67">
        <f t="shared" si="66"/>
        <v>0</v>
      </c>
      <c r="CJ103" s="67">
        <f t="shared" si="67"/>
        <v>-1050106.1699964558</v>
      </c>
      <c r="CK103" s="67">
        <f t="shared" si="68"/>
        <v>-484966.16999645566</v>
      </c>
      <c r="CL103" s="67">
        <f t="shared" si="69"/>
        <v>0</v>
      </c>
      <c r="CM103" s="67">
        <f t="shared" si="70"/>
        <v>0</v>
      </c>
      <c r="CN103" s="299"/>
      <c r="CO103" s="430">
        <v>156404.45048190604</v>
      </c>
      <c r="CP103" s="430">
        <v>11665.387504874434</v>
      </c>
      <c r="CQ103" s="430">
        <v>14068.326999999999</v>
      </c>
      <c r="CR103" s="430">
        <v>29647164.659227043</v>
      </c>
      <c r="CS103" s="430">
        <v>14358212.963612413</v>
      </c>
      <c r="CT103" s="430">
        <v>15432838.671659153</v>
      </c>
      <c r="CU103" s="430">
        <v>4627350.3310485277</v>
      </c>
      <c r="CV103" s="430">
        <v>-3874723</v>
      </c>
      <c r="CW103" s="430">
        <v>470316.72502362146</v>
      </c>
      <c r="CX103" s="430">
        <v>1039229.7800000001</v>
      </c>
      <c r="CY103" s="430">
        <v>100884568.71672443</v>
      </c>
      <c r="CZ103" s="519"/>
      <c r="DA103" s="524">
        <v>154102.49240000002</v>
      </c>
      <c r="DB103" s="524">
        <v>11574.168720166455</v>
      </c>
      <c r="DC103" s="520">
        <f t="shared" si="71"/>
        <v>-1</v>
      </c>
      <c r="DD103" s="440">
        <v>37232</v>
      </c>
      <c r="DE103" s="450">
        <v>88789629.349231943</v>
      </c>
      <c r="DF103" s="440">
        <v>53871516.519807629</v>
      </c>
      <c r="DG103" s="440">
        <v>14140881.9802</v>
      </c>
      <c r="DH103" s="440">
        <v>6983200.6364000002</v>
      </c>
      <c r="DI103" s="440">
        <v>14299850.598476008</v>
      </c>
      <c r="DJ103" s="440">
        <v>4583843.522081377</v>
      </c>
      <c r="DK103" s="440">
        <v>-1124612.8536957274</v>
      </c>
      <c r="DL103" s="440">
        <v>-3828544</v>
      </c>
      <c r="DM103" s="440">
        <v>300000</v>
      </c>
      <c r="DN103" s="440">
        <v>452210.39546857227</v>
      </c>
      <c r="DO103" s="457">
        <f t="shared" si="72"/>
        <v>888717.44950591028</v>
      </c>
      <c r="DP103" s="459">
        <f t="shared" si="73"/>
        <v>23.869720925706659</v>
      </c>
      <c r="DQ103" s="440"/>
      <c r="DR103" s="450">
        <v>217203635.19999999</v>
      </c>
      <c r="DS103" s="440">
        <v>152396085.38306424</v>
      </c>
      <c r="DT103" s="440">
        <v>10474800.954600001</v>
      </c>
      <c r="DU103" s="440">
        <v>29588950.439226996</v>
      </c>
      <c r="DV103" s="440">
        <v>15287737.584455168</v>
      </c>
      <c r="DW103" s="440">
        <v>10612337.9802</v>
      </c>
      <c r="DX103" s="457">
        <f t="shared" si="74"/>
        <v>1156277.1415464282</v>
      </c>
      <c r="DY103" s="459">
        <f t="shared" si="75"/>
        <v>31.056004016610125</v>
      </c>
      <c r="DZ103" s="440"/>
      <c r="EA103" s="457">
        <f t="shared" si="76"/>
        <v>-267559.69204051793</v>
      </c>
      <c r="EB103" s="459">
        <f t="shared" si="77"/>
        <v>-7.1862830909034683</v>
      </c>
      <c r="ED103" s="457">
        <v>422657.58740302379</v>
      </c>
      <c r="EE103" s="458">
        <v>106854.34894421994</v>
      </c>
      <c r="EF103" s="458">
        <v>66321.113013471448</v>
      </c>
      <c r="EG103" s="458">
        <v>22006.134863122137</v>
      </c>
      <c r="EH103" s="459">
        <v>-14339.712142347144</v>
      </c>
    </row>
    <row r="104" spans="1:138" x14ac:dyDescent="0.2">
      <c r="A104" s="67">
        <v>249</v>
      </c>
      <c r="B104" s="67" t="s">
        <v>225</v>
      </c>
      <c r="C104" s="67">
        <v>13</v>
      </c>
      <c r="D104" s="67">
        <v>9250</v>
      </c>
      <c r="E104" s="82">
        <v>26911643.732290968</v>
      </c>
      <c r="F104" s="67">
        <v>13646047.201231666</v>
      </c>
      <c r="G104" s="67">
        <v>2869744</v>
      </c>
      <c r="H104" s="67">
        <v>2483176.2418704121</v>
      </c>
      <c r="I104" s="67">
        <v>3894462.5335309315</v>
      </c>
      <c r="J104" s="67">
        <v>1683226.06561284</v>
      </c>
      <c r="K104" s="67">
        <v>-208616.55442110231</v>
      </c>
      <c r="L104" s="67">
        <v>-105247</v>
      </c>
      <c r="M104" s="68">
        <v>-37855</v>
      </c>
      <c r="N104" s="68">
        <v>85234.790947736707</v>
      </c>
      <c r="O104" s="68">
        <v>-269206.13933695172</v>
      </c>
      <c r="P104" s="168">
        <f t="shared" si="43"/>
        <v>-2870677.5928554353</v>
      </c>
      <c r="Q104" s="169">
        <f t="shared" si="44"/>
        <v>-310.34352355193897</v>
      </c>
      <c r="R104" s="67"/>
      <c r="S104" s="82">
        <v>71549000</v>
      </c>
      <c r="T104" s="67">
        <v>31572760.620155148</v>
      </c>
      <c r="U104" s="67">
        <v>3732095.3758311844</v>
      </c>
      <c r="V104" s="67">
        <v>25486894.433345176</v>
      </c>
      <c r="W104" s="67">
        <v>5613786.3918006644</v>
      </c>
      <c r="X104" s="67">
        <v>2726642</v>
      </c>
      <c r="Y104" s="168">
        <f t="shared" si="45"/>
        <v>-2416821.1788678169</v>
      </c>
      <c r="Z104" s="169">
        <f t="shared" si="46"/>
        <v>-261.27796528300723</v>
      </c>
      <c r="AA104" s="67"/>
      <c r="AB104" s="77">
        <f t="shared" si="47"/>
        <v>-453856.41398761841</v>
      </c>
      <c r="AC104" s="123">
        <f t="shared" si="48"/>
        <v>-49.065558268931717</v>
      </c>
      <c r="AE104" s="170"/>
      <c r="AF104" s="177">
        <v>325726.58877184242</v>
      </c>
      <c r="AG104" s="177">
        <v>162873.6178010233</v>
      </c>
      <c r="AH104" s="177">
        <v>10035.885273185635</v>
      </c>
      <c r="AI104" s="178">
        <v>-43549.590848989821</v>
      </c>
      <c r="AK104" s="67">
        <f t="shared" si="49"/>
        <v>17926713.418923482</v>
      </c>
      <c r="AL104" s="67">
        <f t="shared" si="50"/>
        <v>1248919.1339607723</v>
      </c>
      <c r="AM104" s="67">
        <f t="shared" si="51"/>
        <v>21592431.899814244</v>
      </c>
      <c r="AN104" s="67">
        <f t="shared" si="52"/>
        <v>44637356.267709032</v>
      </c>
      <c r="AO104" s="67">
        <f t="shared" si="53"/>
        <v>0</v>
      </c>
      <c r="AP104" s="67">
        <f t="shared" si="54"/>
        <v>325726.58877184242</v>
      </c>
      <c r="AQ104" s="67">
        <f t="shared" si="55"/>
        <v>162873.6178010233</v>
      </c>
      <c r="AR104" s="67">
        <f t="shared" si="56"/>
        <v>10035.885273185635</v>
      </c>
      <c r="AS104" s="67">
        <f t="shared" si="57"/>
        <v>-43549.590848989821</v>
      </c>
      <c r="AT104" s="68">
        <v>4995</v>
      </c>
      <c r="AU104" s="68"/>
      <c r="AV104" s="68"/>
      <c r="AW104" s="68">
        <v>12</v>
      </c>
      <c r="AX104" s="68">
        <v>18142.569399575823</v>
      </c>
      <c r="AY104" s="68">
        <v>-2856.9283833034265</v>
      </c>
      <c r="AZ104" s="68">
        <v>3936.2654925514616</v>
      </c>
      <c r="BA104" s="299"/>
      <c r="BB104" s="67"/>
      <c r="BC104" s="67"/>
      <c r="BD104" s="67"/>
      <c r="BE104" s="67"/>
      <c r="BF104" s="67"/>
      <c r="BG104" s="67"/>
      <c r="BH104" s="67"/>
      <c r="BN104" s="299"/>
      <c r="BO104" s="67">
        <v>26893616.908730529</v>
      </c>
      <c r="BP104" s="67">
        <v>41768287.379999995</v>
      </c>
      <c r="BQ104" s="67">
        <v>42804000</v>
      </c>
      <c r="BR104" s="67">
        <v>836362.46</v>
      </c>
      <c r="BS104" s="67">
        <v>934000</v>
      </c>
      <c r="BT104" s="428">
        <v>0.56779049620005606</v>
      </c>
      <c r="BU104" s="428">
        <v>0.33464287704132489</v>
      </c>
      <c r="BV104" s="67">
        <f t="shared" si="58"/>
        <v>25314375.671580967</v>
      </c>
      <c r="BW104" s="299"/>
      <c r="BX104" s="67">
        <v>70367420</v>
      </c>
      <c r="BY104" s="67">
        <v>26893616.908730529</v>
      </c>
      <c r="BZ104" s="67">
        <v>38383711.817967661</v>
      </c>
      <c r="CA104" s="67">
        <v>19161504.945563048</v>
      </c>
      <c r="CB104" s="67">
        <f t="shared" si="59"/>
        <v>356951.48826561274</v>
      </c>
      <c r="CC104" s="67">
        <f t="shared" si="60"/>
        <v>-261.27796528300803</v>
      </c>
      <c r="CD104" s="67">
        <f t="shared" si="61"/>
        <v>-220.09766603586692</v>
      </c>
      <c r="CE104" s="67">
        <f t="shared" si="62"/>
        <v>41.180299247141107</v>
      </c>
      <c r="CF104" s="67">
        <f t="shared" si="63"/>
        <v>-26.180299247141107</v>
      </c>
      <c r="CG104" s="67">
        <f t="shared" si="64"/>
        <v>-11.180299247141107</v>
      </c>
      <c r="CH104" s="67">
        <f t="shared" si="65"/>
        <v>0</v>
      </c>
      <c r="CI104" s="67">
        <f t="shared" si="66"/>
        <v>0</v>
      </c>
      <c r="CJ104" s="67">
        <f t="shared" si="67"/>
        <v>-242167.76803605523</v>
      </c>
      <c r="CK104" s="67">
        <f t="shared" si="68"/>
        <v>-103417.76803605525</v>
      </c>
      <c r="CL104" s="67">
        <f t="shared" si="69"/>
        <v>0</v>
      </c>
      <c r="CM104" s="67">
        <f t="shared" si="70"/>
        <v>0</v>
      </c>
      <c r="CN104" s="299"/>
      <c r="CO104" s="430">
        <v>31572.76062015515</v>
      </c>
      <c r="CP104" s="430">
        <v>3732.0953758311844</v>
      </c>
      <c r="CQ104" s="430">
        <v>2869.7440000000001</v>
      </c>
      <c r="CR104" s="430">
        <v>25486894.433345176</v>
      </c>
      <c r="CS104" s="430">
        <v>3894462.5335309315</v>
      </c>
      <c r="CT104" s="430">
        <v>5613786.3918006644</v>
      </c>
      <c r="CU104" s="430">
        <v>1683226.06561284</v>
      </c>
      <c r="CV104" s="430">
        <v>-105247</v>
      </c>
      <c r="CW104" s="430">
        <v>85234.790947736707</v>
      </c>
      <c r="CX104" s="430">
        <v>-37855</v>
      </c>
      <c r="CY104" s="430">
        <v>26911643.732290968</v>
      </c>
      <c r="CZ104" s="519"/>
      <c r="DA104" s="524">
        <v>31888.300870000003</v>
      </c>
      <c r="DB104" s="524">
        <v>3702.9089789245172</v>
      </c>
      <c r="DC104" s="520">
        <f t="shared" si="71"/>
        <v>-1</v>
      </c>
      <c r="DD104" s="440">
        <v>9443</v>
      </c>
      <c r="DE104" s="450">
        <v>26893616.908730529</v>
      </c>
      <c r="DF104" s="440">
        <v>14034525.731163049</v>
      </c>
      <c r="DG104" s="440">
        <v>2892851.0474</v>
      </c>
      <c r="DH104" s="440">
        <v>2234128.1669999999</v>
      </c>
      <c r="DI104" s="440">
        <v>3879565.6477277661</v>
      </c>
      <c r="DJ104" s="440">
        <v>1685669.250282458</v>
      </c>
      <c r="DK104" s="440">
        <v>356946.7361238359</v>
      </c>
      <c r="DL104" s="440">
        <v>-9609</v>
      </c>
      <c r="DM104" s="440">
        <v>30500</v>
      </c>
      <c r="DN104" s="440">
        <v>85206.90240865096</v>
      </c>
      <c r="DO104" s="457">
        <f t="shared" si="72"/>
        <v>-1703832.4266247675</v>
      </c>
      <c r="DP104" s="459">
        <f t="shared" si="73"/>
        <v>-180.43338204222889</v>
      </c>
      <c r="DQ104" s="440"/>
      <c r="DR104" s="450">
        <v>70367420</v>
      </c>
      <c r="DS104" s="440">
        <v>32139668.520067666</v>
      </c>
      <c r="DT104" s="440">
        <v>3351192.2505000001</v>
      </c>
      <c r="DU104" s="440">
        <v>25472044.463345163</v>
      </c>
      <c r="DV104" s="440">
        <v>5621934.7428339198</v>
      </c>
      <c r="DW104" s="440">
        <v>2913742.0474</v>
      </c>
      <c r="DX104" s="457">
        <f t="shared" si="74"/>
        <v>-868837.97585324943</v>
      </c>
      <c r="DY104" s="459">
        <f t="shared" si="75"/>
        <v>-92.008681123927715</v>
      </c>
      <c r="DZ104" s="440"/>
      <c r="EA104" s="457">
        <f t="shared" si="76"/>
        <v>-834994.45077151805</v>
      </c>
      <c r="EB104" s="459">
        <f t="shared" si="77"/>
        <v>-88.424700918301184</v>
      </c>
      <c r="ED104" s="457">
        <v>874331.29611714976</v>
      </c>
      <c r="EE104" s="458">
        <v>720450.48260113411</v>
      </c>
      <c r="EF104" s="458">
        <v>568525.20362353267</v>
      </c>
      <c r="EG104" s="458">
        <v>415640.77682202461</v>
      </c>
      <c r="EH104" s="459">
        <v>264777.52818449109</v>
      </c>
    </row>
    <row r="105" spans="1:138" x14ac:dyDescent="0.2">
      <c r="A105" s="67">
        <v>250</v>
      </c>
      <c r="B105" s="67" t="s">
        <v>226</v>
      </c>
      <c r="C105" s="67">
        <v>6</v>
      </c>
      <c r="D105" s="67">
        <v>1771</v>
      </c>
      <c r="E105" s="82">
        <v>4287373.4799056016</v>
      </c>
      <c r="F105" s="67">
        <v>2089875.1392489234</v>
      </c>
      <c r="G105" s="67">
        <v>549051</v>
      </c>
      <c r="H105" s="67">
        <v>672354.21710820601</v>
      </c>
      <c r="I105" s="67">
        <v>938948.46232970979</v>
      </c>
      <c r="J105" s="67">
        <v>440559.03762328892</v>
      </c>
      <c r="K105" s="67">
        <v>57593.385855582637</v>
      </c>
      <c r="L105" s="67">
        <v>-375211</v>
      </c>
      <c r="M105" s="68">
        <v>-39814.910000000003</v>
      </c>
      <c r="N105" s="68">
        <v>13257.219605324344</v>
      </c>
      <c r="O105" s="68">
        <v>-51542.061920620705</v>
      </c>
      <c r="P105" s="168">
        <f t="shared" si="43"/>
        <v>7697.0099448131223</v>
      </c>
      <c r="Q105" s="169">
        <f t="shared" si="44"/>
        <v>4.3461377441067883</v>
      </c>
      <c r="R105" s="67"/>
      <c r="S105" s="82">
        <v>13541379.09</v>
      </c>
      <c r="T105" s="67">
        <v>4734246.0000207992</v>
      </c>
      <c r="U105" s="67">
        <v>1010516.2985531988</v>
      </c>
      <c r="V105" s="67">
        <v>6171078.2206002995</v>
      </c>
      <c r="W105" s="67">
        <v>1469323.9254787536</v>
      </c>
      <c r="X105" s="67">
        <v>134025.09</v>
      </c>
      <c r="Y105" s="168">
        <f t="shared" si="45"/>
        <v>-22189.555346947163</v>
      </c>
      <c r="Z105" s="169">
        <f t="shared" si="46"/>
        <v>-12.529393194210707</v>
      </c>
      <c r="AA105" s="67"/>
      <c r="AB105" s="77">
        <f t="shared" si="47"/>
        <v>29886.565291760286</v>
      </c>
      <c r="AC105" s="123">
        <f t="shared" si="48"/>
        <v>16.875530938317496</v>
      </c>
      <c r="AE105" s="170"/>
      <c r="AF105" s="177">
        <v>-1288.2323682116364</v>
      </c>
      <c r="AG105" s="177">
        <v>-2581.408869887493</v>
      </c>
      <c r="AH105" s="177">
        <v>-5278.6385246767368</v>
      </c>
      <c r="AI105" s="178">
        <v>-8337.981123628213</v>
      </c>
      <c r="AK105" s="67">
        <f t="shared" si="49"/>
        <v>2644370.8607718758</v>
      </c>
      <c r="AL105" s="67">
        <f t="shared" si="50"/>
        <v>338162.0814449928</v>
      </c>
      <c r="AM105" s="67">
        <f t="shared" si="51"/>
        <v>5232129.7582705896</v>
      </c>
      <c r="AN105" s="67">
        <f t="shared" si="52"/>
        <v>9254005.6100943983</v>
      </c>
      <c r="AO105" s="67">
        <f t="shared" si="53"/>
        <v>0</v>
      </c>
      <c r="AP105" s="67">
        <f t="shared" si="54"/>
        <v>-1288.2323682116364</v>
      </c>
      <c r="AQ105" s="67">
        <f t="shared" si="55"/>
        <v>-2581.408869887493</v>
      </c>
      <c r="AR105" s="67">
        <f t="shared" si="56"/>
        <v>-5278.6385246767368</v>
      </c>
      <c r="AS105" s="67">
        <f t="shared" si="57"/>
        <v>-8337.981123628213</v>
      </c>
      <c r="AT105" s="68">
        <v>397</v>
      </c>
      <c r="AU105" s="68"/>
      <c r="AV105" s="68"/>
      <c r="AW105" s="68">
        <v>7</v>
      </c>
      <c r="AX105" s="68">
        <v>4266.592627260432</v>
      </c>
      <c r="AY105" s="68">
        <v>-1033.8192868723122</v>
      </c>
      <c r="AZ105" s="68">
        <v>1030.7541919332871</v>
      </c>
      <c r="BA105" s="299"/>
      <c r="BB105" s="67"/>
      <c r="BC105" s="67"/>
      <c r="BD105" s="67"/>
      <c r="BE105" s="67"/>
      <c r="BF105" s="67"/>
      <c r="BG105" s="67"/>
      <c r="BH105" s="67"/>
      <c r="BN105" s="299"/>
      <c r="BO105" s="67">
        <v>4350475.3581712972</v>
      </c>
      <c r="BP105" s="67">
        <v>8696723.0600000005</v>
      </c>
      <c r="BQ105" s="67">
        <v>8884000</v>
      </c>
      <c r="BR105" s="67">
        <v>158553.48000000001</v>
      </c>
      <c r="BS105" s="67">
        <v>161000</v>
      </c>
      <c r="BT105" s="428">
        <v>0.55856219992798395</v>
      </c>
      <c r="BU105" s="428">
        <v>0.33464287704132484</v>
      </c>
      <c r="BV105" s="67">
        <f t="shared" si="58"/>
        <v>6318488.0319816368</v>
      </c>
      <c r="BW105" s="299"/>
      <c r="BX105" s="67">
        <v>13387356</v>
      </c>
      <c r="BY105" s="67">
        <v>4350475.3581712972</v>
      </c>
      <c r="BZ105" s="67">
        <v>6403659.1271897107</v>
      </c>
      <c r="CA105" s="67">
        <v>3353782.5884313378</v>
      </c>
      <c r="CB105" s="67">
        <f t="shared" si="59"/>
        <v>198081.8603339651</v>
      </c>
      <c r="CC105" s="67">
        <f t="shared" si="60"/>
        <v>-12.529393194212203</v>
      </c>
      <c r="CD105" s="67">
        <f t="shared" si="61"/>
        <v>112.77670601005984</v>
      </c>
      <c r="CE105" s="67">
        <f t="shared" si="62"/>
        <v>125.30609920427204</v>
      </c>
      <c r="CF105" s="67">
        <f t="shared" si="63"/>
        <v>-110.30609920427204</v>
      </c>
      <c r="CG105" s="67">
        <f t="shared" si="64"/>
        <v>-95.306099204272044</v>
      </c>
      <c r="CH105" s="67">
        <f t="shared" si="65"/>
        <v>-80.306099204272044</v>
      </c>
      <c r="CI105" s="67">
        <f t="shared" si="66"/>
        <v>-65.306099204272044</v>
      </c>
      <c r="CJ105" s="67">
        <f t="shared" si="67"/>
        <v>-195352.10169076579</v>
      </c>
      <c r="CK105" s="67">
        <f t="shared" si="68"/>
        <v>-168787.10169076579</v>
      </c>
      <c r="CL105" s="67">
        <f t="shared" si="69"/>
        <v>-142222.10169076579</v>
      </c>
      <c r="CM105" s="67">
        <f t="shared" si="70"/>
        <v>-115657.10169076579</v>
      </c>
      <c r="CN105" s="299"/>
      <c r="CO105" s="430">
        <v>4734.2460000207993</v>
      </c>
      <c r="CP105" s="430">
        <v>1010.5162985531988</v>
      </c>
      <c r="CQ105" s="430">
        <v>549.05100000000004</v>
      </c>
      <c r="CR105" s="430">
        <v>6171078.2206002995</v>
      </c>
      <c r="CS105" s="430">
        <v>938948.46232970979</v>
      </c>
      <c r="CT105" s="430">
        <v>1469323.9254787536</v>
      </c>
      <c r="CU105" s="430">
        <v>440559.03762328892</v>
      </c>
      <c r="CV105" s="430">
        <v>-375211</v>
      </c>
      <c r="CW105" s="430">
        <v>13257.219605324344</v>
      </c>
      <c r="CX105" s="430">
        <v>-39814.910000000003</v>
      </c>
      <c r="CY105" s="430">
        <v>4287373.4799056016</v>
      </c>
      <c r="CZ105" s="519"/>
      <c r="DA105" s="524">
        <v>4969.0499</v>
      </c>
      <c r="DB105" s="524">
        <v>1002.6135733197876</v>
      </c>
      <c r="DC105" s="520">
        <f t="shared" si="71"/>
        <v>-1</v>
      </c>
      <c r="DD105" s="440">
        <v>1808</v>
      </c>
      <c r="DE105" s="450">
        <v>4350475.3581712972</v>
      </c>
      <c r="DF105" s="440">
        <v>2199189.8401313382</v>
      </c>
      <c r="DG105" s="440">
        <v>549671.73250000004</v>
      </c>
      <c r="DH105" s="440">
        <v>604921.01579999994</v>
      </c>
      <c r="DI105" s="440">
        <v>936087.96838156658</v>
      </c>
      <c r="DJ105" s="440">
        <v>441410.93867513537</v>
      </c>
      <c r="DK105" s="440">
        <v>197920.72461793592</v>
      </c>
      <c r="DL105" s="440">
        <v>-375211</v>
      </c>
      <c r="DM105" s="440">
        <v>-16880</v>
      </c>
      <c r="DN105" s="440">
        <v>13519.287058006266</v>
      </c>
      <c r="DO105" s="457">
        <f t="shared" si="72"/>
        <v>200155.1489926856</v>
      </c>
      <c r="DP105" s="459">
        <f t="shared" si="73"/>
        <v>110.7052815225031</v>
      </c>
      <c r="DQ105" s="440"/>
      <c r="DR105" s="450">
        <v>13387356</v>
      </c>
      <c r="DS105" s="440">
        <v>4946605.870989711</v>
      </c>
      <c r="DT105" s="440">
        <v>907381.52370000002</v>
      </c>
      <c r="DU105" s="440">
        <v>6168227.0906002987</v>
      </c>
      <c r="DV105" s="440">
        <v>1472165.1306084224</v>
      </c>
      <c r="DW105" s="440">
        <v>157580.73250000004</v>
      </c>
      <c r="DX105" s="457">
        <f t="shared" si="74"/>
        <v>264604.34839843214</v>
      </c>
      <c r="DY105" s="459">
        <f t="shared" si="75"/>
        <v>146.35196260975229</v>
      </c>
      <c r="DZ105" s="440"/>
      <c r="EA105" s="457">
        <f t="shared" si="76"/>
        <v>-64449.199405746534</v>
      </c>
      <c r="EB105" s="459">
        <f t="shared" si="77"/>
        <v>-35.646681087249192</v>
      </c>
      <c r="ED105" s="457">
        <v>71980.811857818029</v>
      </c>
      <c r="EE105" s="458">
        <v>42518.086999514911</v>
      </c>
      <c r="EF105" s="458">
        <v>13429.777734291631</v>
      </c>
      <c r="EG105" s="458">
        <v>1068.6262309981958</v>
      </c>
      <c r="EH105" s="459">
        <v>-696.34184447152006</v>
      </c>
    </row>
    <row r="106" spans="1:138" x14ac:dyDescent="0.2">
      <c r="A106" s="67">
        <v>256</v>
      </c>
      <c r="B106" s="67" t="s">
        <v>227</v>
      </c>
      <c r="C106" s="67">
        <v>13</v>
      </c>
      <c r="D106" s="67">
        <v>1554</v>
      </c>
      <c r="E106" s="82">
        <v>4887517.9728198331</v>
      </c>
      <c r="F106" s="67">
        <v>1681817.9305076706</v>
      </c>
      <c r="G106" s="67">
        <v>451166</v>
      </c>
      <c r="H106" s="67">
        <v>584036.33669481112</v>
      </c>
      <c r="I106" s="67">
        <v>2082319.0501068356</v>
      </c>
      <c r="J106" s="67">
        <v>328229.3675821661</v>
      </c>
      <c r="K106" s="67">
        <v>-344412.51448191429</v>
      </c>
      <c r="L106" s="67">
        <v>256467</v>
      </c>
      <c r="M106" s="68">
        <v>51576.77</v>
      </c>
      <c r="N106" s="68">
        <v>11162.059543183681</v>
      </c>
      <c r="O106" s="68">
        <v>-45226.631408607893</v>
      </c>
      <c r="P106" s="168">
        <f t="shared" si="43"/>
        <v>169617.39572431118</v>
      </c>
      <c r="Q106" s="169">
        <f t="shared" si="44"/>
        <v>109.14890329749754</v>
      </c>
      <c r="R106" s="67"/>
      <c r="S106" s="82">
        <v>13374921.249999998</v>
      </c>
      <c r="T106" s="67">
        <v>3899251.4214339368</v>
      </c>
      <c r="U106" s="67">
        <v>877778.73948015925</v>
      </c>
      <c r="V106" s="67">
        <v>6466820.215231318</v>
      </c>
      <c r="W106" s="67">
        <v>1094689.296206468</v>
      </c>
      <c r="X106" s="67">
        <v>759209.77</v>
      </c>
      <c r="Y106" s="168">
        <f t="shared" si="45"/>
        <v>-277171.80764811672</v>
      </c>
      <c r="Z106" s="169">
        <f t="shared" si="46"/>
        <v>-178.36023658179968</v>
      </c>
      <c r="AA106" s="67"/>
      <c r="AB106" s="77">
        <f t="shared" si="47"/>
        <v>446789.2033724279</v>
      </c>
      <c r="AC106" s="123">
        <f t="shared" si="48"/>
        <v>287.50913987929721</v>
      </c>
      <c r="AE106" s="170"/>
      <c r="AF106" s="177">
        <v>-421695.01400867658</v>
      </c>
      <c r="AG106" s="177">
        <v>-402434.31313177419</v>
      </c>
      <c r="AH106" s="177">
        <v>-381491.05219645094</v>
      </c>
      <c r="AI106" s="178">
        <v>-360865.53463505657</v>
      </c>
      <c r="AK106" s="67">
        <f t="shared" si="49"/>
        <v>2217433.4909262662</v>
      </c>
      <c r="AL106" s="67">
        <f t="shared" si="50"/>
        <v>293742.40278534812</v>
      </c>
      <c r="AM106" s="67">
        <f t="shared" si="51"/>
        <v>4384501.1651244825</v>
      </c>
      <c r="AN106" s="67">
        <f t="shared" si="52"/>
        <v>8487403.2771801651</v>
      </c>
      <c r="AO106" s="67">
        <f t="shared" si="53"/>
        <v>0</v>
      </c>
      <c r="AP106" s="67">
        <f t="shared" si="54"/>
        <v>-421695.01400867658</v>
      </c>
      <c r="AQ106" s="67">
        <f t="shared" si="55"/>
        <v>-402434.31313177419</v>
      </c>
      <c r="AR106" s="67">
        <f t="shared" si="56"/>
        <v>-381491.05219645094</v>
      </c>
      <c r="AS106" s="67">
        <f t="shared" si="57"/>
        <v>-360865.53463505657</v>
      </c>
      <c r="AT106" s="68">
        <v>964</v>
      </c>
      <c r="AU106" s="68"/>
      <c r="AV106" s="68"/>
      <c r="AW106" s="68">
        <v>10</v>
      </c>
      <c r="AX106" s="68">
        <v>3641.452184217927</v>
      </c>
      <c r="AY106" s="68">
        <v>-960.22984129104293</v>
      </c>
      <c r="AZ106" s="68">
        <v>765.62777194147327</v>
      </c>
      <c r="BA106" s="299"/>
      <c r="BB106" s="67"/>
      <c r="BC106" s="67"/>
      <c r="BD106" s="67"/>
      <c r="BE106" s="67"/>
      <c r="BF106" s="67"/>
      <c r="BG106" s="67"/>
      <c r="BH106" s="67"/>
      <c r="BN106" s="299"/>
      <c r="BO106" s="67">
        <v>4974690.4382496458</v>
      </c>
      <c r="BP106" s="67">
        <v>8063609.5299999993</v>
      </c>
      <c r="BQ106" s="67">
        <v>8067000</v>
      </c>
      <c r="BR106" s="67">
        <v>143823.82</v>
      </c>
      <c r="BS106" s="67">
        <v>143000</v>
      </c>
      <c r="BT106" s="428">
        <v>0.56868184460667903</v>
      </c>
      <c r="BU106" s="428">
        <v>0.33464287704132495</v>
      </c>
      <c r="BV106" s="67">
        <f t="shared" si="58"/>
        <v>4806548.5792668695</v>
      </c>
      <c r="BW106" s="299"/>
      <c r="BX106" s="67">
        <v>13353748</v>
      </c>
      <c r="BY106" s="67">
        <v>4974690.4382496458</v>
      </c>
      <c r="BZ106" s="67">
        <v>5343569.2037425907</v>
      </c>
      <c r="CA106" s="67">
        <v>2765868.8086906034</v>
      </c>
      <c r="CB106" s="67">
        <f t="shared" si="59"/>
        <v>-267530.17962034699</v>
      </c>
      <c r="CC106" s="67">
        <f t="shared" si="60"/>
        <v>-178.36023658179985</v>
      </c>
      <c r="CD106" s="67">
        <f t="shared" si="61"/>
        <v>187.72610166955397</v>
      </c>
      <c r="CE106" s="67">
        <f t="shared" si="62"/>
        <v>366.08633825135382</v>
      </c>
      <c r="CF106" s="67">
        <f t="shared" si="63"/>
        <v>-351.08633825135382</v>
      </c>
      <c r="CG106" s="67">
        <f t="shared" si="64"/>
        <v>-336.08633825135382</v>
      </c>
      <c r="CH106" s="67">
        <f t="shared" si="65"/>
        <v>-321.08633825135382</v>
      </c>
      <c r="CI106" s="67">
        <f t="shared" si="66"/>
        <v>-306.08633825135382</v>
      </c>
      <c r="CJ106" s="67">
        <f t="shared" si="67"/>
        <v>-545588.16964260384</v>
      </c>
      <c r="CK106" s="67">
        <f t="shared" si="68"/>
        <v>-522278.16964260384</v>
      </c>
      <c r="CL106" s="67">
        <f t="shared" si="69"/>
        <v>-498968.16964260384</v>
      </c>
      <c r="CM106" s="67">
        <f t="shared" si="70"/>
        <v>-475658.16964260384</v>
      </c>
      <c r="CN106" s="299"/>
      <c r="CO106" s="430">
        <v>3899.2514214339367</v>
      </c>
      <c r="CP106" s="430">
        <v>877.77873948015929</v>
      </c>
      <c r="CQ106" s="430">
        <v>451.166</v>
      </c>
      <c r="CR106" s="430">
        <v>6466820.215231318</v>
      </c>
      <c r="CS106" s="430">
        <v>2082319.0501068356</v>
      </c>
      <c r="CT106" s="430">
        <v>1094689.296206468</v>
      </c>
      <c r="CU106" s="430">
        <v>328229.3675821661</v>
      </c>
      <c r="CV106" s="430">
        <v>256467</v>
      </c>
      <c r="CW106" s="430">
        <v>11162.059543183681</v>
      </c>
      <c r="CX106" s="430">
        <v>51576.77</v>
      </c>
      <c r="CY106" s="430">
        <v>4887517.9728198331</v>
      </c>
      <c r="CZ106" s="519"/>
      <c r="DA106" s="524">
        <v>3922.7930499999998</v>
      </c>
      <c r="DB106" s="524">
        <v>870.91374980002013</v>
      </c>
      <c r="DC106" s="520">
        <f t="shared" si="71"/>
        <v>-1</v>
      </c>
      <c r="DD106" s="440">
        <v>1581</v>
      </c>
      <c r="DE106" s="450">
        <v>4974690.4382496458</v>
      </c>
      <c r="DF106" s="440">
        <v>1785926.9706906036</v>
      </c>
      <c r="DG106" s="440">
        <v>454480.93499999994</v>
      </c>
      <c r="DH106" s="440">
        <v>525460.90300000005</v>
      </c>
      <c r="DI106" s="440">
        <v>2079808.3068666116</v>
      </c>
      <c r="DJ106" s="440">
        <v>327873.00418790011</v>
      </c>
      <c r="DK106" s="440">
        <v>-267691.33868008648</v>
      </c>
      <c r="DL106" s="440">
        <v>252937</v>
      </c>
      <c r="DM106" s="440">
        <v>34147</v>
      </c>
      <c r="DN106" s="440">
        <v>11426.256488543344</v>
      </c>
      <c r="DO106" s="457">
        <f t="shared" si="72"/>
        <v>229678.59930392634</v>
      </c>
      <c r="DP106" s="459">
        <f t="shared" si="73"/>
        <v>145.27425635921969</v>
      </c>
      <c r="DQ106" s="440"/>
      <c r="DR106" s="450">
        <v>13353748</v>
      </c>
      <c r="DS106" s="440">
        <v>4100896.9142425908</v>
      </c>
      <c r="DT106" s="440">
        <v>788191.35450000002</v>
      </c>
      <c r="DU106" s="440">
        <v>6464316.5852313172</v>
      </c>
      <c r="DV106" s="440">
        <v>1093500.7761293733</v>
      </c>
      <c r="DW106" s="440">
        <v>741564.93499999994</v>
      </c>
      <c r="DX106" s="457">
        <f t="shared" si="74"/>
        <v>-165277.43489671871</v>
      </c>
      <c r="DY106" s="459">
        <f t="shared" si="75"/>
        <v>-104.53980701879742</v>
      </c>
      <c r="DZ106" s="440"/>
      <c r="EA106" s="457">
        <f t="shared" si="76"/>
        <v>394956.03420064505</v>
      </c>
      <c r="EB106" s="459">
        <f t="shared" si="77"/>
        <v>249.81406337801712</v>
      </c>
      <c r="ED106" s="457">
        <v>-388370.03901993233</v>
      </c>
      <c r="EE106" s="458">
        <v>-366703.62751604803</v>
      </c>
      <c r="EF106" s="458">
        <v>-344709.8094564894</v>
      </c>
      <c r="EG106" s="458">
        <v>-322876.57730285008</v>
      </c>
      <c r="EH106" s="459">
        <v>-300704.94816972932</v>
      </c>
    </row>
    <row r="107" spans="1:138" x14ac:dyDescent="0.2">
      <c r="A107" s="67">
        <v>257</v>
      </c>
      <c r="B107" s="67" t="s">
        <v>228</v>
      </c>
      <c r="C107" s="67">
        <v>33</v>
      </c>
      <c r="D107" s="67">
        <v>40722</v>
      </c>
      <c r="E107" s="82">
        <v>114561128.78603789</v>
      </c>
      <c r="F107" s="67">
        <v>72661995.717863783</v>
      </c>
      <c r="G107" s="67">
        <v>12617940</v>
      </c>
      <c r="H107" s="67">
        <v>5611992.7813358856</v>
      </c>
      <c r="I107" s="67">
        <v>26548740.326173499</v>
      </c>
      <c r="J107" s="67">
        <v>4380115.1789958403</v>
      </c>
      <c r="K107" s="67">
        <v>6465383.3624006147</v>
      </c>
      <c r="L107" s="67">
        <v>-2487470</v>
      </c>
      <c r="M107" s="68">
        <v>-270796.77</v>
      </c>
      <c r="N107" s="68">
        <v>584748.78687199496</v>
      </c>
      <c r="O107" s="68">
        <v>-1185147.2871437133</v>
      </c>
      <c r="P107" s="168">
        <f t="shared" si="43"/>
        <v>10366373.310460011</v>
      </c>
      <c r="Q107" s="169">
        <f t="shared" si="44"/>
        <v>254.56444453759664</v>
      </c>
      <c r="R107" s="67"/>
      <c r="S107" s="82">
        <v>243247992.04000002</v>
      </c>
      <c r="T107" s="67">
        <v>201392846.74428821</v>
      </c>
      <c r="U107" s="67">
        <v>8434557.3041748926</v>
      </c>
      <c r="V107" s="67">
        <v>23784755.063564703</v>
      </c>
      <c r="W107" s="67">
        <v>14608276.029407758</v>
      </c>
      <c r="X107" s="67">
        <v>9859673.2300000004</v>
      </c>
      <c r="Y107" s="168">
        <f t="shared" si="45"/>
        <v>14832116.331435531</v>
      </c>
      <c r="Z107" s="169">
        <f t="shared" si="46"/>
        <v>364.22858237403693</v>
      </c>
      <c r="AA107" s="67"/>
      <c r="AB107" s="77">
        <f t="shared" si="47"/>
        <v>-4465743.0209755208</v>
      </c>
      <c r="AC107" s="123">
        <f t="shared" si="48"/>
        <v>-109.66413783644028</v>
      </c>
      <c r="AE107" s="170"/>
      <c r="AF107" s="177">
        <v>3901667.0488201841</v>
      </c>
      <c r="AG107" s="177">
        <v>3184726.6505635683</v>
      </c>
      <c r="AH107" s="177">
        <v>2511877.1214826382</v>
      </c>
      <c r="AI107" s="178">
        <v>1830701.2438346981</v>
      </c>
      <c r="AK107" s="67">
        <f t="shared" si="49"/>
        <v>128730851.02642442</v>
      </c>
      <c r="AL107" s="67">
        <f t="shared" si="50"/>
        <v>2822564.522839007</v>
      </c>
      <c r="AM107" s="67">
        <f t="shared" si="51"/>
        <v>-2763985.2626087964</v>
      </c>
      <c r="AN107" s="67">
        <f t="shared" si="52"/>
        <v>128686863.25396213</v>
      </c>
      <c r="AO107" s="67">
        <f t="shared" si="53"/>
        <v>0</v>
      </c>
      <c r="AP107" s="67">
        <f t="shared" si="54"/>
        <v>3901667.0488201841</v>
      </c>
      <c r="AQ107" s="67">
        <f t="shared" si="55"/>
        <v>3184726.6505635683</v>
      </c>
      <c r="AR107" s="67">
        <f t="shared" si="56"/>
        <v>2511877.1214826382</v>
      </c>
      <c r="AS107" s="67">
        <f t="shared" si="57"/>
        <v>1830701.2438346981</v>
      </c>
      <c r="AT107" s="68">
        <v>40546</v>
      </c>
      <c r="AU107" s="68"/>
      <c r="AV107" s="68"/>
      <c r="AW107" s="68">
        <v>121</v>
      </c>
      <c r="AX107" s="68">
        <v>8487.824377531897</v>
      </c>
      <c r="AY107" s="68">
        <v>11407.297086182427</v>
      </c>
      <c r="AZ107" s="68">
        <v>10122.173822713146</v>
      </c>
      <c r="BA107" s="299"/>
      <c r="BB107" s="67"/>
      <c r="BC107" s="67"/>
      <c r="BD107" s="67"/>
      <c r="BE107" s="67"/>
      <c r="BF107" s="67"/>
      <c r="BG107" s="67"/>
      <c r="BH107" s="67"/>
      <c r="BN107" s="299"/>
      <c r="BO107" s="67">
        <v>128024130.42816205</v>
      </c>
      <c r="BP107" s="67">
        <v>114788727.48999999</v>
      </c>
      <c r="BQ107" s="67">
        <v>128239000</v>
      </c>
      <c r="BR107" s="67">
        <v>2815934.6900000004</v>
      </c>
      <c r="BS107" s="67">
        <v>3075000</v>
      </c>
      <c r="BT107" s="428">
        <v>0.63920269814685171</v>
      </c>
      <c r="BU107" s="428">
        <v>0.33464287704132484</v>
      </c>
      <c r="BV107" s="67">
        <f t="shared" si="58"/>
        <v>13929558.950203732</v>
      </c>
      <c r="BW107" s="299"/>
      <c r="BX107" s="67">
        <v>252202467</v>
      </c>
      <c r="BY107" s="67">
        <v>128024130.42816205</v>
      </c>
      <c r="BZ107" s="67">
        <v>213872450.08055893</v>
      </c>
      <c r="CA107" s="67">
        <v>88460294.068303198</v>
      </c>
      <c r="CB107" s="67">
        <f t="shared" si="59"/>
        <v>4700462.700873333</v>
      </c>
      <c r="CC107" s="67">
        <f t="shared" si="60"/>
        <v>364.2285823740371</v>
      </c>
      <c r="CD107" s="67">
        <f t="shared" si="61"/>
        <v>240.32709434891331</v>
      </c>
      <c r="CE107" s="67">
        <f t="shared" si="62"/>
        <v>-123.9014880251238</v>
      </c>
      <c r="CF107" s="67">
        <f t="shared" si="63"/>
        <v>108.9014880251238</v>
      </c>
      <c r="CG107" s="67">
        <f t="shared" si="64"/>
        <v>93.901488025123797</v>
      </c>
      <c r="CH107" s="67">
        <f t="shared" si="65"/>
        <v>78.901488025123797</v>
      </c>
      <c r="CI107" s="67">
        <f t="shared" si="66"/>
        <v>63.901488025123797</v>
      </c>
      <c r="CJ107" s="67">
        <f t="shared" si="67"/>
        <v>4434686.3953590915</v>
      </c>
      <c r="CK107" s="67">
        <f t="shared" si="68"/>
        <v>3823856.3953590915</v>
      </c>
      <c r="CL107" s="67">
        <f t="shared" si="69"/>
        <v>3213026.3953590915</v>
      </c>
      <c r="CM107" s="67">
        <f t="shared" si="70"/>
        <v>2602196.3953590915</v>
      </c>
      <c r="CN107" s="299"/>
      <c r="CO107" s="430">
        <v>201392.8467442882</v>
      </c>
      <c r="CP107" s="430">
        <v>8434.5573041748921</v>
      </c>
      <c r="CQ107" s="430">
        <v>12617.94</v>
      </c>
      <c r="CR107" s="430">
        <v>23784755.063564703</v>
      </c>
      <c r="CS107" s="430">
        <v>26548740.326173499</v>
      </c>
      <c r="CT107" s="430">
        <v>14608276.029407758</v>
      </c>
      <c r="CU107" s="430">
        <v>4380115.1789958403</v>
      </c>
      <c r="CV107" s="430">
        <v>-2487470</v>
      </c>
      <c r="CW107" s="430">
        <v>584748.78687199496</v>
      </c>
      <c r="CX107" s="430">
        <v>-270796.77</v>
      </c>
      <c r="CY107" s="430">
        <v>114561128.78603789</v>
      </c>
      <c r="CZ107" s="519"/>
      <c r="DA107" s="524">
        <v>202520.46124999999</v>
      </c>
      <c r="DB107" s="524">
        <v>8368.6057510931078</v>
      </c>
      <c r="DC107" s="520">
        <f t="shared" si="71"/>
        <v>-1</v>
      </c>
      <c r="DD107" s="440">
        <v>40433</v>
      </c>
      <c r="DE107" s="450">
        <v>128024130.42816205</v>
      </c>
      <c r="DF107" s="440">
        <v>70721387.840203196</v>
      </c>
      <c r="DG107" s="440">
        <v>12689763.547700001</v>
      </c>
      <c r="DH107" s="440">
        <v>5049142.6804</v>
      </c>
      <c r="DI107" s="440">
        <v>26485476.672862407</v>
      </c>
      <c r="DJ107" s="440">
        <v>4334727.21574522</v>
      </c>
      <c r="DK107" s="440">
        <v>4717899.5307239471</v>
      </c>
      <c r="DL107" s="440">
        <v>-2548784</v>
      </c>
      <c r="DM107" s="440">
        <v>-809029</v>
      </c>
      <c r="DN107" s="440">
        <v>555918.54822536383</v>
      </c>
      <c r="DO107" s="457">
        <f t="shared" si="72"/>
        <v>-6827627.3923019171</v>
      </c>
      <c r="DP107" s="459">
        <f t="shared" si="73"/>
        <v>-168.86274558657328</v>
      </c>
      <c r="DQ107" s="440"/>
      <c r="DR107" s="450">
        <v>252202467</v>
      </c>
      <c r="DS107" s="440">
        <v>193608972.51225895</v>
      </c>
      <c r="DT107" s="440">
        <v>7573714.0206000004</v>
      </c>
      <c r="DU107" s="440">
        <v>23721589.443564653</v>
      </c>
      <c r="DV107" s="440">
        <v>14456901.038458366</v>
      </c>
      <c r="DW107" s="440">
        <v>9331950.5477000009</v>
      </c>
      <c r="DX107" s="457">
        <f t="shared" si="74"/>
        <v>-3509339.4374180436</v>
      </c>
      <c r="DY107" s="459">
        <f t="shared" si="75"/>
        <v>-86.793941518513179</v>
      </c>
      <c r="DZ107" s="440"/>
      <c r="EA107" s="457">
        <f t="shared" si="76"/>
        <v>-3318287.9548838735</v>
      </c>
      <c r="EB107" s="459">
        <f t="shared" si="77"/>
        <v>-82.068804068060089</v>
      </c>
      <c r="ED107" s="457">
        <v>3486720.3034870652</v>
      </c>
      <c r="EE107" s="458">
        <v>2827834.0456354227</v>
      </c>
      <c r="EF107" s="458">
        <v>2177320.9878252605</v>
      </c>
      <c r="EG107" s="458">
        <v>1522701.0546615014</v>
      </c>
      <c r="EH107" s="459">
        <v>876735.39415515901</v>
      </c>
    </row>
    <row r="108" spans="1:138" x14ac:dyDescent="0.2">
      <c r="A108" s="124">
        <v>260</v>
      </c>
      <c r="B108" s="124" t="s">
        <v>229</v>
      </c>
      <c r="C108" s="67">
        <v>12</v>
      </c>
      <c r="D108" s="124">
        <v>9727</v>
      </c>
      <c r="E108" s="125">
        <v>26019030.48654864</v>
      </c>
      <c r="F108" s="67">
        <v>10860936.133472489</v>
      </c>
      <c r="G108" s="67">
        <v>2914571</v>
      </c>
      <c r="H108" s="124">
        <v>2205315.5918264245</v>
      </c>
      <c r="I108" s="67">
        <v>5852773.8346144641</v>
      </c>
      <c r="J108" s="67">
        <v>2097339.0436756117</v>
      </c>
      <c r="K108" s="67">
        <v>2550545.1247644648</v>
      </c>
      <c r="L108" s="124">
        <v>-1033480</v>
      </c>
      <c r="M108" s="68">
        <v>406835.67</v>
      </c>
      <c r="N108" s="68">
        <v>74912.788263939467</v>
      </c>
      <c r="O108" s="68">
        <v>-283088.44511681399</v>
      </c>
      <c r="P108" s="168">
        <f t="shared" si="43"/>
        <v>-372369.74504806078</v>
      </c>
      <c r="Q108" s="169">
        <f t="shared" si="44"/>
        <v>-38.282075156580731</v>
      </c>
      <c r="R108" s="124"/>
      <c r="S108" s="125">
        <v>75986084.840000004</v>
      </c>
      <c r="T108" s="67">
        <v>26605215.459914368</v>
      </c>
      <c r="U108" s="124">
        <v>3314484.080398723</v>
      </c>
      <c r="V108" s="124">
        <v>38023761.869892992</v>
      </c>
      <c r="W108" s="124">
        <v>6994909.1348532606</v>
      </c>
      <c r="X108" s="124">
        <v>2287926.67</v>
      </c>
      <c r="Y108" s="168">
        <f t="shared" si="45"/>
        <v>1240212.3750593364</v>
      </c>
      <c r="Z108" s="169">
        <f t="shared" si="46"/>
        <v>127.50204328768751</v>
      </c>
      <c r="AA108" s="124"/>
      <c r="AB108" s="77">
        <f t="shared" si="47"/>
        <v>-1612582.1201073972</v>
      </c>
      <c r="AC108" s="123">
        <f t="shared" si="48"/>
        <v>-165.78411844426824</v>
      </c>
      <c r="AE108" s="170"/>
      <c r="AF108" s="177">
        <v>1477844.951472383</v>
      </c>
      <c r="AG108" s="177">
        <v>1306594.0489174472</v>
      </c>
      <c r="AH108" s="177">
        <v>1145874.8462906063</v>
      </c>
      <c r="AI108" s="178">
        <v>983166.78278975887</v>
      </c>
      <c r="AK108" s="67">
        <f t="shared" si="49"/>
        <v>15744279.326441878</v>
      </c>
      <c r="AL108" s="67">
        <f t="shared" si="50"/>
        <v>1109168.4885722985</v>
      </c>
      <c r="AM108" s="67">
        <f t="shared" si="51"/>
        <v>32170988.035278529</v>
      </c>
      <c r="AN108" s="67">
        <f t="shared" si="52"/>
        <v>49967054.353451364</v>
      </c>
      <c r="AO108" s="67">
        <f t="shared" si="53"/>
        <v>0</v>
      </c>
      <c r="AP108" s="67">
        <f t="shared" si="54"/>
        <v>1477844.951472383</v>
      </c>
      <c r="AQ108" s="67">
        <f t="shared" si="55"/>
        <v>1306594.0489174472</v>
      </c>
      <c r="AR108" s="67">
        <f t="shared" si="56"/>
        <v>1145874.8462906063</v>
      </c>
      <c r="AS108" s="67">
        <f t="shared" si="57"/>
        <v>983166.78278975887</v>
      </c>
      <c r="AT108" s="68">
        <v>2912</v>
      </c>
      <c r="AU108" s="68"/>
      <c r="AV108" s="68"/>
      <c r="AW108" s="68">
        <v>0</v>
      </c>
      <c r="AX108" s="68">
        <v>27168.647425244995</v>
      </c>
      <c r="AY108" s="68">
        <v>-5090.1219064357974</v>
      </c>
      <c r="AZ108" s="68">
        <v>4912.1376916886156</v>
      </c>
      <c r="BA108" s="299"/>
      <c r="BB108" s="67"/>
      <c r="BC108" s="67"/>
      <c r="BD108" s="67"/>
      <c r="BE108" s="67"/>
      <c r="BF108" s="67"/>
      <c r="BG108" s="67"/>
      <c r="BH108" s="67"/>
      <c r="BN108" s="299"/>
      <c r="BO108" s="67">
        <v>27564674.142794475</v>
      </c>
      <c r="BP108" s="67">
        <v>45290754.420000002</v>
      </c>
      <c r="BQ108" s="67">
        <v>49507000</v>
      </c>
      <c r="BR108" s="67">
        <v>892542.94</v>
      </c>
      <c r="BS108" s="67">
        <v>962000</v>
      </c>
      <c r="BT108" s="428">
        <v>0.59177417112684239</v>
      </c>
      <c r="BU108" s="428">
        <v>0.33464287704132484</v>
      </c>
      <c r="BV108" s="67">
        <f t="shared" si="58"/>
        <v>39619103.251220636</v>
      </c>
      <c r="BW108" s="299"/>
      <c r="BX108" s="67">
        <v>74888311.790000007</v>
      </c>
      <c r="BY108" s="67">
        <v>27564674.142794475</v>
      </c>
      <c r="BZ108" s="67">
        <v>33856886.71024324</v>
      </c>
      <c r="CA108" s="67">
        <v>16439758.301015012</v>
      </c>
      <c r="CB108" s="67">
        <f t="shared" si="59"/>
        <v>4311158.9591157269</v>
      </c>
      <c r="CC108" s="67">
        <f t="shared" si="60"/>
        <v>127.50204328768828</v>
      </c>
      <c r="CD108" s="67">
        <f t="shared" si="61"/>
        <v>171.82405000719805</v>
      </c>
      <c r="CE108" s="67">
        <f t="shared" si="62"/>
        <v>44.322006719509773</v>
      </c>
      <c r="CF108" s="67">
        <f t="shared" si="63"/>
        <v>-29.322006719509773</v>
      </c>
      <c r="CG108" s="67">
        <f t="shared" si="64"/>
        <v>-14.322006719509773</v>
      </c>
      <c r="CH108" s="67">
        <f t="shared" si="65"/>
        <v>0</v>
      </c>
      <c r="CI108" s="67">
        <f t="shared" si="66"/>
        <v>0</v>
      </c>
      <c r="CJ108" s="67">
        <f t="shared" si="67"/>
        <v>-285215.15936067153</v>
      </c>
      <c r="CK108" s="67">
        <f t="shared" si="68"/>
        <v>-139310.15936067156</v>
      </c>
      <c r="CL108" s="67">
        <f t="shared" si="69"/>
        <v>0</v>
      </c>
      <c r="CM108" s="67">
        <f t="shared" si="70"/>
        <v>0</v>
      </c>
      <c r="CN108" s="299"/>
      <c r="CO108" s="430">
        <v>26605.215459914369</v>
      </c>
      <c r="CP108" s="430">
        <v>3314.4840803987231</v>
      </c>
      <c r="CQ108" s="430">
        <v>2914.5709999999999</v>
      </c>
      <c r="CR108" s="430">
        <v>38023761.869892992</v>
      </c>
      <c r="CS108" s="430">
        <v>5852773.8346144641</v>
      </c>
      <c r="CT108" s="430">
        <v>6994909.1348532606</v>
      </c>
      <c r="CU108" s="430">
        <v>2097339.0436756117</v>
      </c>
      <c r="CV108" s="430">
        <v>-1033480</v>
      </c>
      <c r="CW108" s="430">
        <v>74912.788263939467</v>
      </c>
      <c r="CX108" s="430">
        <v>406835.67</v>
      </c>
      <c r="CY108" s="430">
        <v>26019030.48654864</v>
      </c>
      <c r="CZ108" s="519"/>
      <c r="DA108" s="524">
        <v>27380.990750000001</v>
      </c>
      <c r="DB108" s="524">
        <v>3288.5646016435094</v>
      </c>
      <c r="DC108" s="520">
        <f t="shared" si="71"/>
        <v>-1</v>
      </c>
      <c r="DD108" s="493">
        <v>9877</v>
      </c>
      <c r="DE108" s="494">
        <v>27564674.142794475</v>
      </c>
      <c r="DF108" s="440">
        <v>11536292.741615012</v>
      </c>
      <c r="DG108" s="440">
        <v>2919330.2420000001</v>
      </c>
      <c r="DH108" s="493">
        <v>1984135.3174000001</v>
      </c>
      <c r="DI108" s="440">
        <v>5837214.4160801927</v>
      </c>
      <c r="DJ108" s="440">
        <v>2103577.4837092487</v>
      </c>
      <c r="DK108" s="440">
        <v>4309780.9450360192</v>
      </c>
      <c r="DL108" s="493">
        <v>-1126957</v>
      </c>
      <c r="DM108" s="440">
        <v>365700</v>
      </c>
      <c r="DN108" s="440">
        <v>77205.472319339475</v>
      </c>
      <c r="DO108" s="457">
        <f t="shared" si="72"/>
        <v>441605.47536534071</v>
      </c>
      <c r="DP108" s="459">
        <f t="shared" si="73"/>
        <v>44.71048652073916</v>
      </c>
      <c r="DQ108" s="493"/>
      <c r="DR108" s="494">
        <v>74888311.790000007</v>
      </c>
      <c r="DS108" s="440">
        <v>27961353.492143236</v>
      </c>
      <c r="DT108" s="493">
        <v>2976202.9761000001</v>
      </c>
      <c r="DU108" s="493">
        <v>38008262.799892984</v>
      </c>
      <c r="DV108" s="493">
        <v>7015715.1753978645</v>
      </c>
      <c r="DW108" s="493">
        <v>2158073.2420000001</v>
      </c>
      <c r="DX108" s="457">
        <f t="shared" si="74"/>
        <v>3231295.8955340832</v>
      </c>
      <c r="DY108" s="459">
        <f t="shared" si="75"/>
        <v>327.15357856981706</v>
      </c>
      <c r="DZ108" s="493"/>
      <c r="EA108" s="457">
        <f t="shared" si="76"/>
        <v>-2789690.4201687425</v>
      </c>
      <c r="EB108" s="459">
        <f t="shared" si="77"/>
        <v>-282.4430920490779</v>
      </c>
      <c r="ED108" s="457">
        <v>2830835.1857600482</v>
      </c>
      <c r="EE108" s="458">
        <v>2669882.014617648</v>
      </c>
      <c r="EF108" s="458">
        <v>2510974.2543230625</v>
      </c>
      <c r="EG108" s="458">
        <v>2351063.2637990238</v>
      </c>
      <c r="EH108" s="459">
        <v>2193266.3447274454</v>
      </c>
    </row>
    <row r="109" spans="1:138" x14ac:dyDescent="0.2">
      <c r="A109" s="67">
        <v>261</v>
      </c>
      <c r="B109" s="67" t="s">
        <v>230</v>
      </c>
      <c r="C109" s="67">
        <v>19</v>
      </c>
      <c r="D109" s="67">
        <v>6637</v>
      </c>
      <c r="E109" s="82">
        <v>26459265.5676018</v>
      </c>
      <c r="F109" s="67">
        <v>8757040.3073336873</v>
      </c>
      <c r="G109" s="67">
        <v>7868746</v>
      </c>
      <c r="H109" s="67">
        <v>3756130.6207977226</v>
      </c>
      <c r="I109" s="67">
        <v>8064914.4919462427</v>
      </c>
      <c r="J109" s="67">
        <v>1240157.0008223974</v>
      </c>
      <c r="K109" s="67">
        <v>-140659.69896113421</v>
      </c>
      <c r="L109" s="67">
        <v>264358</v>
      </c>
      <c r="M109" s="68">
        <v>2498225.56</v>
      </c>
      <c r="N109" s="68">
        <v>67948.476022130853</v>
      </c>
      <c r="O109" s="68">
        <v>-193159.04289506472</v>
      </c>
      <c r="P109" s="168">
        <f t="shared" si="43"/>
        <v>5724436.147464185</v>
      </c>
      <c r="Q109" s="169">
        <f t="shared" si="44"/>
        <v>862.50356297486587</v>
      </c>
      <c r="R109" s="67"/>
      <c r="S109" s="82">
        <v>56769434.679999992</v>
      </c>
      <c r="T109" s="67">
        <v>22154542.817510199</v>
      </c>
      <c r="U109" s="67">
        <v>5645285.052477018</v>
      </c>
      <c r="V109" s="67">
        <v>21366636.261707067</v>
      </c>
      <c r="W109" s="67">
        <v>4136091.1865265919</v>
      </c>
      <c r="X109" s="67">
        <v>10631329.560000001</v>
      </c>
      <c r="Y109" s="168">
        <f t="shared" si="45"/>
        <v>7164450.1982208788</v>
      </c>
      <c r="Z109" s="169">
        <f t="shared" si="46"/>
        <v>1079.4711764684164</v>
      </c>
      <c r="AA109" s="67"/>
      <c r="AB109" s="77">
        <f t="shared" si="47"/>
        <v>-1440014.0507566938</v>
      </c>
      <c r="AC109" s="123">
        <f t="shared" si="48"/>
        <v>-216.96761349355037</v>
      </c>
      <c r="AE109" s="170"/>
      <c r="AF109" s="177">
        <v>1348079.1696802594</v>
      </c>
      <c r="AG109" s="177">
        <v>1231229.9622928728</v>
      </c>
      <c r="AH109" s="177">
        <v>1121566.8238293855</v>
      </c>
      <c r="AI109" s="178">
        <v>1010546.6308145685</v>
      </c>
      <c r="AK109" s="67">
        <f t="shared" si="49"/>
        <v>13397502.510176511</v>
      </c>
      <c r="AL109" s="67">
        <f t="shared" si="50"/>
        <v>1889154.4316792954</v>
      </c>
      <c r="AM109" s="67">
        <f t="shared" si="51"/>
        <v>13301721.769760825</v>
      </c>
      <c r="AN109" s="67">
        <f t="shared" si="52"/>
        <v>30310169.112398192</v>
      </c>
      <c r="AO109" s="67">
        <f t="shared" si="53"/>
        <v>0</v>
      </c>
      <c r="AP109" s="67">
        <f t="shared" si="54"/>
        <v>1348079.1696802594</v>
      </c>
      <c r="AQ109" s="67">
        <f t="shared" si="55"/>
        <v>1231229.9622928728</v>
      </c>
      <c r="AR109" s="67">
        <f t="shared" si="56"/>
        <v>1121566.8238293855</v>
      </c>
      <c r="AS109" s="67">
        <f t="shared" si="57"/>
        <v>1010546.6308145685</v>
      </c>
      <c r="AT109" s="68">
        <v>2940</v>
      </c>
      <c r="AU109" s="68"/>
      <c r="AV109" s="68"/>
      <c r="AW109" s="68">
        <v>75</v>
      </c>
      <c r="AX109" s="68">
        <v>11039.941587478343</v>
      </c>
      <c r="AY109" s="68">
        <v>-727.99299888503435</v>
      </c>
      <c r="AZ109" s="68">
        <v>2894.3925153420869</v>
      </c>
      <c r="BA109" s="299"/>
      <c r="BB109" s="67"/>
      <c r="BC109" s="67"/>
      <c r="BD109" s="67"/>
      <c r="BE109" s="67"/>
      <c r="BF109" s="67"/>
      <c r="BG109" s="67"/>
      <c r="BH109" s="67"/>
      <c r="BN109" s="299"/>
      <c r="BO109" s="67">
        <v>27904290.738545068</v>
      </c>
      <c r="BP109" s="67">
        <v>28000759.470000006</v>
      </c>
      <c r="BQ109" s="67">
        <v>28693000</v>
      </c>
      <c r="BR109" s="67">
        <v>949663.56</v>
      </c>
      <c r="BS109" s="67">
        <v>984000</v>
      </c>
      <c r="BT109" s="428">
        <v>0.60472936049881287</v>
      </c>
      <c r="BU109" s="428">
        <v>0.33464287704132478</v>
      </c>
      <c r="BV109" s="67">
        <f t="shared" si="58"/>
        <v>16056996.256503886</v>
      </c>
      <c r="BW109" s="299"/>
      <c r="BX109" s="67">
        <v>58242853</v>
      </c>
      <c r="BY109" s="67">
        <v>27904290.738545068</v>
      </c>
      <c r="BZ109" s="67">
        <v>35027775.96280469</v>
      </c>
      <c r="CA109" s="67">
        <v>20076737.377543021</v>
      </c>
      <c r="CB109" s="67">
        <f t="shared" si="59"/>
        <v>-477614.71036277915</v>
      </c>
      <c r="CC109" s="67">
        <f t="shared" si="60"/>
        <v>1079.4711764684175</v>
      </c>
      <c r="CD109" s="67">
        <f t="shared" si="61"/>
        <v>840.83775485273475</v>
      </c>
      <c r="CE109" s="67">
        <f t="shared" si="62"/>
        <v>-238.63342161568278</v>
      </c>
      <c r="CF109" s="67">
        <f t="shared" si="63"/>
        <v>223.63342161568278</v>
      </c>
      <c r="CG109" s="67">
        <f t="shared" si="64"/>
        <v>208.63342161568278</v>
      </c>
      <c r="CH109" s="67">
        <f t="shared" si="65"/>
        <v>193.63342161568278</v>
      </c>
      <c r="CI109" s="67">
        <f t="shared" si="66"/>
        <v>178.63342161568278</v>
      </c>
      <c r="CJ109" s="67">
        <f t="shared" si="67"/>
        <v>1484255.0192632866</v>
      </c>
      <c r="CK109" s="67">
        <f t="shared" si="68"/>
        <v>1384700.0192632866</v>
      </c>
      <c r="CL109" s="67">
        <f t="shared" si="69"/>
        <v>1285145.0192632866</v>
      </c>
      <c r="CM109" s="67">
        <f t="shared" si="70"/>
        <v>1185590.0192632866</v>
      </c>
      <c r="CN109" s="299"/>
      <c r="CO109" s="430">
        <v>22154.542817510199</v>
      </c>
      <c r="CP109" s="430">
        <v>5645.2850524770183</v>
      </c>
      <c r="CQ109" s="430">
        <v>7868.7460000000001</v>
      </c>
      <c r="CR109" s="430">
        <v>21366636.261707067</v>
      </c>
      <c r="CS109" s="430">
        <v>8064914.4919462427</v>
      </c>
      <c r="CT109" s="430">
        <v>4136091.1865265919</v>
      </c>
      <c r="CU109" s="430">
        <v>1240157.0008223974</v>
      </c>
      <c r="CV109" s="430">
        <v>264358</v>
      </c>
      <c r="CW109" s="430">
        <v>67948.476022130853</v>
      </c>
      <c r="CX109" s="430">
        <v>2498225.56</v>
      </c>
      <c r="CY109" s="430">
        <v>26459265.5676018</v>
      </c>
      <c r="CZ109" s="519"/>
      <c r="DA109" s="524">
        <v>23578.80644</v>
      </c>
      <c r="DB109" s="524">
        <v>5601.153715909546</v>
      </c>
      <c r="DC109" s="520">
        <f t="shared" si="71"/>
        <v>-1</v>
      </c>
      <c r="DD109" s="440">
        <v>6523</v>
      </c>
      <c r="DE109" s="450">
        <v>27904290.738545068</v>
      </c>
      <c r="DF109" s="440">
        <v>8874648.4337430224</v>
      </c>
      <c r="DG109" s="440">
        <v>7822676.2878</v>
      </c>
      <c r="DH109" s="440">
        <v>3379412.6559999995</v>
      </c>
      <c r="DI109" s="440">
        <v>8054801.9782903288</v>
      </c>
      <c r="DJ109" s="440">
        <v>1239496.7947645532</v>
      </c>
      <c r="DK109" s="440">
        <v>-476562.29855948989</v>
      </c>
      <c r="DL109" s="440">
        <v>221131</v>
      </c>
      <c r="DM109" s="440">
        <v>2370303</v>
      </c>
      <c r="DN109" s="440">
        <v>66273.955644043192</v>
      </c>
      <c r="DO109" s="457">
        <f t="shared" si="72"/>
        <v>3647891.0691373907</v>
      </c>
      <c r="DP109" s="459">
        <f t="shared" si="73"/>
        <v>559.23517846656307</v>
      </c>
      <c r="DQ109" s="440"/>
      <c r="DR109" s="450">
        <v>58242853</v>
      </c>
      <c r="DS109" s="440">
        <v>22135980.69100469</v>
      </c>
      <c r="DT109" s="440">
        <v>5069118.9839999992</v>
      </c>
      <c r="DU109" s="440">
        <v>21356553.121707071</v>
      </c>
      <c r="DV109" s="440">
        <v>4133889.3101066402</v>
      </c>
      <c r="DW109" s="440">
        <v>10414110.287799999</v>
      </c>
      <c r="DX109" s="457">
        <f t="shared" si="74"/>
        <v>4866799.394618392</v>
      </c>
      <c r="DY109" s="459">
        <f t="shared" si="75"/>
        <v>746.09832816470828</v>
      </c>
      <c r="DZ109" s="440"/>
      <c r="EA109" s="457">
        <f t="shared" si="76"/>
        <v>-1218908.3254810013</v>
      </c>
      <c r="EB109" s="459">
        <f t="shared" si="77"/>
        <v>-186.86314969814524</v>
      </c>
      <c r="ED109" s="457">
        <v>1246081.2834593584</v>
      </c>
      <c r="EE109" s="458">
        <v>1139784.0742498941</v>
      </c>
      <c r="EF109" s="458">
        <v>1034837.7018289586</v>
      </c>
      <c r="EG109" s="458">
        <v>929228.77288410673</v>
      </c>
      <c r="EH109" s="459">
        <v>825016.02578438935</v>
      </c>
    </row>
    <row r="110" spans="1:138" x14ac:dyDescent="0.2">
      <c r="A110" s="67">
        <v>263</v>
      </c>
      <c r="B110" s="67" t="s">
        <v>231</v>
      </c>
      <c r="C110" s="67">
        <v>11</v>
      </c>
      <c r="D110" s="67">
        <v>7597</v>
      </c>
      <c r="E110" s="82">
        <v>21157891.533373334</v>
      </c>
      <c r="F110" s="67">
        <v>9389992.629821049</v>
      </c>
      <c r="G110" s="67">
        <v>1712670</v>
      </c>
      <c r="H110" s="67">
        <v>1844620.3788931656</v>
      </c>
      <c r="I110" s="67">
        <v>6450165.9968268424</v>
      </c>
      <c r="J110" s="67">
        <v>1715056.7719500144</v>
      </c>
      <c r="K110" s="67">
        <v>473204.49644327076</v>
      </c>
      <c r="L110" s="67">
        <v>-343160</v>
      </c>
      <c r="M110" s="68">
        <v>755490.71</v>
      </c>
      <c r="N110" s="68">
        <v>56620.714142076089</v>
      </c>
      <c r="O110" s="68">
        <v>-221098.27465327809</v>
      </c>
      <c r="P110" s="168">
        <f t="shared" si="43"/>
        <v>675671.89004980796</v>
      </c>
      <c r="Q110" s="169">
        <f t="shared" si="44"/>
        <v>88.939303679058568</v>
      </c>
      <c r="R110" s="67"/>
      <c r="S110" s="82">
        <v>59940373.679999992</v>
      </c>
      <c r="T110" s="67">
        <v>21200438.908665046</v>
      </c>
      <c r="U110" s="67">
        <v>2772376.3904271508</v>
      </c>
      <c r="V110" s="67">
        <v>28979367.667388659</v>
      </c>
      <c r="W110" s="67">
        <v>5719946.0988819422</v>
      </c>
      <c r="X110" s="67">
        <v>2125000.71</v>
      </c>
      <c r="Y110" s="168">
        <f t="shared" si="45"/>
        <v>856756.09536280483</v>
      </c>
      <c r="Z110" s="169">
        <f t="shared" si="46"/>
        <v>112.77558185636499</v>
      </c>
      <c r="AA110" s="67"/>
      <c r="AB110" s="77">
        <f t="shared" si="47"/>
        <v>-181084.20531299687</v>
      </c>
      <c r="AC110" s="123">
        <f t="shared" si="48"/>
        <v>-23.836278177306419</v>
      </c>
      <c r="AE110" s="170"/>
      <c r="AF110" s="177">
        <v>75851.526160105524</v>
      </c>
      <c r="AG110" s="177">
        <v>-11073.384068060579</v>
      </c>
      <c r="AH110" s="177">
        <v>-22643.600718220874</v>
      </c>
      <c r="AI110" s="178">
        <v>-35767.161262678455</v>
      </c>
      <c r="AK110" s="67">
        <f t="shared" si="49"/>
        <v>11810446.278843997</v>
      </c>
      <c r="AL110" s="67">
        <f t="shared" si="50"/>
        <v>927756.01153398515</v>
      </c>
      <c r="AM110" s="67">
        <f t="shared" si="51"/>
        <v>22529201.670561817</v>
      </c>
      <c r="AN110" s="67">
        <f t="shared" si="52"/>
        <v>38782482.146626659</v>
      </c>
      <c r="AO110" s="67">
        <f t="shared" si="53"/>
        <v>0</v>
      </c>
      <c r="AP110" s="67">
        <f t="shared" si="54"/>
        <v>75851.526160105524</v>
      </c>
      <c r="AQ110" s="67">
        <f t="shared" si="55"/>
        <v>-11073.384068060579</v>
      </c>
      <c r="AR110" s="67">
        <f t="shared" si="56"/>
        <v>-22643.600718220874</v>
      </c>
      <c r="AS110" s="67">
        <f t="shared" si="57"/>
        <v>-35767.161262678455</v>
      </c>
      <c r="AT110" s="68">
        <v>3693</v>
      </c>
      <c r="AU110" s="68"/>
      <c r="AV110" s="68"/>
      <c r="AW110" s="68">
        <v>4</v>
      </c>
      <c r="AX110" s="68">
        <v>18211.140747920486</v>
      </c>
      <c r="AY110" s="68">
        <v>-4452.4463816238531</v>
      </c>
      <c r="AZ110" s="68">
        <v>4020.712283331683</v>
      </c>
      <c r="BA110" s="299"/>
      <c r="BB110" s="67"/>
      <c r="BC110" s="67"/>
      <c r="BD110" s="67"/>
      <c r="BE110" s="67"/>
      <c r="BF110" s="67"/>
      <c r="BG110" s="67"/>
      <c r="BH110" s="67"/>
      <c r="BN110" s="299"/>
      <c r="BO110" s="67">
        <v>21179532.330926426</v>
      </c>
      <c r="BP110" s="67">
        <v>35412997.599999994</v>
      </c>
      <c r="BQ110" s="67">
        <v>37633000</v>
      </c>
      <c r="BR110" s="67">
        <v>856335.54999999993</v>
      </c>
      <c r="BS110" s="67">
        <v>1114000</v>
      </c>
      <c r="BT110" s="428">
        <v>0.55708498912335391</v>
      </c>
      <c r="BU110" s="428">
        <v>0.33464287704132489</v>
      </c>
      <c r="BV110" s="67">
        <f t="shared" si="58"/>
        <v>27007295.493937016</v>
      </c>
      <c r="BW110" s="299"/>
      <c r="BX110" s="67">
        <v>58787978</v>
      </c>
      <c r="BY110" s="67">
        <v>21179532.330926426</v>
      </c>
      <c r="BZ110" s="67">
        <v>26257433.474993903</v>
      </c>
      <c r="CA110" s="67">
        <v>13231695.536078785</v>
      </c>
      <c r="CB110" s="67">
        <f t="shared" si="59"/>
        <v>1225005.0031143059</v>
      </c>
      <c r="CC110" s="67">
        <f t="shared" si="60"/>
        <v>112.77558185636499</v>
      </c>
      <c r="CD110" s="67">
        <f t="shared" si="61"/>
        <v>217.00285262263003</v>
      </c>
      <c r="CE110" s="67">
        <f t="shared" si="62"/>
        <v>104.22727076626504</v>
      </c>
      <c r="CF110" s="67">
        <f t="shared" si="63"/>
        <v>-89.227270766265036</v>
      </c>
      <c r="CG110" s="67">
        <f t="shared" si="64"/>
        <v>-74.227270766265036</v>
      </c>
      <c r="CH110" s="67">
        <f t="shared" si="65"/>
        <v>-59.227270766265036</v>
      </c>
      <c r="CI110" s="67">
        <f t="shared" si="66"/>
        <v>-44.227270766265036</v>
      </c>
      <c r="CJ110" s="67">
        <f t="shared" si="67"/>
        <v>-677859.57601131545</v>
      </c>
      <c r="CK110" s="67">
        <f t="shared" si="68"/>
        <v>-563904.57601131545</v>
      </c>
      <c r="CL110" s="67">
        <f t="shared" si="69"/>
        <v>-449949.57601131545</v>
      </c>
      <c r="CM110" s="67">
        <f t="shared" si="70"/>
        <v>-335994.57601131545</v>
      </c>
      <c r="CN110" s="299"/>
      <c r="CO110" s="430">
        <v>21200.438908665044</v>
      </c>
      <c r="CP110" s="430">
        <v>2772.3763904271509</v>
      </c>
      <c r="CQ110" s="430">
        <v>1712.67</v>
      </c>
      <c r="CR110" s="430">
        <v>28979367.667388659</v>
      </c>
      <c r="CS110" s="430">
        <v>6450165.9968268424</v>
      </c>
      <c r="CT110" s="430">
        <v>5719946.0988819422</v>
      </c>
      <c r="CU110" s="430">
        <v>1715056.7719500144</v>
      </c>
      <c r="CV110" s="430">
        <v>-343160</v>
      </c>
      <c r="CW110" s="430">
        <v>56620.714142076089</v>
      </c>
      <c r="CX110" s="430">
        <v>755490.71</v>
      </c>
      <c r="CY110" s="430">
        <v>21157891.533373334</v>
      </c>
      <c r="CZ110" s="519"/>
      <c r="DA110" s="524">
        <v>21824.70563</v>
      </c>
      <c r="DB110" s="524">
        <v>2750.6946317089087</v>
      </c>
      <c r="DC110" s="520">
        <f t="shared" si="71"/>
        <v>-1</v>
      </c>
      <c r="DD110" s="440">
        <v>7759</v>
      </c>
      <c r="DE110" s="450">
        <v>21179532.330926426</v>
      </c>
      <c r="DF110" s="440">
        <v>9841267.1747787837</v>
      </c>
      <c r="DG110" s="440">
        <v>1730812.6335</v>
      </c>
      <c r="DH110" s="440">
        <v>1659615.7278000002</v>
      </c>
      <c r="DI110" s="440">
        <v>6437832.8591687875</v>
      </c>
      <c r="DJ110" s="440">
        <v>1721832.8065193584</v>
      </c>
      <c r="DK110" s="440">
        <v>1224315.5131435227</v>
      </c>
      <c r="DL110" s="440">
        <v>-354103</v>
      </c>
      <c r="DM110" s="440">
        <v>586067</v>
      </c>
      <c r="DN110" s="440">
        <v>57739.612768144216</v>
      </c>
      <c r="DO110" s="457">
        <f t="shared" si="72"/>
        <v>1725847.9967521727</v>
      </c>
      <c r="DP110" s="459">
        <f t="shared" si="73"/>
        <v>222.43175625108555</v>
      </c>
      <c r="DQ110" s="440"/>
      <c r="DR110" s="450">
        <v>58787978</v>
      </c>
      <c r="DS110" s="440">
        <v>22037197.249793906</v>
      </c>
      <c r="DT110" s="440">
        <v>2489423.5917000002</v>
      </c>
      <c r="DU110" s="440">
        <v>28967073.667388652</v>
      </c>
      <c r="DV110" s="440">
        <v>5742545.0898510413</v>
      </c>
      <c r="DW110" s="440">
        <v>1962776.6335</v>
      </c>
      <c r="DX110" s="457">
        <f t="shared" si="74"/>
        <v>2411038.2322335988</v>
      </c>
      <c r="DY110" s="459">
        <f t="shared" si="75"/>
        <v>310.74084704647493</v>
      </c>
      <c r="DZ110" s="440"/>
      <c r="EA110" s="457">
        <f t="shared" si="76"/>
        <v>-685190.23548142612</v>
      </c>
      <c r="EB110" s="459">
        <f t="shared" si="77"/>
        <v>-88.309090795389366</v>
      </c>
      <c r="ED110" s="457">
        <v>717512.01701661176</v>
      </c>
      <c r="EE110" s="458">
        <v>591073.25475136074</v>
      </c>
      <c r="EF110" s="458">
        <v>466241.29037698713</v>
      </c>
      <c r="EG110" s="458">
        <v>340621.22603801638</v>
      </c>
      <c r="EH110" s="459">
        <v>216661.89678051107</v>
      </c>
    </row>
    <row r="111" spans="1:138" x14ac:dyDescent="0.2">
      <c r="A111" s="67">
        <v>265</v>
      </c>
      <c r="B111" s="67" t="s">
        <v>232</v>
      </c>
      <c r="C111" s="67">
        <v>13</v>
      </c>
      <c r="D111" s="67">
        <v>1064</v>
      </c>
      <c r="E111" s="82">
        <v>2860140.235811322</v>
      </c>
      <c r="F111" s="67">
        <v>1276592.0806201112</v>
      </c>
      <c r="G111" s="67">
        <v>526036</v>
      </c>
      <c r="H111" s="67">
        <v>585019.41823157866</v>
      </c>
      <c r="I111" s="67">
        <v>1011933.1066308215</v>
      </c>
      <c r="J111" s="67">
        <v>246994.62649182999</v>
      </c>
      <c r="K111" s="67">
        <v>451175.22513668536</v>
      </c>
      <c r="L111" s="67">
        <v>-292077</v>
      </c>
      <c r="M111" s="68">
        <v>911.91</v>
      </c>
      <c r="N111" s="68">
        <v>8430.4520954923555</v>
      </c>
      <c r="O111" s="68">
        <v>-30965.981865353151</v>
      </c>
      <c r="P111" s="168">
        <f t="shared" si="43"/>
        <v>923909.60152984387</v>
      </c>
      <c r="Q111" s="169">
        <f t="shared" si="44"/>
        <v>868.33609166338715</v>
      </c>
      <c r="R111" s="67"/>
      <c r="S111" s="82">
        <v>8577137.4799999986</v>
      </c>
      <c r="T111" s="67">
        <v>2878989.8113077837</v>
      </c>
      <c r="U111" s="67">
        <v>879256.26410993387</v>
      </c>
      <c r="V111" s="67">
        <v>4899984.5779043213</v>
      </c>
      <c r="W111" s="67">
        <v>823760.45700248203</v>
      </c>
      <c r="X111" s="67">
        <v>234870.91</v>
      </c>
      <c r="Y111" s="168">
        <f t="shared" si="45"/>
        <v>1139724.5403245222</v>
      </c>
      <c r="Z111" s="169">
        <f t="shared" si="46"/>
        <v>1071.1696807561298</v>
      </c>
      <c r="AA111" s="67"/>
      <c r="AB111" s="77">
        <f t="shared" si="47"/>
        <v>-215814.93879467831</v>
      </c>
      <c r="AC111" s="123">
        <f t="shared" si="48"/>
        <v>-202.83358909274278</v>
      </c>
      <c r="AE111" s="170"/>
      <c r="AF111" s="177">
        <v>201076.5459266151</v>
      </c>
      <c r="AG111" s="177">
        <v>182344.05283332308</v>
      </c>
      <c r="AH111" s="177">
        <v>164763.58284309393</v>
      </c>
      <c r="AI111" s="178">
        <v>146965.55883107567</v>
      </c>
      <c r="AK111" s="67">
        <f t="shared" si="49"/>
        <v>1602397.7306876725</v>
      </c>
      <c r="AL111" s="67">
        <f t="shared" si="50"/>
        <v>294236.84587835521</v>
      </c>
      <c r="AM111" s="67">
        <f t="shared" si="51"/>
        <v>3888051.4712734995</v>
      </c>
      <c r="AN111" s="67">
        <f t="shared" si="52"/>
        <v>5716997.2441886766</v>
      </c>
      <c r="AO111" s="67">
        <f t="shared" si="53"/>
        <v>0</v>
      </c>
      <c r="AP111" s="67">
        <f t="shared" si="54"/>
        <v>201076.5459266151</v>
      </c>
      <c r="AQ111" s="67">
        <f t="shared" si="55"/>
        <v>182344.05283332308</v>
      </c>
      <c r="AR111" s="67">
        <f t="shared" si="56"/>
        <v>164763.58284309393</v>
      </c>
      <c r="AS111" s="67">
        <f t="shared" si="57"/>
        <v>146965.55883107567</v>
      </c>
      <c r="AT111" s="68">
        <v>557</v>
      </c>
      <c r="AU111" s="68"/>
      <c r="AV111" s="68"/>
      <c r="AW111" s="68">
        <v>0</v>
      </c>
      <c r="AX111" s="68">
        <v>3416.853783695472</v>
      </c>
      <c r="AY111" s="68">
        <v>-556.16623220780866</v>
      </c>
      <c r="AZ111" s="68">
        <v>577.12278810614839</v>
      </c>
      <c r="BA111" s="299"/>
      <c r="BB111" s="67"/>
      <c r="BC111" s="67"/>
      <c r="BD111" s="67"/>
      <c r="BE111" s="67"/>
      <c r="BF111" s="67"/>
      <c r="BG111" s="67"/>
      <c r="BH111" s="67"/>
      <c r="BN111" s="299"/>
      <c r="BO111" s="67">
        <v>3111076.560723477</v>
      </c>
      <c r="BP111" s="67">
        <v>5394736.7599999998</v>
      </c>
      <c r="BQ111" s="67">
        <v>5456000</v>
      </c>
      <c r="BR111" s="67">
        <v>98779.950000000012</v>
      </c>
      <c r="BS111" s="67">
        <v>109000</v>
      </c>
      <c r="BT111" s="428">
        <v>0.55658332808054711</v>
      </c>
      <c r="BU111" s="428">
        <v>0.33464287704132478</v>
      </c>
      <c r="BV111" s="67">
        <f t="shared" si="58"/>
        <v>4915992.5269208374</v>
      </c>
      <c r="BW111" s="299"/>
      <c r="BX111" s="67">
        <v>8777590</v>
      </c>
      <c r="BY111" s="67">
        <v>3111076.560723477</v>
      </c>
      <c r="BZ111" s="67">
        <v>4149050.9362993538</v>
      </c>
      <c r="CA111" s="67">
        <v>2319112.9307296546</v>
      </c>
      <c r="CB111" s="67">
        <f t="shared" si="59"/>
        <v>422805.18066956545</v>
      </c>
      <c r="CC111" s="67">
        <f t="shared" si="60"/>
        <v>1071.1696807561302</v>
      </c>
      <c r="CD111" s="67">
        <f t="shared" si="61"/>
        <v>870.77588245120035</v>
      </c>
      <c r="CE111" s="67">
        <f t="shared" si="62"/>
        <v>-200.39379830492987</v>
      </c>
      <c r="CF111" s="67">
        <f t="shared" si="63"/>
        <v>185.39379830492987</v>
      </c>
      <c r="CG111" s="67">
        <f t="shared" si="64"/>
        <v>170.39379830492987</v>
      </c>
      <c r="CH111" s="67">
        <f t="shared" si="65"/>
        <v>155.39379830492987</v>
      </c>
      <c r="CI111" s="67">
        <f t="shared" si="66"/>
        <v>140.39379830492987</v>
      </c>
      <c r="CJ111" s="67">
        <f t="shared" si="67"/>
        <v>197259.00139644538</v>
      </c>
      <c r="CK111" s="67">
        <f t="shared" si="68"/>
        <v>181299.00139644538</v>
      </c>
      <c r="CL111" s="67">
        <f t="shared" si="69"/>
        <v>165339.00139644538</v>
      </c>
      <c r="CM111" s="67">
        <f t="shared" si="70"/>
        <v>149379.00139644538</v>
      </c>
      <c r="CN111" s="299"/>
      <c r="CO111" s="430">
        <v>2878.9898113077838</v>
      </c>
      <c r="CP111" s="430">
        <v>879.25626410993391</v>
      </c>
      <c r="CQ111" s="430">
        <v>526.03599999999994</v>
      </c>
      <c r="CR111" s="430">
        <v>4899984.5779043213</v>
      </c>
      <c r="CS111" s="430">
        <v>1011933.1066308215</v>
      </c>
      <c r="CT111" s="430">
        <v>823760.45700248203</v>
      </c>
      <c r="CU111" s="430">
        <v>246994.62649182999</v>
      </c>
      <c r="CV111" s="430">
        <v>-292077</v>
      </c>
      <c r="CW111" s="430">
        <v>8430.4520954923555</v>
      </c>
      <c r="CX111" s="430">
        <v>911.91</v>
      </c>
      <c r="CY111" s="430">
        <v>2860140.235811322</v>
      </c>
      <c r="CZ111" s="519"/>
      <c r="DA111" s="524">
        <v>2741.2178599999997</v>
      </c>
      <c r="DB111" s="524">
        <v>872.37998198070011</v>
      </c>
      <c r="DC111" s="520">
        <f t="shared" si="71"/>
        <v>-1</v>
      </c>
      <c r="DD111" s="440">
        <v>1088</v>
      </c>
      <c r="DE111" s="450">
        <v>3111076.560723477</v>
      </c>
      <c r="DF111" s="440">
        <v>1263624.5525296545</v>
      </c>
      <c r="DG111" s="440">
        <v>529142.99099999992</v>
      </c>
      <c r="DH111" s="440">
        <v>526345.3872</v>
      </c>
      <c r="DI111" s="440">
        <v>1010198.7309728772</v>
      </c>
      <c r="DJ111" s="440">
        <v>247147.490276939</v>
      </c>
      <c r="DK111" s="440">
        <v>422994.28370602295</v>
      </c>
      <c r="DL111" s="440">
        <v>-292077</v>
      </c>
      <c r="DM111" s="440">
        <v>-30950</v>
      </c>
      <c r="DN111" s="440">
        <v>8111.6257924735037</v>
      </c>
      <c r="DO111" s="457">
        <f t="shared" si="72"/>
        <v>573461.50075449003</v>
      </c>
      <c r="DP111" s="459">
        <f t="shared" si="73"/>
        <v>527.07858525228858</v>
      </c>
      <c r="DQ111" s="440"/>
      <c r="DR111" s="450">
        <v>8777590</v>
      </c>
      <c r="DS111" s="440">
        <v>2830389.8644993538</v>
      </c>
      <c r="DT111" s="440">
        <v>789518.0808</v>
      </c>
      <c r="DU111" s="440">
        <v>4898256.8579043206</v>
      </c>
      <c r="DV111" s="440">
        <v>824270.27838308737</v>
      </c>
      <c r="DW111" s="440">
        <v>206115.99099999992</v>
      </c>
      <c r="DX111" s="457">
        <f t="shared" si="74"/>
        <v>770961.07258676179</v>
      </c>
      <c r="DY111" s="459">
        <f t="shared" si="75"/>
        <v>708.60392700989132</v>
      </c>
      <c r="DZ111" s="440"/>
      <c r="EA111" s="457">
        <f t="shared" si="76"/>
        <v>-197499.57183227176</v>
      </c>
      <c r="EB111" s="459">
        <f t="shared" si="77"/>
        <v>-181.52534175760272</v>
      </c>
      <c r="ED111" s="457">
        <v>202031.86959103993</v>
      </c>
      <c r="EE111" s="458">
        <v>184302.08826037965</v>
      </c>
      <c r="EF111" s="458">
        <v>166797.61896803288</v>
      </c>
      <c r="EG111" s="458">
        <v>149182.63894473089</v>
      </c>
      <c r="EH111" s="459">
        <v>131800.53426214732</v>
      </c>
    </row>
    <row r="112" spans="1:138" x14ac:dyDescent="0.2">
      <c r="A112" s="67">
        <v>271</v>
      </c>
      <c r="B112" s="67" t="s">
        <v>233</v>
      </c>
      <c r="C112" s="67">
        <v>4</v>
      </c>
      <c r="D112" s="67">
        <v>6903</v>
      </c>
      <c r="E112" s="82">
        <v>15854017.839209691</v>
      </c>
      <c r="F112" s="67">
        <v>10017579.157233374</v>
      </c>
      <c r="G112" s="67">
        <v>2697436</v>
      </c>
      <c r="H112" s="67">
        <v>1229010.4707803826</v>
      </c>
      <c r="I112" s="67">
        <v>3038645.6870397995</v>
      </c>
      <c r="J112" s="67">
        <v>1390891.2600495541</v>
      </c>
      <c r="K112" s="67">
        <v>-697193.4097678425</v>
      </c>
      <c r="L112" s="67">
        <v>-394592</v>
      </c>
      <c r="M112" s="68">
        <v>133519.1</v>
      </c>
      <c r="N112" s="68">
        <v>60683.288649445225</v>
      </c>
      <c r="O112" s="68">
        <v>-200900.53836140301</v>
      </c>
      <c r="P112" s="168">
        <f t="shared" si="43"/>
        <v>1421061.1764136192</v>
      </c>
      <c r="Q112" s="169">
        <f t="shared" si="44"/>
        <v>205.86139018015635</v>
      </c>
      <c r="R112" s="67"/>
      <c r="S112" s="82">
        <v>47859450.010000005</v>
      </c>
      <c r="T112" s="67">
        <v>23051622.461935394</v>
      </c>
      <c r="U112" s="67">
        <v>1847144.0800322138</v>
      </c>
      <c r="V112" s="67">
        <v>16823492.942366745</v>
      </c>
      <c r="W112" s="67">
        <v>4638810.3105436508</v>
      </c>
      <c r="X112" s="67">
        <v>2436363.1</v>
      </c>
      <c r="Y112" s="168">
        <f t="shared" si="45"/>
        <v>937982.88487799466</v>
      </c>
      <c r="Z112" s="169">
        <f t="shared" si="46"/>
        <v>135.88047006779584</v>
      </c>
      <c r="AA112" s="67"/>
      <c r="AB112" s="77">
        <f t="shared" si="47"/>
        <v>483078.29153562454</v>
      </c>
      <c r="AC112" s="123">
        <f t="shared" si="48"/>
        <v>69.980920112360494</v>
      </c>
      <c r="AE112" s="170"/>
      <c r="AF112" s="177">
        <v>-371607.77082908276</v>
      </c>
      <c r="AG112" s="177">
        <v>-286050.1014897924</v>
      </c>
      <c r="AH112" s="177">
        <v>-193018.35745083712</v>
      </c>
      <c r="AI112" s="178">
        <v>-101398.05646865873</v>
      </c>
      <c r="AK112" s="67">
        <f t="shared" si="49"/>
        <v>13034043.304702019</v>
      </c>
      <c r="AL112" s="67">
        <f t="shared" si="50"/>
        <v>618133.60925183119</v>
      </c>
      <c r="AM112" s="67">
        <f t="shared" si="51"/>
        <v>13784847.255326945</v>
      </c>
      <c r="AN112" s="67">
        <f t="shared" si="52"/>
        <v>32005432.170790315</v>
      </c>
      <c r="AO112" s="67">
        <f t="shared" si="53"/>
        <v>0</v>
      </c>
      <c r="AP112" s="67">
        <f t="shared" si="54"/>
        <v>-371607.77082908276</v>
      </c>
      <c r="AQ112" s="67">
        <f t="shared" si="55"/>
        <v>-286050.1014897924</v>
      </c>
      <c r="AR112" s="67">
        <f t="shared" si="56"/>
        <v>-193018.35745083712</v>
      </c>
      <c r="AS112" s="67">
        <f t="shared" si="57"/>
        <v>-101398.05646865873</v>
      </c>
      <c r="AT112" s="68">
        <v>2134</v>
      </c>
      <c r="AU112" s="68"/>
      <c r="AV112" s="68"/>
      <c r="AW112" s="68">
        <v>0</v>
      </c>
      <c r="AX112" s="68">
        <v>11428.121468120396</v>
      </c>
      <c r="AY112" s="68">
        <v>-2375.008472230284</v>
      </c>
      <c r="AZ112" s="68">
        <v>3258.8121299423487</v>
      </c>
      <c r="BA112" s="299"/>
      <c r="BB112" s="67"/>
      <c r="BC112" s="67"/>
      <c r="BD112" s="67"/>
      <c r="BE112" s="67"/>
      <c r="BF112" s="67"/>
      <c r="BG112" s="67"/>
      <c r="BH112" s="67"/>
      <c r="BN112" s="299"/>
      <c r="BO112" s="67">
        <v>16193599.683900308</v>
      </c>
      <c r="BP112" s="67">
        <v>29920069.139999997</v>
      </c>
      <c r="BQ112" s="67">
        <v>30464000</v>
      </c>
      <c r="BR112" s="67">
        <v>840797.79</v>
      </c>
      <c r="BS112" s="67">
        <v>683000</v>
      </c>
      <c r="BT112" s="428">
        <v>0.56542845633641758</v>
      </c>
      <c r="BU112" s="428">
        <v>0.33464287704132484</v>
      </c>
      <c r="BV112" s="67">
        <f t="shared" si="58"/>
        <v>16335572.896053204</v>
      </c>
      <c r="BW112" s="299"/>
      <c r="BX112" s="67">
        <v>47610289</v>
      </c>
      <c r="BY112" s="67">
        <v>16193599.683900308</v>
      </c>
      <c r="BZ112" s="67">
        <v>28143050.537070904</v>
      </c>
      <c r="CA112" s="67">
        <v>14252824.003295572</v>
      </c>
      <c r="CB112" s="67">
        <f t="shared" si="59"/>
        <v>-316919.32302896283</v>
      </c>
      <c r="CC112" s="67">
        <f t="shared" si="60"/>
        <v>135.88047006779644</v>
      </c>
      <c r="CD112" s="67">
        <f t="shared" si="61"/>
        <v>290.05299167230226</v>
      </c>
      <c r="CE112" s="67">
        <f t="shared" si="62"/>
        <v>154.17252160450582</v>
      </c>
      <c r="CF112" s="67">
        <f t="shared" si="63"/>
        <v>-139.17252160450582</v>
      </c>
      <c r="CG112" s="67">
        <f t="shared" si="64"/>
        <v>-124.17252160450582</v>
      </c>
      <c r="CH112" s="67">
        <f t="shared" si="65"/>
        <v>-109.17252160450582</v>
      </c>
      <c r="CI112" s="67">
        <f t="shared" si="66"/>
        <v>-94.172521604505818</v>
      </c>
      <c r="CJ112" s="67">
        <f t="shared" si="67"/>
        <v>-960707.91663590365</v>
      </c>
      <c r="CK112" s="67">
        <f t="shared" si="68"/>
        <v>-857162.91663590365</v>
      </c>
      <c r="CL112" s="67">
        <f t="shared" si="69"/>
        <v>-753617.91663590365</v>
      </c>
      <c r="CM112" s="67">
        <f t="shared" si="70"/>
        <v>-650072.91663590365</v>
      </c>
      <c r="CN112" s="299"/>
      <c r="CO112" s="430">
        <v>23051.622461935392</v>
      </c>
      <c r="CP112" s="430">
        <v>1847.1440800322139</v>
      </c>
      <c r="CQ112" s="430">
        <v>2697.4360000000001</v>
      </c>
      <c r="CR112" s="430">
        <v>16823492.942366745</v>
      </c>
      <c r="CS112" s="430">
        <v>3038645.6870397995</v>
      </c>
      <c r="CT112" s="430">
        <v>4638810.3105436508</v>
      </c>
      <c r="CU112" s="430">
        <v>1390891.2600495541</v>
      </c>
      <c r="CV112" s="430">
        <v>-394592</v>
      </c>
      <c r="CW112" s="430">
        <v>60683.288649445225</v>
      </c>
      <c r="CX112" s="430">
        <v>133519.1</v>
      </c>
      <c r="CY112" s="430">
        <v>15854017.839209691</v>
      </c>
      <c r="CZ112" s="519"/>
      <c r="DA112" s="524">
        <v>23700.734489999999</v>
      </c>
      <c r="DB112" s="524">
        <v>1842.1996774359598</v>
      </c>
      <c r="DC112" s="520">
        <f t="shared" si="71"/>
        <v>-1</v>
      </c>
      <c r="DD112" s="440">
        <v>6951</v>
      </c>
      <c r="DE112" s="450">
        <v>16193599.683900308</v>
      </c>
      <c r="DF112" s="440">
        <v>10460475.049495574</v>
      </c>
      <c r="DG112" s="440">
        <v>2686601.0555999996</v>
      </c>
      <c r="DH112" s="440">
        <v>1105747.8981999999</v>
      </c>
      <c r="DI112" s="440">
        <v>3027653.0864260043</v>
      </c>
      <c r="DJ112" s="440">
        <v>1395556.1204614253</v>
      </c>
      <c r="DK112" s="440">
        <v>-317440.41636771831</v>
      </c>
      <c r="DL112" s="440">
        <v>-526308</v>
      </c>
      <c r="DM112" s="440">
        <v>36200</v>
      </c>
      <c r="DN112" s="440">
        <v>61571.659516189182</v>
      </c>
      <c r="DO112" s="457">
        <f t="shared" si="72"/>
        <v>1736456.7694311664</v>
      </c>
      <c r="DP112" s="459">
        <f t="shared" si="73"/>
        <v>249.81395042888309</v>
      </c>
      <c r="DQ112" s="440"/>
      <c r="DR112" s="450">
        <v>47610289</v>
      </c>
      <c r="DS112" s="440">
        <v>23797827.634170905</v>
      </c>
      <c r="DT112" s="440">
        <v>1658621.8473</v>
      </c>
      <c r="DU112" s="440">
        <v>16812540.422366738</v>
      </c>
      <c r="DV112" s="440">
        <v>4654368.250403774</v>
      </c>
      <c r="DW112" s="440">
        <v>2196493.0555999996</v>
      </c>
      <c r="DX112" s="457">
        <f t="shared" si="74"/>
        <v>1509562.2098414153</v>
      </c>
      <c r="DY112" s="459">
        <f t="shared" si="75"/>
        <v>217.17194789834775</v>
      </c>
      <c r="DZ112" s="440"/>
      <c r="EA112" s="457">
        <f t="shared" si="76"/>
        <v>226894.55958975106</v>
      </c>
      <c r="EB112" s="459">
        <f t="shared" si="77"/>
        <v>32.642002530535329</v>
      </c>
      <c r="ED112" s="457">
        <v>-197938.67565481964</v>
      </c>
      <c r="EE112" s="458">
        <v>-102680.46796127153</v>
      </c>
      <c r="EF112" s="458">
        <v>-5982.7896994170133</v>
      </c>
      <c r="EG112" s="458">
        <v>4108.4186568962714</v>
      </c>
      <c r="EH112" s="459">
        <v>-2677.1416819256283</v>
      </c>
    </row>
    <row r="113" spans="1:138" x14ac:dyDescent="0.2">
      <c r="A113" s="67">
        <v>272</v>
      </c>
      <c r="B113" s="67" t="s">
        <v>234</v>
      </c>
      <c r="C113" s="67">
        <v>16</v>
      </c>
      <c r="D113" s="67">
        <v>48006</v>
      </c>
      <c r="E113" s="82">
        <v>133824671.07009026</v>
      </c>
      <c r="F113" s="67">
        <v>75822956.969873473</v>
      </c>
      <c r="G113" s="67">
        <v>15506668</v>
      </c>
      <c r="H113" s="67">
        <v>15648511.558652988</v>
      </c>
      <c r="I113" s="67">
        <v>31746040.509306896</v>
      </c>
      <c r="J113" s="67">
        <v>7367313.71878222</v>
      </c>
      <c r="K113" s="67">
        <v>-7479082.6168847745</v>
      </c>
      <c r="L113" s="67">
        <v>-939364</v>
      </c>
      <c r="M113" s="68">
        <v>3467228.61</v>
      </c>
      <c r="N113" s="68">
        <v>495922.10814045585</v>
      </c>
      <c r="O113" s="68">
        <v>-1397136.2081091572</v>
      </c>
      <c r="P113" s="168">
        <f t="shared" si="43"/>
        <v>6414387.579671843</v>
      </c>
      <c r="Q113" s="169">
        <f t="shared" si="44"/>
        <v>133.61637252993049</v>
      </c>
      <c r="R113" s="67"/>
      <c r="S113" s="82">
        <v>328774708.33999997</v>
      </c>
      <c r="T113" s="67">
        <v>179522203.28164315</v>
      </c>
      <c r="U113" s="67">
        <v>23518966.008912638</v>
      </c>
      <c r="V113" s="67">
        <v>85806667.384135455</v>
      </c>
      <c r="W113" s="67">
        <v>24570986.835073683</v>
      </c>
      <c r="X113" s="67">
        <v>18034532.609999999</v>
      </c>
      <c r="Y113" s="168">
        <f t="shared" si="45"/>
        <v>2678647.7797649503</v>
      </c>
      <c r="Z113" s="169">
        <f t="shared" si="46"/>
        <v>55.798187305023333</v>
      </c>
      <c r="AA113" s="67"/>
      <c r="AB113" s="77">
        <f t="shared" si="47"/>
        <v>3735739.7999068927</v>
      </c>
      <c r="AC113" s="123">
        <f t="shared" si="48"/>
        <v>77.818185224907154</v>
      </c>
      <c r="AE113" s="170"/>
      <c r="AF113" s="177">
        <v>-2960532.81496729</v>
      </c>
      <c r="AG113" s="177">
        <v>-2365533.3257159544</v>
      </c>
      <c r="AH113" s="177">
        <v>-1718556.3730382652</v>
      </c>
      <c r="AI113" s="178">
        <v>-1081395.1143173529</v>
      </c>
      <c r="AK113" s="67">
        <f t="shared" si="49"/>
        <v>103699246.31176968</v>
      </c>
      <c r="AL113" s="67">
        <f t="shared" si="50"/>
        <v>7870454.4502596501</v>
      </c>
      <c r="AM113" s="67">
        <f t="shared" si="51"/>
        <v>54060626.874828562</v>
      </c>
      <c r="AN113" s="67">
        <f t="shared" si="52"/>
        <v>194950037.26990971</v>
      </c>
      <c r="AO113" s="67">
        <f t="shared" si="53"/>
        <v>0</v>
      </c>
      <c r="AP113" s="67">
        <f t="shared" si="54"/>
        <v>-2960532.81496729</v>
      </c>
      <c r="AQ113" s="67">
        <f t="shared" si="55"/>
        <v>-2365533.3257159544</v>
      </c>
      <c r="AR113" s="67">
        <f t="shared" si="56"/>
        <v>-1718556.3730382652</v>
      </c>
      <c r="AS113" s="67">
        <f t="shared" si="57"/>
        <v>-1081395.1143173529</v>
      </c>
      <c r="AT113" s="68">
        <v>14610</v>
      </c>
      <c r="AU113" s="68"/>
      <c r="AV113" s="68"/>
      <c r="AW113" s="68">
        <v>188</v>
      </c>
      <c r="AX113" s="68">
        <v>47885.974576809305</v>
      </c>
      <c r="AY113" s="68">
        <v>-4924.3370200030313</v>
      </c>
      <c r="AZ113" s="68">
        <v>17250.885582745454</v>
      </c>
      <c r="BA113" s="299"/>
      <c r="BB113" s="67"/>
      <c r="BC113" s="67"/>
      <c r="BD113" s="67"/>
      <c r="BE113" s="67"/>
      <c r="BF113" s="67"/>
      <c r="BG113" s="67"/>
      <c r="BH113" s="67"/>
      <c r="BN113" s="299"/>
      <c r="BO113" s="67">
        <v>129830398.33197793</v>
      </c>
      <c r="BP113" s="67">
        <v>179925931.28</v>
      </c>
      <c r="BQ113" s="67">
        <v>187803000</v>
      </c>
      <c r="BR113" s="67">
        <v>4139248.4399999985</v>
      </c>
      <c r="BS113" s="67">
        <v>5222000</v>
      </c>
      <c r="BT113" s="428">
        <v>0.57764022731539932</v>
      </c>
      <c r="BU113" s="428">
        <v>0.33464287704132484</v>
      </c>
      <c r="BV113" s="67">
        <f t="shared" si="58"/>
        <v>63785217.374235235</v>
      </c>
      <c r="BW113" s="299"/>
      <c r="BX113" s="67">
        <v>317923429</v>
      </c>
      <c r="BY113" s="67">
        <v>129830398.33197793</v>
      </c>
      <c r="BZ113" s="67">
        <v>213716700.25930369</v>
      </c>
      <c r="CA113" s="67">
        <v>105249951.88982001</v>
      </c>
      <c r="CB113" s="67">
        <f t="shared" si="59"/>
        <v>-6049100.7968433406</v>
      </c>
      <c r="CC113" s="67">
        <f t="shared" si="60"/>
        <v>55.798187305023411</v>
      </c>
      <c r="CD113" s="67">
        <f t="shared" si="61"/>
        <v>192.50730341670686</v>
      </c>
      <c r="CE113" s="67">
        <f t="shared" si="62"/>
        <v>136.70911611168344</v>
      </c>
      <c r="CF113" s="67">
        <f t="shared" si="63"/>
        <v>-121.70911611168344</v>
      </c>
      <c r="CG113" s="67">
        <f t="shared" si="64"/>
        <v>-106.70911611168344</v>
      </c>
      <c r="CH113" s="67">
        <f t="shared" si="65"/>
        <v>-91.709116111683443</v>
      </c>
      <c r="CI113" s="67">
        <f t="shared" si="66"/>
        <v>-76.709116111683443</v>
      </c>
      <c r="CJ113" s="67">
        <f t="shared" si="67"/>
        <v>-5842767.8280574754</v>
      </c>
      <c r="CK113" s="67">
        <f t="shared" si="68"/>
        <v>-5122677.8280574754</v>
      </c>
      <c r="CL113" s="67">
        <f t="shared" si="69"/>
        <v>-4402587.8280574754</v>
      </c>
      <c r="CM113" s="67">
        <f t="shared" si="70"/>
        <v>-3682497.8280574754</v>
      </c>
      <c r="CN113" s="299"/>
      <c r="CO113" s="430">
        <v>179522.20328164316</v>
      </c>
      <c r="CP113" s="430">
        <v>23518.966008912637</v>
      </c>
      <c r="CQ113" s="430">
        <v>15506.668</v>
      </c>
      <c r="CR113" s="430">
        <v>85806667.384135455</v>
      </c>
      <c r="CS113" s="430">
        <v>31746040.509306896</v>
      </c>
      <c r="CT113" s="430">
        <v>24570986.835073683</v>
      </c>
      <c r="CU113" s="430">
        <v>7367313.71878222</v>
      </c>
      <c r="CV113" s="430">
        <v>-939364</v>
      </c>
      <c r="CW113" s="430">
        <v>495922.10814045585</v>
      </c>
      <c r="CX113" s="430">
        <v>3467228.61</v>
      </c>
      <c r="CY113" s="430">
        <v>133824671.07009026</v>
      </c>
      <c r="CZ113" s="519"/>
      <c r="DA113" s="524">
        <v>178791.29005000001</v>
      </c>
      <c r="DB113" s="524">
        <v>23335.065114670564</v>
      </c>
      <c r="DC113" s="520">
        <f t="shared" si="71"/>
        <v>-1</v>
      </c>
      <c r="DD113" s="440">
        <v>47909</v>
      </c>
      <c r="DE113" s="450">
        <v>129830398.33197793</v>
      </c>
      <c r="DF113" s="440">
        <v>75664395.08442001</v>
      </c>
      <c r="DG113" s="440">
        <v>15506499.566</v>
      </c>
      <c r="DH113" s="440">
        <v>14079057.239399999</v>
      </c>
      <c r="DI113" s="440">
        <v>31670733.387388606</v>
      </c>
      <c r="DJ113" s="440">
        <v>7387532.0203886926</v>
      </c>
      <c r="DK113" s="440">
        <v>-6039909.8979731565</v>
      </c>
      <c r="DL113" s="440">
        <v>-1143709</v>
      </c>
      <c r="DM113" s="440">
        <v>374500</v>
      </c>
      <c r="DN113" s="440">
        <v>480804.08790991991</v>
      </c>
      <c r="DO113" s="457">
        <f t="shared" si="72"/>
        <v>8149504.1555561423</v>
      </c>
      <c r="DP113" s="459">
        <f t="shared" si="73"/>
        <v>170.10382507579249</v>
      </c>
      <c r="DQ113" s="440"/>
      <c r="DR113" s="450">
        <v>317923429</v>
      </c>
      <c r="DS113" s="440">
        <v>177091614.83420369</v>
      </c>
      <c r="DT113" s="440">
        <v>21118585.859099999</v>
      </c>
      <c r="DU113" s="440">
        <v>85731511.154135481</v>
      </c>
      <c r="DV113" s="440">
        <v>24638417.603134144</v>
      </c>
      <c r="DW113" s="440">
        <v>14737290.566</v>
      </c>
      <c r="DX113" s="457">
        <f t="shared" si="74"/>
        <v>5393991.0165733099</v>
      </c>
      <c r="DY113" s="459">
        <f t="shared" si="75"/>
        <v>112.58826142422738</v>
      </c>
      <c r="DZ113" s="440"/>
      <c r="EA113" s="457">
        <f t="shared" si="76"/>
        <v>2755513.1389828324</v>
      </c>
      <c r="EB113" s="459">
        <f t="shared" si="77"/>
        <v>57.515563651565103</v>
      </c>
      <c r="ED113" s="457">
        <v>-2555937.9061475177</v>
      </c>
      <c r="EE113" s="458">
        <v>-1899381.2276278522</v>
      </c>
      <c r="EF113" s="458">
        <v>-1232903.157156382</v>
      </c>
      <c r="EG113" s="458">
        <v>-571291.31702437426</v>
      </c>
      <c r="EH113" s="459">
        <v>-18451.903444018837</v>
      </c>
    </row>
    <row r="114" spans="1:138" x14ac:dyDescent="0.2">
      <c r="A114" s="67">
        <v>273</v>
      </c>
      <c r="B114" s="67" t="s">
        <v>235</v>
      </c>
      <c r="C114" s="67">
        <v>19</v>
      </c>
      <c r="D114" s="67">
        <v>3999</v>
      </c>
      <c r="E114" s="82">
        <v>12275607.452087704</v>
      </c>
      <c r="F114" s="67">
        <v>4546620.4678135859</v>
      </c>
      <c r="G114" s="67">
        <v>3903498</v>
      </c>
      <c r="H114" s="67">
        <v>839661.14619333751</v>
      </c>
      <c r="I114" s="67">
        <v>4032585.3014343614</v>
      </c>
      <c r="J114" s="67">
        <v>766321.46458210726</v>
      </c>
      <c r="K114" s="67">
        <v>-1476138.0402325867</v>
      </c>
      <c r="L114" s="67">
        <v>-176788</v>
      </c>
      <c r="M114" s="68">
        <v>-42146.53</v>
      </c>
      <c r="N114" s="68">
        <v>31000.100698383154</v>
      </c>
      <c r="O114" s="68">
        <v>-116384.36229280756</v>
      </c>
      <c r="P114" s="168">
        <f t="shared" si="43"/>
        <v>32622.096108676851</v>
      </c>
      <c r="Q114" s="169">
        <f t="shared" si="44"/>
        <v>8.1575634180237184</v>
      </c>
      <c r="R114" s="67"/>
      <c r="S114" s="82">
        <v>33207000</v>
      </c>
      <c r="T114" s="67">
        <v>11098535.167225759</v>
      </c>
      <c r="U114" s="67">
        <v>1261970.6278330295</v>
      </c>
      <c r="V114" s="67">
        <v>15138835.370917821</v>
      </c>
      <c r="W114" s="67">
        <v>2555785.6413360024</v>
      </c>
      <c r="X114" s="67">
        <v>3684563.47</v>
      </c>
      <c r="Y114" s="168">
        <f t="shared" si="45"/>
        <v>532690.27731261402</v>
      </c>
      <c r="Z114" s="169">
        <f t="shared" si="46"/>
        <v>133.20587079585246</v>
      </c>
      <c r="AA114" s="67"/>
      <c r="AB114" s="77">
        <f t="shared" si="47"/>
        <v>-500068.18120393716</v>
      </c>
      <c r="AC114" s="123">
        <f t="shared" si="48"/>
        <v>-125.04830737782875</v>
      </c>
      <c r="AE114" s="170"/>
      <c r="AF114" s="177">
        <v>444674.54109173501</v>
      </c>
      <c r="AG114" s="177">
        <v>374269.24045256682</v>
      </c>
      <c r="AH114" s="177">
        <v>308193.77100620756</v>
      </c>
      <c r="AI114" s="178">
        <v>241300.6337655487</v>
      </c>
      <c r="AK114" s="67">
        <f t="shared" si="49"/>
        <v>6551914.6994121736</v>
      </c>
      <c r="AL114" s="67">
        <f t="shared" si="50"/>
        <v>422309.48163969198</v>
      </c>
      <c r="AM114" s="67">
        <f t="shared" si="51"/>
        <v>11106250.069483459</v>
      </c>
      <c r="AN114" s="67">
        <f t="shared" si="52"/>
        <v>20931392.547912296</v>
      </c>
      <c r="AO114" s="67">
        <f t="shared" si="53"/>
        <v>0</v>
      </c>
      <c r="AP114" s="67">
        <f t="shared" si="54"/>
        <v>444674.54109173501</v>
      </c>
      <c r="AQ114" s="67">
        <f t="shared" si="55"/>
        <v>374269.24045256682</v>
      </c>
      <c r="AR114" s="67">
        <f t="shared" si="56"/>
        <v>308193.77100620756</v>
      </c>
      <c r="AS114" s="67">
        <f t="shared" si="57"/>
        <v>241300.6337655487</v>
      </c>
      <c r="AT114" s="68">
        <v>1591</v>
      </c>
      <c r="AU114" s="68"/>
      <c r="AV114" s="68"/>
      <c r="AW114" s="68">
        <v>68</v>
      </c>
      <c r="AX114" s="68">
        <v>8191.1312652049992</v>
      </c>
      <c r="AY114" s="68">
        <v>-1430.958596252802</v>
      </c>
      <c r="AZ114" s="68">
        <v>1793.48494663936</v>
      </c>
      <c r="BA114" s="299"/>
      <c r="BB114" s="67"/>
      <c r="BC114" s="67"/>
      <c r="BD114" s="67"/>
      <c r="BE114" s="67"/>
      <c r="BF114" s="67"/>
      <c r="BG114" s="67"/>
      <c r="BH114" s="67"/>
      <c r="BN114" s="299"/>
      <c r="BO114" s="67">
        <v>12728154.278035901</v>
      </c>
      <c r="BP114" s="67">
        <v>19522007.749999996</v>
      </c>
      <c r="BQ114" s="67">
        <v>19880000</v>
      </c>
      <c r="BR114" s="67">
        <v>523191</v>
      </c>
      <c r="BS114" s="67">
        <v>562000</v>
      </c>
      <c r="BT114" s="428">
        <v>0.59034049094696162</v>
      </c>
      <c r="BU114" s="428">
        <v>0.33464287704132484</v>
      </c>
      <c r="BV114" s="67">
        <f t="shared" si="58"/>
        <v>11419576.206004769</v>
      </c>
      <c r="BW114" s="299"/>
      <c r="BX114" s="67">
        <v>32685161</v>
      </c>
      <c r="BY114" s="67">
        <v>12728154.278035901</v>
      </c>
      <c r="BZ114" s="67">
        <v>16697021.0000035</v>
      </c>
      <c r="CA114" s="67">
        <v>9478762.4062406328</v>
      </c>
      <c r="CB114" s="67">
        <f t="shared" si="59"/>
        <v>-813545.03373011143</v>
      </c>
      <c r="CC114" s="67">
        <f t="shared" si="60"/>
        <v>133.20587079585258</v>
      </c>
      <c r="CD114" s="67">
        <f t="shared" si="61"/>
        <v>202.95060387695918</v>
      </c>
      <c r="CE114" s="67">
        <f t="shared" si="62"/>
        <v>69.744733081106602</v>
      </c>
      <c r="CF114" s="67">
        <f t="shared" si="63"/>
        <v>-54.744733081106602</v>
      </c>
      <c r="CG114" s="67">
        <f t="shared" si="64"/>
        <v>-39.744733081106602</v>
      </c>
      <c r="CH114" s="67">
        <f t="shared" si="65"/>
        <v>-24.744733081106602</v>
      </c>
      <c r="CI114" s="67">
        <f t="shared" si="66"/>
        <v>-9.7447330811066024</v>
      </c>
      <c r="CJ114" s="67">
        <f t="shared" si="67"/>
        <v>-218924.18759134531</v>
      </c>
      <c r="CK114" s="67">
        <f t="shared" si="68"/>
        <v>-158939.18759134531</v>
      </c>
      <c r="CL114" s="67">
        <f t="shared" si="69"/>
        <v>-98954.187591345297</v>
      </c>
      <c r="CM114" s="67">
        <f t="shared" si="70"/>
        <v>-38969.187591345304</v>
      </c>
      <c r="CN114" s="299"/>
      <c r="CO114" s="430">
        <v>11098.53516722576</v>
      </c>
      <c r="CP114" s="430">
        <v>1261.9706278330295</v>
      </c>
      <c r="CQ114" s="430">
        <v>3903.498</v>
      </c>
      <c r="CR114" s="430">
        <v>15138835.370917821</v>
      </c>
      <c r="CS114" s="430">
        <v>4032585.3014343614</v>
      </c>
      <c r="CT114" s="430">
        <v>2555785.6413360024</v>
      </c>
      <c r="CU114" s="430">
        <v>766321.46458210726</v>
      </c>
      <c r="CV114" s="430">
        <v>-176788</v>
      </c>
      <c r="CW114" s="430">
        <v>31000.100698383154</v>
      </c>
      <c r="CX114" s="430">
        <v>-42146.53</v>
      </c>
      <c r="CY114" s="430">
        <v>12275607.452087704</v>
      </c>
      <c r="CZ114" s="519"/>
      <c r="DA114" s="524">
        <v>12813.23209</v>
      </c>
      <c r="DB114" s="524">
        <v>1252.1013472729987</v>
      </c>
      <c r="DC114" s="520">
        <f t="shared" si="71"/>
        <v>-1</v>
      </c>
      <c r="DD114" s="440">
        <v>3989</v>
      </c>
      <c r="DE114" s="450">
        <v>12728154.278035901</v>
      </c>
      <c r="DF114" s="440">
        <v>4781717.8793406328</v>
      </c>
      <c r="DG114" s="440">
        <v>3941596.4898999999</v>
      </c>
      <c r="DH114" s="440">
        <v>755448.03700000001</v>
      </c>
      <c r="DI114" s="440">
        <v>4026418.5077845654</v>
      </c>
      <c r="DJ114" s="440">
        <v>768043.32205620874</v>
      </c>
      <c r="DK114" s="440">
        <v>-814129.30658958305</v>
      </c>
      <c r="DL114" s="440">
        <v>-220393</v>
      </c>
      <c r="DM114" s="440">
        <v>-44500</v>
      </c>
      <c r="DN114" s="440">
        <v>31996.609943997497</v>
      </c>
      <c r="DO114" s="457">
        <f t="shared" si="72"/>
        <v>498044.26139992103</v>
      </c>
      <c r="DP114" s="459">
        <f t="shared" si="73"/>
        <v>124.85441499120607</v>
      </c>
      <c r="DQ114" s="440"/>
      <c r="DR114" s="450">
        <v>32685161</v>
      </c>
      <c r="DS114" s="440">
        <v>11622252.454603499</v>
      </c>
      <c r="DT114" s="440">
        <v>1133172.0555</v>
      </c>
      <c r="DU114" s="440">
        <v>15132686.510917818</v>
      </c>
      <c r="DV114" s="440">
        <v>2561528.2686955687</v>
      </c>
      <c r="DW114" s="440">
        <v>3676703.4898999999</v>
      </c>
      <c r="DX114" s="457">
        <f t="shared" si="74"/>
        <v>1441181.7796168849</v>
      </c>
      <c r="DY114" s="459">
        <f t="shared" si="75"/>
        <v>361.2889896256919</v>
      </c>
      <c r="DZ114" s="440"/>
      <c r="EA114" s="457">
        <f t="shared" si="76"/>
        <v>-943137.51821696386</v>
      </c>
      <c r="EB114" s="459">
        <f t="shared" si="77"/>
        <v>-236.43457463448581</v>
      </c>
      <c r="ED114" s="457">
        <v>959754.55476083176</v>
      </c>
      <c r="EE114" s="458">
        <v>894750.78846671048</v>
      </c>
      <c r="EF114" s="458">
        <v>830573.09728364868</v>
      </c>
      <c r="EG114" s="458">
        <v>765990.23394453875</v>
      </c>
      <c r="EH114" s="459">
        <v>702261.175508118</v>
      </c>
    </row>
    <row r="115" spans="1:138" x14ac:dyDescent="0.2">
      <c r="A115" s="67">
        <v>275</v>
      </c>
      <c r="B115" s="67" t="s">
        <v>236</v>
      </c>
      <c r="C115" s="67">
        <v>13</v>
      </c>
      <c r="D115" s="67">
        <v>2521</v>
      </c>
      <c r="E115" s="82">
        <v>6755173.2286696136</v>
      </c>
      <c r="F115" s="67">
        <v>3341246.1782093076</v>
      </c>
      <c r="G115" s="67">
        <v>824714</v>
      </c>
      <c r="H115" s="67">
        <v>732801.8358424477</v>
      </c>
      <c r="I115" s="67">
        <v>1524724.402796132</v>
      </c>
      <c r="J115" s="67">
        <v>549702.70378580643</v>
      </c>
      <c r="K115" s="67">
        <v>454966.5521163895</v>
      </c>
      <c r="L115" s="67">
        <v>-58844</v>
      </c>
      <c r="M115" s="68">
        <v>-125861.42</v>
      </c>
      <c r="N115" s="68">
        <v>20130.082913908638</v>
      </c>
      <c r="O115" s="68">
        <v>-73369.586731724892</v>
      </c>
      <c r="P115" s="168">
        <f t="shared" si="43"/>
        <v>435037.52026265347</v>
      </c>
      <c r="Q115" s="169">
        <f t="shared" si="44"/>
        <v>172.56545825571339</v>
      </c>
      <c r="R115" s="67"/>
      <c r="S115" s="82">
        <v>18787135.009999998</v>
      </c>
      <c r="T115" s="67">
        <v>7501431.9904215122</v>
      </c>
      <c r="U115" s="67">
        <v>1101366.1844993301</v>
      </c>
      <c r="V115" s="67">
        <v>8599532.5585346036</v>
      </c>
      <c r="W115" s="67">
        <v>1833332.8012748254</v>
      </c>
      <c r="X115" s="67">
        <v>640008.57999999996</v>
      </c>
      <c r="Y115" s="168">
        <f t="shared" si="45"/>
        <v>888537.10473027453</v>
      </c>
      <c r="Z115" s="169">
        <f t="shared" si="46"/>
        <v>352.45422639043022</v>
      </c>
      <c r="AA115" s="67"/>
      <c r="AB115" s="77">
        <f t="shared" si="47"/>
        <v>-453499.58446762105</v>
      </c>
      <c r="AC115" s="123">
        <f t="shared" si="48"/>
        <v>-179.8887681347168</v>
      </c>
      <c r="AE115" s="170"/>
      <c r="AF115" s="177">
        <v>418579.01264394535</v>
      </c>
      <c r="AG115" s="177">
        <v>374194.97590692539</v>
      </c>
      <c r="AH115" s="177">
        <v>332540.49766879791</v>
      </c>
      <c r="AI115" s="178">
        <v>290370.55543731479</v>
      </c>
      <c r="AK115" s="67">
        <f t="shared" si="49"/>
        <v>4160185.8122122046</v>
      </c>
      <c r="AL115" s="67">
        <f t="shared" si="50"/>
        <v>368564.34865688242</v>
      </c>
      <c r="AM115" s="67">
        <f t="shared" si="51"/>
        <v>7074808.1557384711</v>
      </c>
      <c r="AN115" s="67">
        <f t="shared" si="52"/>
        <v>12031961.781330384</v>
      </c>
      <c r="AO115" s="67">
        <f t="shared" si="53"/>
        <v>0</v>
      </c>
      <c r="AP115" s="67">
        <f t="shared" si="54"/>
        <v>418579.01264394535</v>
      </c>
      <c r="AQ115" s="67">
        <f t="shared" si="55"/>
        <v>374194.97590692539</v>
      </c>
      <c r="AR115" s="67">
        <f t="shared" si="56"/>
        <v>332540.49766879791</v>
      </c>
      <c r="AS115" s="67">
        <f t="shared" si="57"/>
        <v>290370.55543731479</v>
      </c>
      <c r="AT115" s="68">
        <v>1115</v>
      </c>
      <c r="AU115" s="68"/>
      <c r="AV115" s="68"/>
      <c r="AW115" s="68">
        <v>132</v>
      </c>
      <c r="AX115" s="68">
        <v>5606.9201594980177</v>
      </c>
      <c r="AY115" s="68">
        <v>-1317.6994465170992</v>
      </c>
      <c r="AZ115" s="68">
        <v>1286.1494182756742</v>
      </c>
      <c r="BA115" s="299"/>
      <c r="BB115" s="67"/>
      <c r="BC115" s="67"/>
      <c r="BD115" s="67"/>
      <c r="BE115" s="67"/>
      <c r="BF115" s="67"/>
      <c r="BG115" s="67"/>
      <c r="BH115" s="67"/>
      <c r="BN115" s="299"/>
      <c r="BO115" s="67">
        <v>7360183.4217093531</v>
      </c>
      <c r="BP115" s="67">
        <v>11288831.539999999</v>
      </c>
      <c r="BQ115" s="67">
        <v>11485000</v>
      </c>
      <c r="BR115" s="67">
        <v>242696.94999999998</v>
      </c>
      <c r="BS115" s="67">
        <v>257000</v>
      </c>
      <c r="BT115" s="428">
        <v>0.55458555346823057</v>
      </c>
      <c r="BU115" s="428">
        <v>0.33464287704132484</v>
      </c>
      <c r="BV115" s="67">
        <f t="shared" si="58"/>
        <v>8813404.8053438794</v>
      </c>
      <c r="BW115" s="299"/>
      <c r="BX115" s="67">
        <v>19272983</v>
      </c>
      <c r="BY115" s="67">
        <v>7360183.4217093531</v>
      </c>
      <c r="BZ115" s="67">
        <v>9355870.249311313</v>
      </c>
      <c r="CA115" s="67">
        <v>4885927.3648375729</v>
      </c>
      <c r="CB115" s="67">
        <f t="shared" si="59"/>
        <v>448013.10604340601</v>
      </c>
      <c r="CC115" s="67">
        <f t="shared" si="60"/>
        <v>352.4542263904296</v>
      </c>
      <c r="CD115" s="67">
        <f t="shared" si="61"/>
        <v>198.91061520087069</v>
      </c>
      <c r="CE115" s="67">
        <f t="shared" si="62"/>
        <v>-153.5436111895589</v>
      </c>
      <c r="CF115" s="67">
        <f t="shared" si="63"/>
        <v>138.5436111895589</v>
      </c>
      <c r="CG115" s="67">
        <f t="shared" si="64"/>
        <v>123.5436111895589</v>
      </c>
      <c r="CH115" s="67">
        <f t="shared" si="65"/>
        <v>108.5436111895589</v>
      </c>
      <c r="CI115" s="67">
        <f t="shared" si="66"/>
        <v>93.543611189558902</v>
      </c>
      <c r="CJ115" s="67">
        <f t="shared" si="67"/>
        <v>349268.44380887802</v>
      </c>
      <c r="CK115" s="67">
        <f t="shared" si="68"/>
        <v>311453.44380887802</v>
      </c>
      <c r="CL115" s="67">
        <f t="shared" si="69"/>
        <v>273638.44380887802</v>
      </c>
      <c r="CM115" s="67">
        <f t="shared" si="70"/>
        <v>235823.44380887799</v>
      </c>
      <c r="CN115" s="299"/>
      <c r="CO115" s="430">
        <v>7501.4319904215117</v>
      </c>
      <c r="CP115" s="430">
        <v>1101.3661844993301</v>
      </c>
      <c r="CQ115" s="430">
        <v>824.71400000000006</v>
      </c>
      <c r="CR115" s="430">
        <v>8599532.5585346036</v>
      </c>
      <c r="CS115" s="430">
        <v>1524724.402796132</v>
      </c>
      <c r="CT115" s="430">
        <v>1833332.8012748254</v>
      </c>
      <c r="CU115" s="430">
        <v>549702.70378580643</v>
      </c>
      <c r="CV115" s="430">
        <v>-58844</v>
      </c>
      <c r="CW115" s="430">
        <v>20130.082913908638</v>
      </c>
      <c r="CX115" s="430">
        <v>-125861.42</v>
      </c>
      <c r="CY115" s="430">
        <v>6755173.2286696136</v>
      </c>
      <c r="CZ115" s="519"/>
      <c r="DA115" s="524">
        <v>7562.7712699999993</v>
      </c>
      <c r="DB115" s="524">
        <v>1092.7529996383782</v>
      </c>
      <c r="DC115" s="520">
        <f t="shared" si="71"/>
        <v>-1</v>
      </c>
      <c r="DD115" s="440">
        <v>2586</v>
      </c>
      <c r="DE115" s="450">
        <v>7360183.4217093531</v>
      </c>
      <c r="DF115" s="440">
        <v>3399733.576937573</v>
      </c>
      <c r="DG115" s="440">
        <v>826887.69649999996</v>
      </c>
      <c r="DH115" s="440">
        <v>659306.09140000003</v>
      </c>
      <c r="DI115" s="440">
        <v>1520656.2879282578</v>
      </c>
      <c r="DJ115" s="440">
        <v>550781.57958564861</v>
      </c>
      <c r="DK115" s="440">
        <v>448194.39721103443</v>
      </c>
      <c r="DL115" s="440">
        <v>-20093</v>
      </c>
      <c r="DM115" s="440">
        <v>121300</v>
      </c>
      <c r="DN115" s="440">
        <v>19814.061395644138</v>
      </c>
      <c r="DO115" s="457">
        <f t="shared" si="72"/>
        <v>166397.26924880594</v>
      </c>
      <c r="DP115" s="459">
        <f t="shared" si="73"/>
        <v>64.345425076877774</v>
      </c>
      <c r="DQ115" s="440"/>
      <c r="DR115" s="450">
        <v>19272983</v>
      </c>
      <c r="DS115" s="440">
        <v>7540023.4157113135</v>
      </c>
      <c r="DT115" s="440">
        <v>988959.13710000005</v>
      </c>
      <c r="DU115" s="440">
        <v>8595478.5085346065</v>
      </c>
      <c r="DV115" s="440">
        <v>1836930.9978613227</v>
      </c>
      <c r="DW115" s="440">
        <v>928094.69649999996</v>
      </c>
      <c r="DX115" s="457">
        <f t="shared" si="74"/>
        <v>616503.75570724159</v>
      </c>
      <c r="DY115" s="459">
        <f t="shared" si="75"/>
        <v>238.40052424873997</v>
      </c>
      <c r="DZ115" s="440"/>
      <c r="EA115" s="457">
        <f t="shared" si="76"/>
        <v>-450106.48645843565</v>
      </c>
      <c r="EB115" s="459">
        <f t="shared" si="77"/>
        <v>-174.0550991718622</v>
      </c>
      <c r="ED115" s="457">
        <v>460879.02506521362</v>
      </c>
      <c r="EE115" s="458">
        <v>418738.20289509639</v>
      </c>
      <c r="EF115" s="458">
        <v>377132.91099251487</v>
      </c>
      <c r="EG115" s="458">
        <v>335264.95295918861</v>
      </c>
      <c r="EH115" s="459">
        <v>293950.5019397391</v>
      </c>
    </row>
    <row r="116" spans="1:138" x14ac:dyDescent="0.2">
      <c r="A116" s="67">
        <v>276</v>
      </c>
      <c r="B116" s="67" t="s">
        <v>237</v>
      </c>
      <c r="C116" s="67">
        <v>12</v>
      </c>
      <c r="D116" s="67">
        <v>15157</v>
      </c>
      <c r="E116" s="82">
        <v>44706604.705338247</v>
      </c>
      <c r="F116" s="67">
        <v>21276667.590845559</v>
      </c>
      <c r="G116" s="67">
        <v>3011871</v>
      </c>
      <c r="H116" s="67">
        <v>2547880.7326054471</v>
      </c>
      <c r="I116" s="67">
        <v>15472572.69138262</v>
      </c>
      <c r="J116" s="67">
        <v>2065375.3018972864</v>
      </c>
      <c r="K116" s="67">
        <v>1084928.5536712019</v>
      </c>
      <c r="L116" s="67">
        <v>-1601954</v>
      </c>
      <c r="M116" s="68">
        <v>-233413.8</v>
      </c>
      <c r="N116" s="68">
        <v>150409.0731401885</v>
      </c>
      <c r="O116" s="68">
        <v>-441119.72474920837</v>
      </c>
      <c r="P116" s="168">
        <f t="shared" si="43"/>
        <v>-1373387.2865451509</v>
      </c>
      <c r="Q116" s="169">
        <f t="shared" si="44"/>
        <v>-90.610759816926233</v>
      </c>
      <c r="R116" s="67"/>
      <c r="S116" s="82">
        <v>90017617.75999999</v>
      </c>
      <c r="T116" s="67">
        <v>53833372.524779789</v>
      </c>
      <c r="U116" s="67">
        <v>3829343.1372248102</v>
      </c>
      <c r="V116" s="67">
        <v>22835500.348967548</v>
      </c>
      <c r="W116" s="67">
        <v>6888305.7365979804</v>
      </c>
      <c r="X116" s="67">
        <v>1176503.2</v>
      </c>
      <c r="Y116" s="168">
        <f t="shared" si="45"/>
        <v>-1454592.8124298602</v>
      </c>
      <c r="Z116" s="169">
        <f t="shared" si="46"/>
        <v>-95.968385064977255</v>
      </c>
      <c r="AA116" s="67"/>
      <c r="AB116" s="77">
        <f t="shared" si="47"/>
        <v>81205.525884709321</v>
      </c>
      <c r="AC116" s="123">
        <f t="shared" si="48"/>
        <v>5.3576252480510211</v>
      </c>
      <c r="AE116" s="170"/>
      <c r="AF116" s="177">
        <v>17402.160995079888</v>
      </c>
      <c r="AG116" s="177">
        <v>-22092.836951374778</v>
      </c>
      <c r="AH116" s="177">
        <v>-45176.919321584021</v>
      </c>
      <c r="AI116" s="178">
        <v>-71360.12416196095</v>
      </c>
      <c r="AK116" s="67">
        <f t="shared" si="49"/>
        <v>32556704.93393423</v>
      </c>
      <c r="AL116" s="67">
        <f t="shared" si="50"/>
        <v>1281462.4046193631</v>
      </c>
      <c r="AM116" s="67">
        <f t="shared" si="51"/>
        <v>7362927.657584928</v>
      </c>
      <c r="AN116" s="67">
        <f t="shared" si="52"/>
        <v>45311013.054661743</v>
      </c>
      <c r="AO116" s="67">
        <f t="shared" si="53"/>
        <v>0</v>
      </c>
      <c r="AP116" s="67">
        <f t="shared" si="54"/>
        <v>17402.160995079888</v>
      </c>
      <c r="AQ116" s="67">
        <f t="shared" si="55"/>
        <v>-22092.836951374778</v>
      </c>
      <c r="AR116" s="67">
        <f t="shared" si="56"/>
        <v>-45176.919321584021</v>
      </c>
      <c r="AS116" s="67">
        <f t="shared" si="57"/>
        <v>-71360.12416196095</v>
      </c>
      <c r="AT116" s="68">
        <v>5987</v>
      </c>
      <c r="AU116" s="68"/>
      <c r="AV116" s="68"/>
      <c r="AW116" s="68">
        <v>0</v>
      </c>
      <c r="AX116" s="68">
        <v>5358.3923764020801</v>
      </c>
      <c r="AY116" s="68">
        <v>-2809.0265095150489</v>
      </c>
      <c r="AZ116" s="68">
        <v>4860.7653785254279</v>
      </c>
      <c r="BA116" s="299"/>
      <c r="BB116" s="67"/>
      <c r="BC116" s="67"/>
      <c r="BD116" s="67"/>
      <c r="BE116" s="67"/>
      <c r="BF116" s="67"/>
      <c r="BG116" s="67"/>
      <c r="BH116" s="67"/>
      <c r="BN116" s="299"/>
      <c r="BO116" s="67">
        <v>43866919.504340574</v>
      </c>
      <c r="BP116" s="67">
        <v>39743661.489999995</v>
      </c>
      <c r="BQ116" s="67">
        <v>45005000</v>
      </c>
      <c r="BR116" s="67">
        <v>1263124</v>
      </c>
      <c r="BS116" s="67">
        <v>1631000</v>
      </c>
      <c r="BT116" s="428">
        <v>0.60476807242474373</v>
      </c>
      <c r="BU116" s="428">
        <v>0.33464287704132478</v>
      </c>
      <c r="BV116" s="67">
        <f t="shared" si="58"/>
        <v>13270786.645956824</v>
      </c>
      <c r="BW116" s="299"/>
      <c r="BX116" s="67">
        <v>86015596</v>
      </c>
      <c r="BY116" s="67">
        <v>43866919.504340574</v>
      </c>
      <c r="BZ116" s="67">
        <v>58656674.669655949</v>
      </c>
      <c r="CA116" s="67">
        <v>26357463.17908125</v>
      </c>
      <c r="CB116" s="67">
        <f t="shared" si="59"/>
        <v>1813040.5871530287</v>
      </c>
      <c r="CC116" s="67">
        <f t="shared" si="60"/>
        <v>-95.968385064977511</v>
      </c>
      <c r="CD116" s="67">
        <f t="shared" si="61"/>
        <v>-13.469388949931917</v>
      </c>
      <c r="CE116" s="67">
        <f t="shared" si="62"/>
        <v>82.4989961150456</v>
      </c>
      <c r="CF116" s="67">
        <f t="shared" si="63"/>
        <v>-67.4989961150456</v>
      </c>
      <c r="CG116" s="67">
        <f t="shared" si="64"/>
        <v>-52.4989961150456</v>
      </c>
      <c r="CH116" s="67">
        <f t="shared" si="65"/>
        <v>-37.4989961150456</v>
      </c>
      <c r="CI116" s="67">
        <f t="shared" si="66"/>
        <v>-22.4989961150456</v>
      </c>
      <c r="CJ116" s="67">
        <f t="shared" si="67"/>
        <v>-1023082.2841157462</v>
      </c>
      <c r="CK116" s="67">
        <f t="shared" si="68"/>
        <v>-795727.28411574615</v>
      </c>
      <c r="CL116" s="67">
        <f t="shared" si="69"/>
        <v>-568372.28411574615</v>
      </c>
      <c r="CM116" s="67">
        <f t="shared" si="70"/>
        <v>-341017.28411574615</v>
      </c>
      <c r="CN116" s="299"/>
      <c r="CO116" s="430">
        <v>53833.372524779792</v>
      </c>
      <c r="CP116" s="430">
        <v>3829.3431372248101</v>
      </c>
      <c r="CQ116" s="430">
        <v>3011.8710000000001</v>
      </c>
      <c r="CR116" s="430">
        <v>22835500.348967548</v>
      </c>
      <c r="CS116" s="430">
        <v>15472572.69138262</v>
      </c>
      <c r="CT116" s="430">
        <v>6888305.7365979804</v>
      </c>
      <c r="CU116" s="430">
        <v>2065375.3018972864</v>
      </c>
      <c r="CV116" s="430">
        <v>-1601954</v>
      </c>
      <c r="CW116" s="430">
        <v>150409.0731401885</v>
      </c>
      <c r="CX116" s="430">
        <v>-233413.8</v>
      </c>
      <c r="CY116" s="430">
        <v>44706604.705338247</v>
      </c>
      <c r="CZ116" s="519"/>
      <c r="DA116" s="524">
        <v>53740.213659999994</v>
      </c>
      <c r="DB116" s="524">
        <v>3799.4010850107866</v>
      </c>
      <c r="DC116" s="520">
        <f t="shared" si="71"/>
        <v>-1</v>
      </c>
      <c r="DD116" s="440">
        <v>15035</v>
      </c>
      <c r="DE116" s="450">
        <v>43866919.504340574</v>
      </c>
      <c r="DF116" s="440">
        <v>20882564.21408125</v>
      </c>
      <c r="DG116" s="440">
        <v>3182555.7898000004</v>
      </c>
      <c r="DH116" s="440">
        <v>2292343.1751999999</v>
      </c>
      <c r="DI116" s="440">
        <v>15449078.571341233</v>
      </c>
      <c r="DJ116" s="440">
        <v>2081577.7662666803</v>
      </c>
      <c r="DK116" s="440">
        <v>1817430.1323513938</v>
      </c>
      <c r="DL116" s="440">
        <v>-1632645</v>
      </c>
      <c r="DM116" s="440">
        <v>-774000</v>
      </c>
      <c r="DN116" s="440">
        <v>143173.76665551917</v>
      </c>
      <c r="DO116" s="457">
        <f t="shared" si="72"/>
        <v>-424841.0886444971</v>
      </c>
      <c r="DP116" s="459">
        <f t="shared" si="73"/>
        <v>-28.256806694013775</v>
      </c>
      <c r="DQ116" s="440"/>
      <c r="DR116" s="450">
        <v>86015596</v>
      </c>
      <c r="DS116" s="440">
        <v>52035604.117055945</v>
      </c>
      <c r="DT116" s="440">
        <v>3438514.7628000001</v>
      </c>
      <c r="DU116" s="440">
        <v>22812030.648967557</v>
      </c>
      <c r="DV116" s="440">
        <v>6942343.1447921079</v>
      </c>
      <c r="DW116" s="440">
        <v>775910.78980000038</v>
      </c>
      <c r="DX116" s="457">
        <f t="shared" si="74"/>
        <v>-11192.53658439219</v>
      </c>
      <c r="DY116" s="459">
        <f t="shared" si="75"/>
        <v>-0.74443209739888194</v>
      </c>
      <c r="DZ116" s="440"/>
      <c r="EA116" s="457">
        <f t="shared" si="76"/>
        <v>-413648.55206010491</v>
      </c>
      <c r="EB116" s="459">
        <f t="shared" si="77"/>
        <v>-27.512374596614894</v>
      </c>
      <c r="ED116" s="457">
        <v>476280.07485705236</v>
      </c>
      <c r="EE116" s="458">
        <v>231273.39994301068</v>
      </c>
      <c r="EF116" s="458">
        <v>26781.745115963236</v>
      </c>
      <c r="EG116" s="458">
        <v>8886.5018711603279</v>
      </c>
      <c r="EH116" s="459">
        <v>-5790.6524511224025</v>
      </c>
    </row>
    <row r="117" spans="1:138" x14ac:dyDescent="0.2">
      <c r="A117" s="67">
        <v>280</v>
      </c>
      <c r="B117" s="67" t="s">
        <v>238</v>
      </c>
      <c r="C117" s="67">
        <v>15</v>
      </c>
      <c r="D117" s="67">
        <v>2024</v>
      </c>
      <c r="E117" s="82">
        <v>6345420.6906245612</v>
      </c>
      <c r="F117" s="67">
        <v>2823827.6326578134</v>
      </c>
      <c r="G117" s="67">
        <v>784754</v>
      </c>
      <c r="H117" s="67">
        <v>532678.54447363247</v>
      </c>
      <c r="I117" s="67">
        <v>2034889.4025898704</v>
      </c>
      <c r="J117" s="67">
        <v>515568.80649195891</v>
      </c>
      <c r="K117" s="67">
        <v>83716.819610627426</v>
      </c>
      <c r="L117" s="67">
        <v>-259196</v>
      </c>
      <c r="M117" s="68">
        <v>-27878.53</v>
      </c>
      <c r="N117" s="68">
        <v>16340.239783263085</v>
      </c>
      <c r="O117" s="68">
        <v>-58905.213623566517</v>
      </c>
      <c r="P117" s="168">
        <f t="shared" si="43"/>
        <v>100375.01135903786</v>
      </c>
      <c r="Q117" s="169">
        <f t="shared" si="44"/>
        <v>49.592396916520684</v>
      </c>
      <c r="R117" s="67"/>
      <c r="S117" s="82">
        <v>14907312.929999998</v>
      </c>
      <c r="T117" s="67">
        <v>6232048.8204394886</v>
      </c>
      <c r="U117" s="67">
        <v>800590.42894881091</v>
      </c>
      <c r="V117" s="67">
        <v>6066531.8348427098</v>
      </c>
      <c r="W117" s="67">
        <v>1719491.6411110202</v>
      </c>
      <c r="X117" s="67">
        <v>497679.47</v>
      </c>
      <c r="Y117" s="168">
        <f t="shared" si="45"/>
        <v>409029.26534203254</v>
      </c>
      <c r="Z117" s="169">
        <f t="shared" si="46"/>
        <v>202.08955797531252</v>
      </c>
      <c r="AA117" s="67"/>
      <c r="AB117" s="77">
        <f t="shared" si="47"/>
        <v>-308654.25398299471</v>
      </c>
      <c r="AC117" s="123">
        <f t="shared" si="48"/>
        <v>-152.49716105879185</v>
      </c>
      <c r="AE117" s="170"/>
      <c r="AF117" s="177">
        <v>280618.06303848332</v>
      </c>
      <c r="AG117" s="177">
        <v>244984.07241740898</v>
      </c>
      <c r="AH117" s="177">
        <v>211541.52424050699</v>
      </c>
      <c r="AI117" s="178">
        <v>177685.13269884817</v>
      </c>
      <c r="AK117" s="67">
        <f t="shared" si="49"/>
        <v>3408221.1877816753</v>
      </c>
      <c r="AL117" s="67">
        <f t="shared" si="50"/>
        <v>267911.88447517843</v>
      </c>
      <c r="AM117" s="67">
        <f t="shared" si="51"/>
        <v>4031642.4322528392</v>
      </c>
      <c r="AN117" s="67">
        <f t="shared" si="52"/>
        <v>8561892.2393754367</v>
      </c>
      <c r="AO117" s="67">
        <f t="shared" si="53"/>
        <v>0</v>
      </c>
      <c r="AP117" s="67">
        <f t="shared" si="54"/>
        <v>280618.06303848332</v>
      </c>
      <c r="AQ117" s="67">
        <f t="shared" si="55"/>
        <v>244984.07241740898</v>
      </c>
      <c r="AR117" s="67">
        <f t="shared" si="56"/>
        <v>211541.52424050699</v>
      </c>
      <c r="AS117" s="67">
        <f t="shared" si="57"/>
        <v>177685.13269884817</v>
      </c>
      <c r="AT117" s="68">
        <v>1439</v>
      </c>
      <c r="AU117" s="68"/>
      <c r="AV117" s="68"/>
      <c r="AW117" s="68">
        <v>86</v>
      </c>
      <c r="AX117" s="68">
        <v>2784.401496429793</v>
      </c>
      <c r="AY117" s="68">
        <v>-994.39789491380793</v>
      </c>
      <c r="AZ117" s="68">
        <v>1207.8149294170196</v>
      </c>
      <c r="BA117" s="299"/>
      <c r="BB117" s="67"/>
      <c r="BC117" s="67"/>
      <c r="BD117" s="67"/>
      <c r="BE117" s="67"/>
      <c r="BF117" s="67"/>
      <c r="BG117" s="67"/>
      <c r="BH117" s="67"/>
      <c r="BN117" s="299"/>
      <c r="BO117" s="67">
        <v>6863132.3766965009</v>
      </c>
      <c r="BP117" s="67">
        <v>7892900.7199999997</v>
      </c>
      <c r="BQ117" s="67">
        <v>8336000</v>
      </c>
      <c r="BR117" s="67">
        <v>164503.62</v>
      </c>
      <c r="BS117" s="67">
        <v>168000</v>
      </c>
      <c r="BT117" s="428">
        <v>0.54688615028232801</v>
      </c>
      <c r="BU117" s="428">
        <v>0.33464287704132484</v>
      </c>
      <c r="BV117" s="67">
        <f t="shared" si="58"/>
        <v>5319282.0864825277</v>
      </c>
      <c r="BW117" s="299"/>
      <c r="BX117" s="67">
        <v>15455190</v>
      </c>
      <c r="BY117" s="67">
        <v>6863132.3766965009</v>
      </c>
      <c r="BZ117" s="67">
        <v>7785641.6811752664</v>
      </c>
      <c r="CA117" s="67">
        <v>4176407.904264329</v>
      </c>
      <c r="CB117" s="67">
        <f t="shared" si="59"/>
        <v>-8056.7274779917116</v>
      </c>
      <c r="CC117" s="67">
        <f t="shared" si="60"/>
        <v>202.08955797531274</v>
      </c>
      <c r="CD117" s="67">
        <f t="shared" si="61"/>
        <v>33.353101726277465</v>
      </c>
      <c r="CE117" s="67">
        <f t="shared" si="62"/>
        <v>-168.73645624903529</v>
      </c>
      <c r="CF117" s="67">
        <f t="shared" si="63"/>
        <v>153.73645624903529</v>
      </c>
      <c r="CG117" s="67">
        <f t="shared" si="64"/>
        <v>138.73645624903529</v>
      </c>
      <c r="CH117" s="67">
        <f t="shared" si="65"/>
        <v>123.73645624903529</v>
      </c>
      <c r="CI117" s="67">
        <f t="shared" si="66"/>
        <v>108.73645624903529</v>
      </c>
      <c r="CJ117" s="67">
        <f t="shared" si="67"/>
        <v>311162.58744804742</v>
      </c>
      <c r="CK117" s="67">
        <f t="shared" si="68"/>
        <v>280802.58744804742</v>
      </c>
      <c r="CL117" s="67">
        <f t="shared" si="69"/>
        <v>250442.58744804742</v>
      </c>
      <c r="CM117" s="67">
        <f t="shared" si="70"/>
        <v>220082.58744804742</v>
      </c>
      <c r="CN117" s="299"/>
      <c r="CO117" s="430">
        <v>6232.0488204394887</v>
      </c>
      <c r="CP117" s="430">
        <v>800.59042894881088</v>
      </c>
      <c r="CQ117" s="430">
        <v>784.75400000000002</v>
      </c>
      <c r="CR117" s="430">
        <v>6066531.8348427098</v>
      </c>
      <c r="CS117" s="430">
        <v>2034889.4025898704</v>
      </c>
      <c r="CT117" s="430">
        <v>1719491.6411110202</v>
      </c>
      <c r="CU117" s="430">
        <v>515568.80649195891</v>
      </c>
      <c r="CV117" s="430">
        <v>-259196</v>
      </c>
      <c r="CW117" s="430">
        <v>16340.239783263085</v>
      </c>
      <c r="CX117" s="430">
        <v>-27878.53</v>
      </c>
      <c r="CY117" s="430">
        <v>6345420.6906245612</v>
      </c>
      <c r="CZ117" s="519"/>
      <c r="DA117" s="524">
        <v>6150.0242500000004</v>
      </c>
      <c r="DB117" s="524">
        <v>794.33006518290028</v>
      </c>
      <c r="DC117" s="520">
        <f t="shared" si="71"/>
        <v>-1</v>
      </c>
      <c r="DD117" s="440">
        <v>2050</v>
      </c>
      <c r="DE117" s="450">
        <v>6863132.3766965009</v>
      </c>
      <c r="DF117" s="440">
        <v>2868221.9213643288</v>
      </c>
      <c r="DG117" s="440">
        <v>828931.98550000007</v>
      </c>
      <c r="DH117" s="440">
        <v>479253.99740000005</v>
      </c>
      <c r="DI117" s="440">
        <v>2031641.3447738744</v>
      </c>
      <c r="DJ117" s="440">
        <v>517235.56005127076</v>
      </c>
      <c r="DK117" s="440">
        <v>-7852.4502045848512</v>
      </c>
      <c r="DL117" s="440">
        <v>-259196</v>
      </c>
      <c r="DM117" s="440">
        <v>-23600</v>
      </c>
      <c r="DN117" s="440">
        <v>15998.768104028108</v>
      </c>
      <c r="DO117" s="457">
        <f t="shared" si="72"/>
        <v>-412497.24970758334</v>
      </c>
      <c r="DP117" s="459">
        <f t="shared" si="73"/>
        <v>-201.21817058906504</v>
      </c>
      <c r="DQ117" s="440"/>
      <c r="DR117" s="450">
        <v>15455190</v>
      </c>
      <c r="DS117" s="440">
        <v>6237828.6995752659</v>
      </c>
      <c r="DT117" s="440">
        <v>718880.99610000011</v>
      </c>
      <c r="DU117" s="440">
        <v>6063293.7948427089</v>
      </c>
      <c r="DV117" s="440">
        <v>1725050.4894682902</v>
      </c>
      <c r="DW117" s="440">
        <v>546135.98550000007</v>
      </c>
      <c r="DX117" s="457">
        <f t="shared" si="74"/>
        <v>-164000.03451373614</v>
      </c>
      <c r="DY117" s="459">
        <f t="shared" si="75"/>
        <v>-80.00001683596885</v>
      </c>
      <c r="DZ117" s="440"/>
      <c r="EA117" s="457">
        <f t="shared" si="76"/>
        <v>-248497.21519384719</v>
      </c>
      <c r="EB117" s="459">
        <f t="shared" si="77"/>
        <v>-121.21815375309619</v>
      </c>
      <c r="ED117" s="457">
        <v>257036.93064005551</v>
      </c>
      <c r="EE117" s="458">
        <v>223630.63309607244</v>
      </c>
      <c r="EF117" s="458">
        <v>190648.86650663233</v>
      </c>
      <c r="EG117" s="458">
        <v>157458.87657302103</v>
      </c>
      <c r="EH117" s="459">
        <v>124707.66830160901</v>
      </c>
    </row>
    <row r="118" spans="1:138" x14ac:dyDescent="0.2">
      <c r="A118" s="67">
        <v>284</v>
      </c>
      <c r="B118" s="67" t="s">
        <v>492</v>
      </c>
      <c r="C118" s="67">
        <v>2</v>
      </c>
      <c r="D118" s="67">
        <v>2227</v>
      </c>
      <c r="E118" s="82">
        <v>7046953.4514823761</v>
      </c>
      <c r="F118" s="67">
        <v>2473754.3744453448</v>
      </c>
      <c r="G118" s="67">
        <v>539286</v>
      </c>
      <c r="H118" s="67">
        <v>401317.38427851006</v>
      </c>
      <c r="I118" s="67">
        <v>1147932.6851701292</v>
      </c>
      <c r="J118" s="67">
        <v>478730.96189215779</v>
      </c>
      <c r="K118" s="67">
        <v>410368.16109853151</v>
      </c>
      <c r="L118" s="67">
        <v>739685</v>
      </c>
      <c r="M118" s="68">
        <v>6058.93</v>
      </c>
      <c r="N118" s="68">
        <v>18359.152939255553</v>
      </c>
      <c r="O118" s="68">
        <v>-64813.197005772054</v>
      </c>
      <c r="P118" s="168">
        <f t="shared" si="43"/>
        <v>-896273.99866421893</v>
      </c>
      <c r="Q118" s="169">
        <f t="shared" si="44"/>
        <v>-402.45801466736367</v>
      </c>
      <c r="R118" s="67"/>
      <c r="S118" s="82">
        <v>17316000</v>
      </c>
      <c r="T118" s="67">
        <v>6402247.4147998039</v>
      </c>
      <c r="U118" s="67">
        <v>603160.87471034052</v>
      </c>
      <c r="V118" s="67">
        <v>6945112.2410172271</v>
      </c>
      <c r="W118" s="67">
        <v>1596632.4512835755</v>
      </c>
      <c r="X118" s="67">
        <v>1285029.93</v>
      </c>
      <c r="Y118" s="168">
        <f t="shared" si="45"/>
        <v>-483817.08818905056</v>
      </c>
      <c r="Z118" s="169">
        <f t="shared" si="46"/>
        <v>-217.25060089315247</v>
      </c>
      <c r="AA118" s="67"/>
      <c r="AB118" s="77">
        <f t="shared" si="47"/>
        <v>-412456.91047516838</v>
      </c>
      <c r="AC118" s="123">
        <f t="shared" si="48"/>
        <v>-185.2074137742112</v>
      </c>
      <c r="AE118" s="170"/>
      <c r="AF118" s="177">
        <v>381608.78931240912</v>
      </c>
      <c r="AG118" s="177">
        <v>342400.83619327249</v>
      </c>
      <c r="AH118" s="177">
        <v>305604.11939981359</v>
      </c>
      <c r="AI118" s="178">
        <v>268352.05222428282</v>
      </c>
      <c r="AK118" s="67">
        <f t="shared" si="49"/>
        <v>3928493.0403544591</v>
      </c>
      <c r="AL118" s="67">
        <f t="shared" si="50"/>
        <v>201843.49043183046</v>
      </c>
      <c r="AM118" s="67">
        <f t="shared" si="51"/>
        <v>5797179.5558470981</v>
      </c>
      <c r="AN118" s="67">
        <f t="shared" si="52"/>
        <v>10269046.548517624</v>
      </c>
      <c r="AO118" s="67">
        <f t="shared" si="53"/>
        <v>0</v>
      </c>
      <c r="AP118" s="67">
        <f t="shared" si="54"/>
        <v>381608.78931240912</v>
      </c>
      <c r="AQ118" s="67">
        <f t="shared" si="55"/>
        <v>342400.83619327249</v>
      </c>
      <c r="AR118" s="67">
        <f t="shared" si="56"/>
        <v>305604.11939981359</v>
      </c>
      <c r="AS118" s="67">
        <f t="shared" si="57"/>
        <v>268352.05222428282</v>
      </c>
      <c r="AT118" s="68">
        <v>720</v>
      </c>
      <c r="AU118" s="68"/>
      <c r="AV118" s="68"/>
      <c r="AW118" s="68">
        <v>83</v>
      </c>
      <c r="AX118" s="68">
        <v>4760.4786588329698</v>
      </c>
      <c r="AY118" s="68">
        <v>-897.82276060465369</v>
      </c>
      <c r="AZ118" s="68">
        <v>1119.5780886064088</v>
      </c>
      <c r="BA118" s="299"/>
      <c r="BB118" s="67"/>
      <c r="BC118" s="67"/>
      <c r="BD118" s="67"/>
      <c r="BE118" s="67"/>
      <c r="BF118" s="67"/>
      <c r="BG118" s="67"/>
      <c r="BH118" s="67"/>
      <c r="BN118" s="299"/>
      <c r="BO118" s="67">
        <v>6692103.392522078</v>
      </c>
      <c r="BP118" s="67">
        <v>8892999.0199999996</v>
      </c>
      <c r="BQ118" s="67">
        <v>10622000</v>
      </c>
      <c r="BR118" s="67">
        <v>157714.73000000001</v>
      </c>
      <c r="BS118" s="67">
        <v>191000</v>
      </c>
      <c r="BT118" s="428">
        <v>0.61361156260114669</v>
      </c>
      <c r="BU118" s="428">
        <v>0.33464287704132489</v>
      </c>
      <c r="BV118" s="67">
        <f t="shared" si="58"/>
        <v>7325449.2063370468</v>
      </c>
      <c r="BW118" s="299"/>
      <c r="BX118" s="67">
        <v>15939519</v>
      </c>
      <c r="BY118" s="67">
        <v>6692103.392522078</v>
      </c>
      <c r="BZ118" s="67">
        <v>7674876.181016189</v>
      </c>
      <c r="CA118" s="67">
        <v>3471035.8988594636</v>
      </c>
      <c r="CB118" s="67">
        <f t="shared" si="59"/>
        <v>1028987.3066321578</v>
      </c>
      <c r="CC118" s="67">
        <f t="shared" si="60"/>
        <v>-217.25060089315383</v>
      </c>
      <c r="CD118" s="67">
        <f t="shared" si="61"/>
        <v>-95.5732627412753</v>
      </c>
      <c r="CE118" s="67">
        <f t="shared" si="62"/>
        <v>121.67733815187853</v>
      </c>
      <c r="CF118" s="67">
        <f t="shared" si="63"/>
        <v>-106.67733815187853</v>
      </c>
      <c r="CG118" s="67">
        <f t="shared" si="64"/>
        <v>-91.67733815187853</v>
      </c>
      <c r="CH118" s="67">
        <f t="shared" si="65"/>
        <v>-76.67733815187853</v>
      </c>
      <c r="CI118" s="67">
        <f t="shared" si="66"/>
        <v>-61.67733815187853</v>
      </c>
      <c r="CJ118" s="67">
        <f t="shared" si="67"/>
        <v>-237570.43206423349</v>
      </c>
      <c r="CK118" s="67">
        <f t="shared" si="68"/>
        <v>-204165.43206423349</v>
      </c>
      <c r="CL118" s="67">
        <f t="shared" si="69"/>
        <v>-170760.43206423349</v>
      </c>
      <c r="CM118" s="67">
        <f t="shared" si="70"/>
        <v>-137355.43206423349</v>
      </c>
      <c r="CN118" s="299"/>
      <c r="CO118" s="430">
        <v>6402.2474147998037</v>
      </c>
      <c r="CP118" s="430">
        <v>603.16087471034052</v>
      </c>
      <c r="CQ118" s="430">
        <v>539.28599999999994</v>
      </c>
      <c r="CR118" s="430">
        <v>6945112.2410172271</v>
      </c>
      <c r="CS118" s="430">
        <v>1147932.6851701292</v>
      </c>
      <c r="CT118" s="430">
        <v>1596632.4512835755</v>
      </c>
      <c r="CU118" s="430">
        <v>478730.96189215779</v>
      </c>
      <c r="CV118" s="430">
        <v>739685</v>
      </c>
      <c r="CW118" s="430">
        <v>18359.152939255553</v>
      </c>
      <c r="CX118" s="430">
        <v>6058.93</v>
      </c>
      <c r="CY118" s="430">
        <v>7046953.4514823761</v>
      </c>
      <c r="CZ118" s="519"/>
      <c r="DA118" s="524">
        <v>6739.66183</v>
      </c>
      <c r="DB118" s="524">
        <v>598.44372075174135</v>
      </c>
      <c r="DC118" s="520">
        <f t="shared" si="71"/>
        <v>-1</v>
      </c>
      <c r="DD118" s="440">
        <v>2271</v>
      </c>
      <c r="DE118" s="450">
        <v>6692103.392522078</v>
      </c>
      <c r="DF118" s="440">
        <v>2578434.8259594636</v>
      </c>
      <c r="DG118" s="440">
        <v>531533.47849999997</v>
      </c>
      <c r="DH118" s="440">
        <v>361067.5944</v>
      </c>
      <c r="DI118" s="440">
        <v>1144331.7726184572</v>
      </c>
      <c r="DJ118" s="440">
        <v>479448.94998191204</v>
      </c>
      <c r="DK118" s="440">
        <v>1028817.6081680136</v>
      </c>
      <c r="DL118" s="440">
        <v>876845</v>
      </c>
      <c r="DM118" s="440">
        <v>21600</v>
      </c>
      <c r="DN118" s="440">
        <v>18634.499724249141</v>
      </c>
      <c r="DO118" s="457">
        <f t="shared" si="72"/>
        <v>348610.33683001716</v>
      </c>
      <c r="DP118" s="459">
        <f t="shared" si="73"/>
        <v>153.50521216645404</v>
      </c>
      <c r="DQ118" s="440"/>
      <c r="DR118" s="450">
        <v>15939519</v>
      </c>
      <c r="DS118" s="440">
        <v>6601741.3109161891</v>
      </c>
      <c r="DT118" s="440">
        <v>541601.39159999997</v>
      </c>
      <c r="DU118" s="440">
        <v>6941522.6810172275</v>
      </c>
      <c r="DV118" s="440">
        <v>1599027.0385883208</v>
      </c>
      <c r="DW118" s="440">
        <v>1429978.4785</v>
      </c>
      <c r="DX118" s="457">
        <f t="shared" si="74"/>
        <v>1174351.9006217346</v>
      </c>
      <c r="DY118" s="459">
        <f t="shared" si="75"/>
        <v>517.10783823061843</v>
      </c>
      <c r="DZ118" s="440"/>
      <c r="EA118" s="457">
        <f t="shared" si="76"/>
        <v>-825741.5637917174</v>
      </c>
      <c r="EB118" s="459">
        <f t="shared" si="77"/>
        <v>-363.60262606416444</v>
      </c>
      <c r="ED118" s="457">
        <v>835201.90222017828</v>
      </c>
      <c r="EE118" s="458">
        <v>798194.24284340488</v>
      </c>
      <c r="EF118" s="458">
        <v>761656.88092895679</v>
      </c>
      <c r="EG118" s="458">
        <v>724888.84817811218</v>
      </c>
      <c r="EH118" s="459">
        <v>688606.89989305043</v>
      </c>
    </row>
    <row r="119" spans="1:138" x14ac:dyDescent="0.2">
      <c r="A119" s="67">
        <v>285</v>
      </c>
      <c r="B119" s="67" t="s">
        <v>240</v>
      </c>
      <c r="C119" s="67">
        <v>8</v>
      </c>
      <c r="D119" s="67">
        <v>50617</v>
      </c>
      <c r="E119" s="82">
        <v>133610113.32437938</v>
      </c>
      <c r="F119" s="67">
        <v>90845446.236331448</v>
      </c>
      <c r="G119" s="67">
        <v>16373125</v>
      </c>
      <c r="H119" s="67">
        <v>11866083.824572839</v>
      </c>
      <c r="I119" s="67">
        <v>13879206.827607723</v>
      </c>
      <c r="J119" s="67">
        <v>7648979.9037510864</v>
      </c>
      <c r="K119" s="67">
        <v>-9939221.008003816</v>
      </c>
      <c r="L119" s="67">
        <v>-1698135</v>
      </c>
      <c r="M119" s="68">
        <v>2475540.0299999998</v>
      </c>
      <c r="N119" s="68">
        <v>560473.80524503218</v>
      </c>
      <c r="O119" s="68">
        <v>-1473125.0978182147</v>
      </c>
      <c r="P119" s="168">
        <f t="shared" si="43"/>
        <v>-3071738.8026932962</v>
      </c>
      <c r="Q119" s="169">
        <f t="shared" si="44"/>
        <v>-60.685911901007493</v>
      </c>
      <c r="R119" s="67"/>
      <c r="S119" s="82">
        <v>386422735.31999999</v>
      </c>
      <c r="T119" s="67">
        <v>210969542.34961885</v>
      </c>
      <c r="U119" s="67">
        <v>17834157.65026661</v>
      </c>
      <c r="V119" s="67">
        <v>108346603.88713506</v>
      </c>
      <c r="W119" s="67">
        <v>25510381.624942832</v>
      </c>
      <c r="X119" s="67">
        <v>17150530.030000001</v>
      </c>
      <c r="Y119" s="168">
        <f t="shared" si="45"/>
        <v>-6611519.778036654</v>
      </c>
      <c r="Z119" s="169">
        <f t="shared" si="46"/>
        <v>-130.61856249948937</v>
      </c>
      <c r="AA119" s="67"/>
      <c r="AB119" s="77">
        <f t="shared" si="47"/>
        <v>3539780.9753433578</v>
      </c>
      <c r="AC119" s="123">
        <f t="shared" si="48"/>
        <v>69.932650598481885</v>
      </c>
      <c r="AE119" s="170"/>
      <c r="AF119" s="177">
        <v>-2722411.2307970817</v>
      </c>
      <c r="AG119" s="177">
        <v>-2095050.2936759952</v>
      </c>
      <c r="AH119" s="177">
        <v>-1412884.8890664342</v>
      </c>
      <c r="AI119" s="178">
        <v>-741069.04453290906</v>
      </c>
      <c r="AK119" s="67">
        <f t="shared" si="49"/>
        <v>120124096.1132874</v>
      </c>
      <c r="AL119" s="67">
        <f t="shared" si="50"/>
        <v>5968073.8256937712</v>
      </c>
      <c r="AM119" s="67">
        <f t="shared" si="51"/>
        <v>94467397.059527338</v>
      </c>
      <c r="AN119" s="67">
        <f t="shared" si="52"/>
        <v>252812621.99562061</v>
      </c>
      <c r="AO119" s="67">
        <f t="shared" si="53"/>
        <v>0</v>
      </c>
      <c r="AP119" s="67">
        <f t="shared" si="54"/>
        <v>-2722411.2307970817</v>
      </c>
      <c r="AQ119" s="67">
        <f t="shared" si="55"/>
        <v>-2095050.2936759952</v>
      </c>
      <c r="AR119" s="67">
        <f t="shared" si="56"/>
        <v>-1412884.8890664342</v>
      </c>
      <c r="AS119" s="67">
        <f t="shared" si="57"/>
        <v>-741069.04453290906</v>
      </c>
      <c r="AT119" s="68">
        <v>21120</v>
      </c>
      <c r="AU119" s="68"/>
      <c r="AV119" s="68"/>
      <c r="AW119" s="68">
        <v>1010</v>
      </c>
      <c r="AX119" s="68">
        <v>90758.195089958637</v>
      </c>
      <c r="AY119" s="68">
        <v>-622.83560624293762</v>
      </c>
      <c r="AZ119" s="68">
        <v>17853.259300701866</v>
      </c>
      <c r="BA119" s="299"/>
      <c r="BB119" s="67"/>
      <c r="BC119" s="67"/>
      <c r="BD119" s="67"/>
      <c r="BE119" s="67"/>
      <c r="BF119" s="67"/>
      <c r="BG119" s="67"/>
      <c r="BH119" s="67"/>
      <c r="BN119" s="299"/>
      <c r="BO119" s="67">
        <v>143630183.66343158</v>
      </c>
      <c r="BP119" s="67">
        <v>227031570.18000004</v>
      </c>
      <c r="BQ119" s="67">
        <v>250305000</v>
      </c>
      <c r="BR119" s="67">
        <v>6227941.7999999989</v>
      </c>
      <c r="BS119" s="67">
        <v>5450000</v>
      </c>
      <c r="BT119" s="428">
        <v>0.56939070339460507</v>
      </c>
      <c r="BU119" s="428">
        <v>0.33464287704132478</v>
      </c>
      <c r="BV119" s="67">
        <f t="shared" si="58"/>
        <v>102389577.77271527</v>
      </c>
      <c r="BW119" s="299"/>
      <c r="BX119" s="67">
        <v>380388744.22999996</v>
      </c>
      <c r="BY119" s="67">
        <v>143630183.66343158</v>
      </c>
      <c r="BZ119" s="67">
        <v>247513184.88491157</v>
      </c>
      <c r="CA119" s="67">
        <v>120756380.00302796</v>
      </c>
      <c r="CB119" s="67">
        <f t="shared" si="59"/>
        <v>-809939.82681418117</v>
      </c>
      <c r="CC119" s="67">
        <f t="shared" si="60"/>
        <v>-130.61856249948895</v>
      </c>
      <c r="CD119" s="67">
        <f t="shared" si="61"/>
        <v>148.77743596646508</v>
      </c>
      <c r="CE119" s="67">
        <f t="shared" si="62"/>
        <v>279.39599846595399</v>
      </c>
      <c r="CF119" s="67">
        <f t="shared" si="63"/>
        <v>-264.39599846595399</v>
      </c>
      <c r="CG119" s="67">
        <f t="shared" si="64"/>
        <v>-249.39599846595399</v>
      </c>
      <c r="CH119" s="67">
        <f t="shared" si="65"/>
        <v>-234.39599846595399</v>
      </c>
      <c r="CI119" s="67">
        <f t="shared" si="66"/>
        <v>-219.39599846595399</v>
      </c>
      <c r="CJ119" s="67">
        <f t="shared" si="67"/>
        <v>-13382932.254351193</v>
      </c>
      <c r="CK119" s="67">
        <f t="shared" si="68"/>
        <v>-12623677.254351193</v>
      </c>
      <c r="CL119" s="67">
        <f t="shared" si="69"/>
        <v>-11864422.254351193</v>
      </c>
      <c r="CM119" s="67">
        <f t="shared" si="70"/>
        <v>-11105167.254351193</v>
      </c>
      <c r="CN119" s="299"/>
      <c r="CO119" s="430">
        <v>210969.54234961886</v>
      </c>
      <c r="CP119" s="430">
        <v>17834.15765026661</v>
      </c>
      <c r="CQ119" s="430">
        <v>16373.125</v>
      </c>
      <c r="CR119" s="430">
        <v>108346603.88713506</v>
      </c>
      <c r="CS119" s="430">
        <v>13879206.827607723</v>
      </c>
      <c r="CT119" s="430">
        <v>25510381.624942832</v>
      </c>
      <c r="CU119" s="430">
        <v>7648979.9037510864</v>
      </c>
      <c r="CV119" s="430">
        <v>-1698135</v>
      </c>
      <c r="CW119" s="430">
        <v>560473.80524503218</v>
      </c>
      <c r="CX119" s="430">
        <v>2475540.0299999998</v>
      </c>
      <c r="CY119" s="430">
        <v>133610113.32437938</v>
      </c>
      <c r="CZ119" s="519"/>
      <c r="DA119" s="524">
        <v>213351.54222</v>
      </c>
      <c r="DB119" s="524">
        <v>17694.698489654067</v>
      </c>
      <c r="DC119" s="520">
        <f t="shared" si="71"/>
        <v>-1</v>
      </c>
      <c r="DD119" s="440">
        <v>51241</v>
      </c>
      <c r="DE119" s="450">
        <v>143630183.66343158</v>
      </c>
      <c r="DF119" s="440">
        <v>93547343.911027968</v>
      </c>
      <c r="DG119" s="440">
        <v>16533051.175000001</v>
      </c>
      <c r="DH119" s="440">
        <v>10675984.916999999</v>
      </c>
      <c r="DI119" s="440">
        <v>13798111.907590996</v>
      </c>
      <c r="DJ119" s="440">
        <v>7645492.9875690974</v>
      </c>
      <c r="DK119" s="440">
        <v>-810784.20997074631</v>
      </c>
      <c r="DL119" s="440">
        <v>-1563440</v>
      </c>
      <c r="DM119" s="440">
        <v>2895983</v>
      </c>
      <c r="DN119" s="440">
        <v>561879.01706064423</v>
      </c>
      <c r="DO119" s="457">
        <f t="shared" si="72"/>
        <v>-346560.95815360546</v>
      </c>
      <c r="DP119" s="459">
        <f t="shared" si="73"/>
        <v>-6.763352747869976</v>
      </c>
      <c r="DQ119" s="440"/>
      <c r="DR119" s="450">
        <v>380388744.22999996</v>
      </c>
      <c r="DS119" s="440">
        <v>214966156.33441156</v>
      </c>
      <c r="DT119" s="440">
        <v>16013977.375499999</v>
      </c>
      <c r="DU119" s="440">
        <v>108265772.89713505</v>
      </c>
      <c r="DV119" s="440">
        <v>25498752.288270961</v>
      </c>
      <c r="DW119" s="440">
        <v>17865594.175000001</v>
      </c>
      <c r="DX119" s="457">
        <f t="shared" si="74"/>
        <v>2221508.8403176069</v>
      </c>
      <c r="DY119" s="459">
        <f t="shared" si="75"/>
        <v>43.354127365149139</v>
      </c>
      <c r="DZ119" s="440"/>
      <c r="EA119" s="457">
        <f t="shared" si="76"/>
        <v>-2568069.7984712124</v>
      </c>
      <c r="EB119" s="459">
        <f t="shared" si="77"/>
        <v>-50.117480113019113</v>
      </c>
      <c r="ED119" s="457">
        <v>2781525.1931927842</v>
      </c>
      <c r="EE119" s="458">
        <v>1946514.4163873028</v>
      </c>
      <c r="EF119" s="458">
        <v>1122115.0496509611</v>
      </c>
      <c r="EG119" s="458">
        <v>292511.01346160646</v>
      </c>
      <c r="EH119" s="459">
        <v>-19735.206002524978</v>
      </c>
    </row>
    <row r="120" spans="1:138" x14ac:dyDescent="0.2">
      <c r="A120" s="67">
        <v>286</v>
      </c>
      <c r="B120" s="67" t="s">
        <v>241</v>
      </c>
      <c r="C120" s="67">
        <v>8</v>
      </c>
      <c r="D120" s="67">
        <v>79429</v>
      </c>
      <c r="E120" s="82">
        <v>209124100.36324632</v>
      </c>
      <c r="F120" s="67">
        <v>129067795.62464739</v>
      </c>
      <c r="G120" s="67">
        <v>29477184</v>
      </c>
      <c r="H120" s="67">
        <v>21632541.222770568</v>
      </c>
      <c r="I120" s="67">
        <v>14925006.356013276</v>
      </c>
      <c r="J120" s="67">
        <v>12969757.757887859</v>
      </c>
      <c r="K120" s="67">
        <v>-13685020.369259261</v>
      </c>
      <c r="L120" s="67">
        <v>-7243028</v>
      </c>
      <c r="M120" s="68">
        <v>9075567.5700000003</v>
      </c>
      <c r="N120" s="68">
        <v>865136.83786623343</v>
      </c>
      <c r="O120" s="68">
        <v>-2311651.2909615934</v>
      </c>
      <c r="P120" s="168">
        <f t="shared" si="43"/>
        <v>-14350810.654281825</v>
      </c>
      <c r="Q120" s="169">
        <f t="shared" si="44"/>
        <v>-180.67469884150404</v>
      </c>
      <c r="R120" s="67"/>
      <c r="S120" s="82">
        <v>583510089.60000014</v>
      </c>
      <c r="T120" s="67">
        <v>312821164.86511707</v>
      </c>
      <c r="U120" s="67">
        <v>32512676.991532184</v>
      </c>
      <c r="V120" s="67">
        <v>142226775.90896529</v>
      </c>
      <c r="W120" s="67">
        <v>43255894.792523317</v>
      </c>
      <c r="X120" s="67">
        <v>31309723.57</v>
      </c>
      <c r="Y120" s="168">
        <f t="shared" si="45"/>
        <v>-21383853.471862316</v>
      </c>
      <c r="Z120" s="169">
        <f t="shared" si="46"/>
        <v>-269.21972417961092</v>
      </c>
      <c r="AA120" s="67"/>
      <c r="AB120" s="77">
        <f t="shared" si="47"/>
        <v>7033042.8175804913</v>
      </c>
      <c r="AC120" s="123">
        <f t="shared" si="48"/>
        <v>88.545025338106882</v>
      </c>
      <c r="AE120" s="170"/>
      <c r="AF120" s="177">
        <v>-5750413.2378034629</v>
      </c>
      <c r="AG120" s="177">
        <v>-4765948.495234943</v>
      </c>
      <c r="AH120" s="177">
        <v>-3695483.712202902</v>
      </c>
      <c r="AI120" s="178">
        <v>-2641259.6231527138</v>
      </c>
      <c r="AK120" s="67">
        <f t="shared" si="49"/>
        <v>183753369.24046969</v>
      </c>
      <c r="AL120" s="67">
        <f t="shared" si="50"/>
        <v>10880135.768761616</v>
      </c>
      <c r="AM120" s="67">
        <f t="shared" si="51"/>
        <v>127301769.55295202</v>
      </c>
      <c r="AN120" s="67">
        <f t="shared" si="52"/>
        <v>374385989.23675382</v>
      </c>
      <c r="AO120" s="67">
        <f t="shared" si="53"/>
        <v>0</v>
      </c>
      <c r="AP120" s="67">
        <f t="shared" si="54"/>
        <v>-5750413.2378034629</v>
      </c>
      <c r="AQ120" s="67">
        <f t="shared" si="55"/>
        <v>-4765948.495234943</v>
      </c>
      <c r="AR120" s="67">
        <f t="shared" si="56"/>
        <v>-3695483.712202902</v>
      </c>
      <c r="AS120" s="67">
        <f t="shared" si="57"/>
        <v>-2641259.6231527138</v>
      </c>
      <c r="AT120" s="68">
        <v>26659</v>
      </c>
      <c r="AU120" s="68"/>
      <c r="AV120" s="68"/>
      <c r="AW120" s="68">
        <v>0</v>
      </c>
      <c r="AX120" s="68">
        <v>123121.74158713598</v>
      </c>
      <c r="AY120" s="68">
        <v>-2089.723870557023</v>
      </c>
      <c r="AZ120" s="68">
        <v>30337.837680249886</v>
      </c>
      <c r="BA120" s="299"/>
      <c r="BB120" s="67"/>
      <c r="BC120" s="67"/>
      <c r="BD120" s="67"/>
      <c r="BE120" s="67"/>
      <c r="BF120" s="67"/>
      <c r="BG120" s="67"/>
      <c r="BH120" s="67"/>
      <c r="BN120" s="299"/>
      <c r="BO120" s="67">
        <v>193897950.87140179</v>
      </c>
      <c r="BP120" s="67">
        <v>341676618.13999999</v>
      </c>
      <c r="BQ120" s="67">
        <v>365463000</v>
      </c>
      <c r="BR120" s="67">
        <v>7852496.4499999993</v>
      </c>
      <c r="BS120" s="67">
        <v>9182000</v>
      </c>
      <c r="BT120" s="428">
        <v>0.58740708711221912</v>
      </c>
      <c r="BU120" s="428">
        <v>0.33464287704132484</v>
      </c>
      <c r="BV120" s="67">
        <f t="shared" si="58"/>
        <v>143902886.21832821</v>
      </c>
      <c r="BW120" s="299"/>
      <c r="BX120" s="67">
        <v>550863012</v>
      </c>
      <c r="BY120" s="67">
        <v>193897950.87140179</v>
      </c>
      <c r="BZ120" s="67">
        <v>377839674.78787547</v>
      </c>
      <c r="CA120" s="67">
        <v>182692773.01256722</v>
      </c>
      <c r="CB120" s="67">
        <f t="shared" si="59"/>
        <v>-4301072.0258760424</v>
      </c>
      <c r="CC120" s="67">
        <f t="shared" si="60"/>
        <v>-269.21972417961052</v>
      </c>
      <c r="CD120" s="67">
        <f t="shared" si="61"/>
        <v>-33.428735347757531</v>
      </c>
      <c r="CE120" s="67">
        <f t="shared" si="62"/>
        <v>235.79098883185299</v>
      </c>
      <c r="CF120" s="67">
        <f t="shared" si="63"/>
        <v>-220.79098883185299</v>
      </c>
      <c r="CG120" s="67">
        <f t="shared" si="64"/>
        <v>-205.79098883185299</v>
      </c>
      <c r="CH120" s="67">
        <f t="shared" si="65"/>
        <v>-190.79098883185299</v>
      </c>
      <c r="CI120" s="67">
        <f t="shared" si="66"/>
        <v>-175.79098883185299</v>
      </c>
      <c r="CJ120" s="67">
        <f t="shared" si="67"/>
        <v>-17537207.451925252</v>
      </c>
      <c r="CK120" s="67">
        <f t="shared" si="68"/>
        <v>-16345772.451925252</v>
      </c>
      <c r="CL120" s="67">
        <f t="shared" si="69"/>
        <v>-15154337.451925252</v>
      </c>
      <c r="CM120" s="67">
        <f t="shared" si="70"/>
        <v>-13962902.451925252</v>
      </c>
      <c r="CN120" s="299"/>
      <c r="CO120" s="430">
        <v>312821.16486511705</v>
      </c>
      <c r="CP120" s="430">
        <v>32512.676991532186</v>
      </c>
      <c r="CQ120" s="430">
        <v>29477.184000000001</v>
      </c>
      <c r="CR120" s="430">
        <v>142226775.90896529</v>
      </c>
      <c r="CS120" s="430">
        <v>14925006.356013276</v>
      </c>
      <c r="CT120" s="430">
        <v>43255894.792523317</v>
      </c>
      <c r="CU120" s="430">
        <v>12969757.757887859</v>
      </c>
      <c r="CV120" s="430">
        <v>-7243028</v>
      </c>
      <c r="CW120" s="430">
        <v>865136.83786623343</v>
      </c>
      <c r="CX120" s="430">
        <v>9075567.5700000003</v>
      </c>
      <c r="CY120" s="430">
        <v>209124100.36324632</v>
      </c>
      <c r="CZ120" s="519"/>
      <c r="DA120" s="524">
        <v>315002.86452</v>
      </c>
      <c r="DB120" s="524">
        <v>32258.436087746984</v>
      </c>
      <c r="DC120" s="520">
        <f t="shared" si="71"/>
        <v>-1</v>
      </c>
      <c r="DD120" s="440">
        <v>80454</v>
      </c>
      <c r="DE120" s="450">
        <v>193897950.87140179</v>
      </c>
      <c r="DF120" s="440">
        <v>132615802.56256722</v>
      </c>
      <c r="DG120" s="440">
        <v>30614046.773999996</v>
      </c>
      <c r="DH120" s="440">
        <v>19462923.675999999</v>
      </c>
      <c r="DI120" s="440">
        <v>14797631.149179706</v>
      </c>
      <c r="DJ120" s="440">
        <v>12991898.080662593</v>
      </c>
      <c r="DK120" s="440">
        <v>-4301015.2112129303</v>
      </c>
      <c r="DL120" s="440">
        <v>-6781361</v>
      </c>
      <c r="DM120" s="440">
        <v>10185000</v>
      </c>
      <c r="DN120" s="440">
        <v>865034.02680522751</v>
      </c>
      <c r="DO120" s="457">
        <f t="shared" si="72"/>
        <v>16552009.186600029</v>
      </c>
      <c r="DP120" s="459">
        <f t="shared" si="73"/>
        <v>205.73258242722585</v>
      </c>
      <c r="DQ120" s="440"/>
      <c r="DR120" s="450">
        <v>550863012</v>
      </c>
      <c r="DS120" s="440">
        <v>318031242.49987549</v>
      </c>
      <c r="DT120" s="440">
        <v>29194385.513999999</v>
      </c>
      <c r="DU120" s="440">
        <v>142099829.51896521</v>
      </c>
      <c r="DV120" s="440">
        <v>43329735.760912478</v>
      </c>
      <c r="DW120" s="440">
        <v>34017685.773999996</v>
      </c>
      <c r="DX120" s="457">
        <f t="shared" si="74"/>
        <v>15809867.067753196</v>
      </c>
      <c r="DY120" s="459">
        <f t="shared" si="75"/>
        <v>196.50815456973172</v>
      </c>
      <c r="DZ120" s="440"/>
      <c r="EA120" s="457">
        <f t="shared" si="76"/>
        <v>742142.11884683371</v>
      </c>
      <c r="EB120" s="459">
        <f t="shared" si="77"/>
        <v>9.2244278574941418</v>
      </c>
      <c r="ED120" s="457">
        <v>-406993.69615939644</v>
      </c>
      <c r="EE120" s="458">
        <v>230899.75800274685</v>
      </c>
      <c r="EF120" s="458">
        <v>143312.17303356878</v>
      </c>
      <c r="EG120" s="458">
        <v>47552.685170757104</v>
      </c>
      <c r="EH120" s="459">
        <v>-30986.441789331679</v>
      </c>
    </row>
    <row r="121" spans="1:138" x14ac:dyDescent="0.2">
      <c r="A121" s="67">
        <v>287</v>
      </c>
      <c r="B121" s="67" t="s">
        <v>561</v>
      </c>
      <c r="C121" s="67">
        <v>15</v>
      </c>
      <c r="D121" s="67">
        <v>6242</v>
      </c>
      <c r="E121" s="82">
        <v>19249156.203960799</v>
      </c>
      <c r="F121" s="67">
        <v>9259660.3293567337</v>
      </c>
      <c r="G121" s="67">
        <v>3067410</v>
      </c>
      <c r="H121" s="67">
        <v>1289447.1926197035</v>
      </c>
      <c r="I121" s="67">
        <v>3203748.0391257778</v>
      </c>
      <c r="J121" s="67">
        <v>1394564.1116987979</v>
      </c>
      <c r="K121" s="67">
        <v>554680.06003457645</v>
      </c>
      <c r="L121" s="67">
        <v>91417</v>
      </c>
      <c r="M121" s="68">
        <v>-273763.7</v>
      </c>
      <c r="N121" s="68">
        <v>58117.144563680376</v>
      </c>
      <c r="O121" s="68">
        <v>-181663.2131612165</v>
      </c>
      <c r="P121" s="168">
        <f t="shared" si="43"/>
        <v>-785539.23972274491</v>
      </c>
      <c r="Q121" s="169">
        <f t="shared" si="44"/>
        <v>-125.84736298025391</v>
      </c>
      <c r="R121" s="67"/>
      <c r="S121" s="82">
        <v>50450750.200000003</v>
      </c>
      <c r="T121" s="67">
        <v>21685990.524878338</v>
      </c>
      <c r="U121" s="67">
        <v>1937977.5884653602</v>
      </c>
      <c r="V121" s="67">
        <v>18846870.116298445</v>
      </c>
      <c r="W121" s="67">
        <v>4651059.7671251819</v>
      </c>
      <c r="X121" s="67">
        <v>2885063.3</v>
      </c>
      <c r="Y121" s="168">
        <f t="shared" si="45"/>
        <v>-443788.90323267877</v>
      </c>
      <c r="Z121" s="169">
        <f t="shared" si="46"/>
        <v>-71.097228970310596</v>
      </c>
      <c r="AA121" s="67"/>
      <c r="AB121" s="77">
        <f t="shared" si="47"/>
        <v>-341750.33649006614</v>
      </c>
      <c r="AC121" s="123">
        <f t="shared" si="48"/>
        <v>-54.750134009943309</v>
      </c>
      <c r="AE121" s="170"/>
      <c r="AF121" s="177">
        <v>255286.94524715244</v>
      </c>
      <c r="AG121" s="177">
        <v>145391.99986338452</v>
      </c>
      <c r="AH121" s="177">
        <v>42255.445653788564</v>
      </c>
      <c r="AI121" s="178">
        <v>-29387.734711285892</v>
      </c>
      <c r="AK121" s="67">
        <f t="shared" si="49"/>
        <v>12426330.195521604</v>
      </c>
      <c r="AL121" s="67">
        <f t="shared" si="50"/>
        <v>648530.39584565675</v>
      </c>
      <c r="AM121" s="67">
        <f t="shared" si="51"/>
        <v>15643122.077172667</v>
      </c>
      <c r="AN121" s="67">
        <f t="shared" si="52"/>
        <v>31201593.996039204</v>
      </c>
      <c r="AO121" s="67">
        <f t="shared" si="53"/>
        <v>0</v>
      </c>
      <c r="AP121" s="67">
        <f t="shared" si="54"/>
        <v>255286.94524715244</v>
      </c>
      <c r="AQ121" s="67">
        <f t="shared" si="55"/>
        <v>145391.99986338452</v>
      </c>
      <c r="AR121" s="67">
        <f t="shared" si="56"/>
        <v>42255.445653788564</v>
      </c>
      <c r="AS121" s="67">
        <f t="shared" si="57"/>
        <v>-29387.734711285892</v>
      </c>
      <c r="AT121" s="68">
        <v>3089</v>
      </c>
      <c r="AU121" s="68"/>
      <c r="AV121" s="68"/>
      <c r="AW121" s="68">
        <v>49</v>
      </c>
      <c r="AX121" s="68">
        <v>13925.375675889856</v>
      </c>
      <c r="AY121" s="68">
        <v>-1745.7827714824675</v>
      </c>
      <c r="AZ121" s="68">
        <v>3264.8012617950826</v>
      </c>
      <c r="BA121" s="299"/>
      <c r="BB121" s="67"/>
      <c r="BC121" s="67"/>
      <c r="BD121" s="67"/>
      <c r="BE121" s="67"/>
      <c r="BF121" s="67"/>
      <c r="BG121" s="67"/>
      <c r="BH121" s="67"/>
      <c r="BN121" s="299"/>
      <c r="BO121" s="67">
        <v>18943823.116606809</v>
      </c>
      <c r="BP121" s="67">
        <v>27455534.759999998</v>
      </c>
      <c r="BQ121" s="67">
        <v>31896000</v>
      </c>
      <c r="BR121" s="67">
        <v>498762.48000000004</v>
      </c>
      <c r="BS121" s="67">
        <v>504000</v>
      </c>
      <c r="BT121" s="428">
        <v>0.57301187977860735</v>
      </c>
      <c r="BU121" s="428">
        <v>0.33464287704132484</v>
      </c>
      <c r="BV121" s="67">
        <f t="shared" si="58"/>
        <v>19454297.792633627</v>
      </c>
      <c r="BW121" s="299"/>
      <c r="BX121" s="67">
        <v>48452262</v>
      </c>
      <c r="BY121" s="67">
        <v>18943823.116606809</v>
      </c>
      <c r="BZ121" s="67">
        <v>27055307.126979388</v>
      </c>
      <c r="CA121" s="67">
        <v>13742870.008787736</v>
      </c>
      <c r="CB121" s="67">
        <f t="shared" si="59"/>
        <v>1607479.6221884468</v>
      </c>
      <c r="CC121" s="67">
        <f t="shared" si="60"/>
        <v>-71.097228970310752</v>
      </c>
      <c r="CD121" s="67">
        <f t="shared" si="61"/>
        <v>71.91982306830208</v>
      </c>
      <c r="CE121" s="67">
        <f t="shared" si="62"/>
        <v>143.01705203861283</v>
      </c>
      <c r="CF121" s="67">
        <f t="shared" si="63"/>
        <v>-128.01705203861283</v>
      </c>
      <c r="CG121" s="67">
        <f t="shared" si="64"/>
        <v>-113.01705203861283</v>
      </c>
      <c r="CH121" s="67">
        <f t="shared" si="65"/>
        <v>-98.017052038612832</v>
      </c>
      <c r="CI121" s="67">
        <f t="shared" si="66"/>
        <v>-83.017052038612832</v>
      </c>
      <c r="CJ121" s="67">
        <f t="shared" si="67"/>
        <v>-799082.43882502127</v>
      </c>
      <c r="CK121" s="67">
        <f t="shared" si="68"/>
        <v>-705452.43882502127</v>
      </c>
      <c r="CL121" s="67">
        <f t="shared" si="69"/>
        <v>-611822.43882502127</v>
      </c>
      <c r="CM121" s="67">
        <f t="shared" si="70"/>
        <v>-518192.43882502132</v>
      </c>
      <c r="CN121" s="299"/>
      <c r="CO121" s="430">
        <v>21685.99052487834</v>
      </c>
      <c r="CP121" s="430">
        <v>1937.9775884653602</v>
      </c>
      <c r="CQ121" s="430">
        <v>3067.41</v>
      </c>
      <c r="CR121" s="430">
        <v>18846870.116298445</v>
      </c>
      <c r="CS121" s="430">
        <v>3203748.0391257778</v>
      </c>
      <c r="CT121" s="430">
        <v>4651059.7671251819</v>
      </c>
      <c r="CU121" s="430">
        <v>1394564.1116987979</v>
      </c>
      <c r="CV121" s="430">
        <v>91417</v>
      </c>
      <c r="CW121" s="430">
        <v>58117.144563680376</v>
      </c>
      <c r="CX121" s="430">
        <v>-273763.7</v>
      </c>
      <c r="CY121" s="430">
        <v>19249156.203960799</v>
      </c>
      <c r="CZ121" s="519"/>
      <c r="DA121" s="524">
        <v>22158.690139999999</v>
      </c>
      <c r="DB121" s="524">
        <v>1922.8221356974241</v>
      </c>
      <c r="DC121" s="520">
        <f t="shared" si="71"/>
        <v>-1</v>
      </c>
      <c r="DD121" s="440">
        <v>6380</v>
      </c>
      <c r="DE121" s="450">
        <v>18943823.116606809</v>
      </c>
      <c r="DF121" s="440">
        <v>9651908.086787736</v>
      </c>
      <c r="DG121" s="440">
        <v>2930838.7522</v>
      </c>
      <c r="DH121" s="440">
        <v>1160123.1698</v>
      </c>
      <c r="DI121" s="440">
        <v>3193707.6437865947</v>
      </c>
      <c r="DJ121" s="440">
        <v>1398120.9107224341</v>
      </c>
      <c r="DK121" s="440">
        <v>1606930.1544386714</v>
      </c>
      <c r="DL121" s="440">
        <v>171574</v>
      </c>
      <c r="DM121" s="440">
        <v>-344500</v>
      </c>
      <c r="DN121" s="440">
        <v>59010.47355699179</v>
      </c>
      <c r="DO121" s="457">
        <f t="shared" si="72"/>
        <v>883890.07468561828</v>
      </c>
      <c r="DP121" s="459">
        <f t="shared" si="73"/>
        <v>138.54076405730694</v>
      </c>
      <c r="DQ121" s="440"/>
      <c r="DR121" s="450">
        <v>48452262</v>
      </c>
      <c r="DS121" s="440">
        <v>22384283.620079387</v>
      </c>
      <c r="DT121" s="440">
        <v>1740184.7546999999</v>
      </c>
      <c r="DU121" s="440">
        <v>18836866.576298434</v>
      </c>
      <c r="DV121" s="440">
        <v>4662922.1725175167</v>
      </c>
      <c r="DW121" s="440">
        <v>2757912.7522</v>
      </c>
      <c r="DX121" s="457">
        <f t="shared" si="74"/>
        <v>1929907.8757953346</v>
      </c>
      <c r="DY121" s="459">
        <f t="shared" si="75"/>
        <v>302.49339746008377</v>
      </c>
      <c r="DZ121" s="440"/>
      <c r="EA121" s="457">
        <f t="shared" si="76"/>
        <v>-1046017.8011097163</v>
      </c>
      <c r="EB121" s="459">
        <f t="shared" si="77"/>
        <v>-163.95263340277685</v>
      </c>
      <c r="ED121" s="457">
        <v>1072595.0618642573</v>
      </c>
      <c r="EE121" s="458">
        <v>968628.14560542209</v>
      </c>
      <c r="EF121" s="458">
        <v>865982.45251243282</v>
      </c>
      <c r="EG121" s="458">
        <v>762688.72774343763</v>
      </c>
      <c r="EH121" s="459">
        <v>660760.5771231408</v>
      </c>
    </row>
    <row r="122" spans="1:138" x14ac:dyDescent="0.2">
      <c r="A122" s="67">
        <v>288</v>
      </c>
      <c r="B122" s="67" t="s">
        <v>243</v>
      </c>
      <c r="C122" s="67">
        <v>15</v>
      </c>
      <c r="D122" s="67">
        <v>6405</v>
      </c>
      <c r="E122" s="82">
        <v>17680734.393108245</v>
      </c>
      <c r="F122" s="67">
        <v>9549068.694631258</v>
      </c>
      <c r="G122" s="67">
        <v>1743276</v>
      </c>
      <c r="H122" s="67">
        <v>2039774.1413333705</v>
      </c>
      <c r="I122" s="67">
        <v>5985264.7068657856</v>
      </c>
      <c r="J122" s="67">
        <v>1294172.2385443882</v>
      </c>
      <c r="K122" s="67">
        <v>-493769.64538959536</v>
      </c>
      <c r="L122" s="67">
        <v>99419</v>
      </c>
      <c r="M122" s="68">
        <v>-153039.66</v>
      </c>
      <c r="N122" s="68">
        <v>57898.981822834619</v>
      </c>
      <c r="O122" s="68">
        <v>-186407.06188682982</v>
      </c>
      <c r="P122" s="168">
        <f t="shared" si="43"/>
        <v>2254923.0028129653</v>
      </c>
      <c r="Q122" s="169">
        <f t="shared" si="44"/>
        <v>352.05667491225063</v>
      </c>
      <c r="R122" s="67"/>
      <c r="S122" s="82">
        <v>44174876.080000006</v>
      </c>
      <c r="T122" s="67">
        <v>21548939.248724017</v>
      </c>
      <c r="U122" s="67">
        <v>3065683.1811809721</v>
      </c>
      <c r="V122" s="67">
        <v>15151207.48135066</v>
      </c>
      <c r="W122" s="67">
        <v>4316239.3036858812</v>
      </c>
      <c r="X122" s="67">
        <v>1689655.34</v>
      </c>
      <c r="Y122" s="168">
        <f t="shared" si="45"/>
        <v>1596848.4749415293</v>
      </c>
      <c r="Z122" s="169">
        <f t="shared" si="46"/>
        <v>249.31279858571887</v>
      </c>
      <c r="AA122" s="67"/>
      <c r="AB122" s="77">
        <f t="shared" si="47"/>
        <v>658074.52787143597</v>
      </c>
      <c r="AC122" s="123">
        <f t="shared" si="48"/>
        <v>102.74387632653176</v>
      </c>
      <c r="AE122" s="170"/>
      <c r="AF122" s="177">
        <v>-554645.77441274305</v>
      </c>
      <c r="AG122" s="177">
        <v>-475260.45323091559</v>
      </c>
      <c r="AH122" s="177">
        <v>-388940.2561326237</v>
      </c>
      <c r="AI122" s="178">
        <v>-303929.67699444428</v>
      </c>
      <c r="AK122" s="67">
        <f t="shared" si="49"/>
        <v>11999870.554092759</v>
      </c>
      <c r="AL122" s="67">
        <f t="shared" si="50"/>
        <v>1025909.0398476017</v>
      </c>
      <c r="AM122" s="67">
        <f t="shared" si="51"/>
        <v>9165942.7744848747</v>
      </c>
      <c r="AN122" s="67">
        <f t="shared" si="52"/>
        <v>26494141.686891761</v>
      </c>
      <c r="AO122" s="67">
        <f t="shared" si="53"/>
        <v>0</v>
      </c>
      <c r="AP122" s="67">
        <f t="shared" si="54"/>
        <v>-554645.77441274305</v>
      </c>
      <c r="AQ122" s="67">
        <f t="shared" si="55"/>
        <v>-475260.45323091559</v>
      </c>
      <c r="AR122" s="67">
        <f t="shared" si="56"/>
        <v>-388940.2561326237</v>
      </c>
      <c r="AS122" s="67">
        <f t="shared" si="57"/>
        <v>-303929.67699444428</v>
      </c>
      <c r="AT122" s="68">
        <v>1359</v>
      </c>
      <c r="AU122" s="68"/>
      <c r="AV122" s="68"/>
      <c r="AW122" s="68">
        <v>33</v>
      </c>
      <c r="AX122" s="68">
        <v>7676.6966854694874</v>
      </c>
      <c r="AY122" s="68">
        <v>-1818.1408532937776</v>
      </c>
      <c r="AZ122" s="68">
        <v>3041.4707538664793</v>
      </c>
      <c r="BA122" s="299"/>
      <c r="BB122" s="67"/>
      <c r="BC122" s="67"/>
      <c r="BD122" s="67"/>
      <c r="BE122" s="67"/>
      <c r="BF122" s="67"/>
      <c r="BG122" s="67"/>
      <c r="BH122" s="67"/>
      <c r="BN122" s="299"/>
      <c r="BO122" s="67">
        <v>17268206.090468146</v>
      </c>
      <c r="BP122" s="67">
        <v>24386480.390000001</v>
      </c>
      <c r="BQ122" s="67">
        <v>25285000</v>
      </c>
      <c r="BR122" s="67">
        <v>595101.54</v>
      </c>
      <c r="BS122" s="67">
        <v>980000</v>
      </c>
      <c r="BT122" s="428">
        <v>0.55686595129286054</v>
      </c>
      <c r="BU122" s="428">
        <v>0.33464287704132484</v>
      </c>
      <c r="BV122" s="67">
        <f t="shared" si="58"/>
        <v>11694240.194236772</v>
      </c>
      <c r="BW122" s="299"/>
      <c r="BX122" s="67">
        <v>43538644.100000001</v>
      </c>
      <c r="BY122" s="67">
        <v>17268206.090468146</v>
      </c>
      <c r="BZ122" s="67">
        <v>26579284.747650173</v>
      </c>
      <c r="CA122" s="67">
        <v>13590711.241070364</v>
      </c>
      <c r="CB122" s="67">
        <f t="shared" si="59"/>
        <v>-483740.40333347849</v>
      </c>
      <c r="CC122" s="67">
        <f t="shared" si="60"/>
        <v>249.31279858571833</v>
      </c>
      <c r="CD122" s="67">
        <f t="shared" si="61"/>
        <v>382.72588708132918</v>
      </c>
      <c r="CE122" s="67">
        <f t="shared" si="62"/>
        <v>133.41308849561085</v>
      </c>
      <c r="CF122" s="67">
        <f t="shared" si="63"/>
        <v>-118.41308849561085</v>
      </c>
      <c r="CG122" s="67">
        <f t="shared" si="64"/>
        <v>-103.41308849561085</v>
      </c>
      <c r="CH122" s="67">
        <f t="shared" si="65"/>
        <v>-88.41308849561085</v>
      </c>
      <c r="CI122" s="67">
        <f t="shared" si="66"/>
        <v>-73.41308849561085</v>
      </c>
      <c r="CJ122" s="67">
        <f t="shared" si="67"/>
        <v>-758435.83181438746</v>
      </c>
      <c r="CK122" s="67">
        <f t="shared" si="68"/>
        <v>-662360.83181438746</v>
      </c>
      <c r="CL122" s="67">
        <f t="shared" si="69"/>
        <v>-566285.83181438746</v>
      </c>
      <c r="CM122" s="67">
        <f t="shared" si="70"/>
        <v>-470210.83181438752</v>
      </c>
      <c r="CN122" s="299"/>
      <c r="CO122" s="430">
        <v>21548.939248724018</v>
      </c>
      <c r="CP122" s="430">
        <v>3065.683181180972</v>
      </c>
      <c r="CQ122" s="430">
        <v>1743.2760000000001</v>
      </c>
      <c r="CR122" s="430">
        <v>15151207.48135066</v>
      </c>
      <c r="CS122" s="430">
        <v>5985264.7068657856</v>
      </c>
      <c r="CT122" s="430">
        <v>4316239.3036858812</v>
      </c>
      <c r="CU122" s="430">
        <v>1294172.2385443882</v>
      </c>
      <c r="CV122" s="430">
        <v>99419</v>
      </c>
      <c r="CW122" s="430">
        <v>57898.981822834619</v>
      </c>
      <c r="CX122" s="430">
        <v>-153039.66</v>
      </c>
      <c r="CY122" s="430">
        <v>17680734.393108245</v>
      </c>
      <c r="CZ122" s="519"/>
      <c r="DA122" s="524">
        <v>22092.697110000001</v>
      </c>
      <c r="DB122" s="524">
        <v>3041.7084084253684</v>
      </c>
      <c r="DC122" s="520">
        <f t="shared" si="71"/>
        <v>-1</v>
      </c>
      <c r="DD122" s="440">
        <v>6442</v>
      </c>
      <c r="DE122" s="450">
        <v>17268206.090468146</v>
      </c>
      <c r="DF122" s="440">
        <v>9851683.3709703647</v>
      </c>
      <c r="DG122" s="440">
        <v>1903831.1625000001</v>
      </c>
      <c r="DH122" s="440">
        <v>1835196.7076000001</v>
      </c>
      <c r="DI122" s="440">
        <v>5975155.2510838648</v>
      </c>
      <c r="DJ122" s="440">
        <v>1302481.6885770825</v>
      </c>
      <c r="DK122" s="440">
        <v>-483541.52055936662</v>
      </c>
      <c r="DL122" s="440">
        <v>132865</v>
      </c>
      <c r="DM122" s="440">
        <v>-194300</v>
      </c>
      <c r="DN122" s="440">
        <v>57574.872778605648</v>
      </c>
      <c r="DO122" s="457">
        <f t="shared" si="72"/>
        <v>3112740.4424824044</v>
      </c>
      <c r="DP122" s="459">
        <f t="shared" si="73"/>
        <v>483.19472873058123</v>
      </c>
      <c r="DQ122" s="440"/>
      <c r="DR122" s="450">
        <v>43538644.100000001</v>
      </c>
      <c r="DS122" s="440">
        <v>21922658.523750171</v>
      </c>
      <c r="DT122" s="440">
        <v>2752795.0614</v>
      </c>
      <c r="DU122" s="440">
        <v>15141120.441350652</v>
      </c>
      <c r="DV122" s="440">
        <v>4343952.4424435617</v>
      </c>
      <c r="DW122" s="440">
        <v>1842396.1625000001</v>
      </c>
      <c r="DX122" s="457">
        <f t="shared" si="74"/>
        <v>2464278.5314443782</v>
      </c>
      <c r="DY122" s="459">
        <f t="shared" si="75"/>
        <v>382.53314676255485</v>
      </c>
      <c r="DZ122" s="440"/>
      <c r="EA122" s="457">
        <f t="shared" si="76"/>
        <v>648461.91103802621</v>
      </c>
      <c r="EB122" s="459">
        <f t="shared" si="77"/>
        <v>100.66158196802643</v>
      </c>
      <c r="ED122" s="457">
        <v>-621626.37596266542</v>
      </c>
      <c r="EE122" s="458">
        <v>-533343.62902526977</v>
      </c>
      <c r="EF122" s="458">
        <v>-443726.81944925676</v>
      </c>
      <c r="EG122" s="458">
        <v>-354764.33903575625</v>
      </c>
      <c r="EH122" s="459">
        <v>-264423.01400377392</v>
      </c>
    </row>
    <row r="123" spans="1:138" x14ac:dyDescent="0.2">
      <c r="A123" s="67">
        <v>290</v>
      </c>
      <c r="B123" s="67" t="s">
        <v>244</v>
      </c>
      <c r="C123" s="67">
        <v>18</v>
      </c>
      <c r="D123" s="67">
        <v>7755</v>
      </c>
      <c r="E123" s="82">
        <v>23749710.50690157</v>
      </c>
      <c r="F123" s="67">
        <v>10622488.850092106</v>
      </c>
      <c r="G123" s="67">
        <v>2288715</v>
      </c>
      <c r="H123" s="67">
        <v>2928305.3186374786</v>
      </c>
      <c r="I123" s="67">
        <v>5841377.3472862486</v>
      </c>
      <c r="J123" s="67">
        <v>1653615.2453967961</v>
      </c>
      <c r="K123" s="67">
        <v>60498.048507430183</v>
      </c>
      <c r="L123" s="67">
        <v>-580173</v>
      </c>
      <c r="M123" s="68">
        <v>-203922.97</v>
      </c>
      <c r="N123" s="68">
        <v>66362.214722223376</v>
      </c>
      <c r="O123" s="68">
        <v>-225696.60654681738</v>
      </c>
      <c r="P123" s="168">
        <f t="shared" si="43"/>
        <v>-1298141.0588061046</v>
      </c>
      <c r="Q123" s="169">
        <f t="shared" si="44"/>
        <v>-167.39407592599673</v>
      </c>
      <c r="R123" s="67"/>
      <c r="S123" s="82">
        <v>67474227.289999992</v>
      </c>
      <c r="T123" s="67">
        <v>24079480.042439703</v>
      </c>
      <c r="U123" s="67">
        <v>4401103.133330931</v>
      </c>
      <c r="V123" s="67">
        <v>31275962.566140302</v>
      </c>
      <c r="W123" s="67">
        <v>5515030.3049179669</v>
      </c>
      <c r="X123" s="67">
        <v>1504619.03</v>
      </c>
      <c r="Y123" s="168">
        <f t="shared" si="45"/>
        <v>-698032.21317107975</v>
      </c>
      <c r="Z123" s="169">
        <f t="shared" si="46"/>
        <v>-90.010601311551227</v>
      </c>
      <c r="AA123" s="67"/>
      <c r="AB123" s="77">
        <f t="shared" si="47"/>
        <v>-600108.84563502483</v>
      </c>
      <c r="AC123" s="123">
        <f t="shared" si="48"/>
        <v>-77.383474614445504</v>
      </c>
      <c r="AE123" s="170"/>
      <c r="AF123" s="177">
        <v>492687.57054870838</v>
      </c>
      <c r="AG123" s="177">
        <v>356155.16083209193</v>
      </c>
      <c r="AH123" s="177">
        <v>228019.31048037505</v>
      </c>
      <c r="AI123" s="178">
        <v>98297.810279997459</v>
      </c>
      <c r="AK123" s="67">
        <f t="shared" si="49"/>
        <v>13456991.192347597</v>
      </c>
      <c r="AL123" s="67">
        <f t="shared" si="50"/>
        <v>1472797.8146934523</v>
      </c>
      <c r="AM123" s="67">
        <f t="shared" si="51"/>
        <v>25434585.218854055</v>
      </c>
      <c r="AN123" s="67">
        <f t="shared" si="52"/>
        <v>43724516.783098422</v>
      </c>
      <c r="AO123" s="67">
        <f t="shared" si="53"/>
        <v>0</v>
      </c>
      <c r="AP123" s="67">
        <f t="shared" si="54"/>
        <v>492687.57054870838</v>
      </c>
      <c r="AQ123" s="67">
        <f t="shared" si="55"/>
        <v>356155.16083209193</v>
      </c>
      <c r="AR123" s="67">
        <f t="shared" si="56"/>
        <v>228019.31048037505</v>
      </c>
      <c r="AS123" s="67">
        <f t="shared" si="57"/>
        <v>98297.810279997459</v>
      </c>
      <c r="AT123" s="68">
        <v>2336</v>
      </c>
      <c r="AU123" s="68"/>
      <c r="AV123" s="68"/>
      <c r="AW123" s="68">
        <v>0</v>
      </c>
      <c r="AX123" s="68">
        <v>21629.774245177185</v>
      </c>
      <c r="AY123" s="68">
        <v>-3245.0341603801535</v>
      </c>
      <c r="AZ123" s="68">
        <v>3866.9692694246651</v>
      </c>
      <c r="BA123" s="299"/>
      <c r="BB123" s="67"/>
      <c r="BC123" s="67"/>
      <c r="BD123" s="67"/>
      <c r="BE123" s="67"/>
      <c r="BF123" s="67"/>
      <c r="BG123" s="67"/>
      <c r="BH123" s="67"/>
      <c r="BN123" s="299"/>
      <c r="BO123" s="67">
        <v>23570303.578453302</v>
      </c>
      <c r="BP123" s="67">
        <v>40808538.090000004</v>
      </c>
      <c r="BQ123" s="67">
        <v>41489000</v>
      </c>
      <c r="BR123" s="67">
        <v>1094942.52</v>
      </c>
      <c r="BS123" s="67">
        <v>1183000</v>
      </c>
      <c r="BT123" s="428">
        <v>0.55885721654412235</v>
      </c>
      <c r="BU123" s="428">
        <v>0.33464287704132489</v>
      </c>
      <c r="BV123" s="67">
        <f t="shared" si="58"/>
        <v>29356498.326882653</v>
      </c>
      <c r="BW123" s="299"/>
      <c r="BX123" s="67">
        <v>67695587</v>
      </c>
      <c r="BY123" s="67">
        <v>23570303.578453302</v>
      </c>
      <c r="BZ123" s="67">
        <v>31534521.725528151</v>
      </c>
      <c r="CA123" s="67">
        <v>16188069.814499943</v>
      </c>
      <c r="CB123" s="67">
        <f t="shared" si="59"/>
        <v>-64068.337227797638</v>
      </c>
      <c r="CC123" s="67">
        <f t="shared" si="60"/>
        <v>-90.010601311552577</v>
      </c>
      <c r="CD123" s="67">
        <f t="shared" si="61"/>
        <v>-154.35342849703605</v>
      </c>
      <c r="CE123" s="67">
        <f t="shared" si="62"/>
        <v>-64.342827185483472</v>
      </c>
      <c r="CF123" s="67">
        <f t="shared" si="63"/>
        <v>49.342827185483472</v>
      </c>
      <c r="CG123" s="67">
        <f t="shared" si="64"/>
        <v>34.342827185483472</v>
      </c>
      <c r="CH123" s="67">
        <f t="shared" si="65"/>
        <v>19.342827185483472</v>
      </c>
      <c r="CI123" s="67">
        <f t="shared" si="66"/>
        <v>4.3428271854834719</v>
      </c>
      <c r="CJ123" s="67">
        <f t="shared" si="67"/>
        <v>382653.62482342432</v>
      </c>
      <c r="CK123" s="67">
        <f t="shared" si="68"/>
        <v>266328.62482342432</v>
      </c>
      <c r="CL123" s="67">
        <f t="shared" si="69"/>
        <v>150003.62482342432</v>
      </c>
      <c r="CM123" s="67">
        <f t="shared" si="70"/>
        <v>33678.624823424325</v>
      </c>
      <c r="CN123" s="299"/>
      <c r="CO123" s="430">
        <v>24079.480042439704</v>
      </c>
      <c r="CP123" s="430">
        <v>4401.1031333309311</v>
      </c>
      <c r="CQ123" s="430">
        <v>2288.7150000000001</v>
      </c>
      <c r="CR123" s="430">
        <v>31275962.566140302</v>
      </c>
      <c r="CS123" s="430">
        <v>5841377.3472862486</v>
      </c>
      <c r="CT123" s="430">
        <v>5515030.3049179669</v>
      </c>
      <c r="CU123" s="430">
        <v>1653615.2453967961</v>
      </c>
      <c r="CV123" s="430">
        <v>-580173</v>
      </c>
      <c r="CW123" s="430">
        <v>66362.214722223376</v>
      </c>
      <c r="CX123" s="430">
        <v>-203922.97</v>
      </c>
      <c r="CY123" s="430">
        <v>23749710.50690157</v>
      </c>
      <c r="CZ123" s="519"/>
      <c r="DA123" s="524">
        <v>24695.050940000001</v>
      </c>
      <c r="DB123" s="524">
        <v>4366.6850699331353</v>
      </c>
      <c r="DC123" s="520">
        <f t="shared" si="71"/>
        <v>-1</v>
      </c>
      <c r="DD123" s="440">
        <v>7928</v>
      </c>
      <c r="DE123" s="450">
        <v>23570303.578453302</v>
      </c>
      <c r="DF123" s="440">
        <v>11274303.188099943</v>
      </c>
      <c r="DG123" s="440">
        <v>2279153.2293999996</v>
      </c>
      <c r="DH123" s="440">
        <v>2634613.3970000003</v>
      </c>
      <c r="DI123" s="440">
        <v>5828779.4597724127</v>
      </c>
      <c r="DJ123" s="440">
        <v>1655993.7843601024</v>
      </c>
      <c r="DK123" s="440">
        <v>-65082.62521018627</v>
      </c>
      <c r="DL123" s="440">
        <v>-597259</v>
      </c>
      <c r="DM123" s="440">
        <v>1243000</v>
      </c>
      <c r="DN123" s="440">
        <v>68026.717170506527</v>
      </c>
      <c r="DO123" s="457">
        <f t="shared" si="72"/>
        <v>751224.57213947549</v>
      </c>
      <c r="DP123" s="459">
        <f t="shared" si="73"/>
        <v>94.755874386916688</v>
      </c>
      <c r="DQ123" s="440"/>
      <c r="DR123" s="450">
        <v>67695587</v>
      </c>
      <c r="DS123" s="440">
        <v>25303448.400628153</v>
      </c>
      <c r="DT123" s="440">
        <v>3951920.0955000003</v>
      </c>
      <c r="DU123" s="440">
        <v>31263413.156140309</v>
      </c>
      <c r="DV123" s="440">
        <v>5522963.0537847672</v>
      </c>
      <c r="DW123" s="440">
        <v>2924894.2293999996</v>
      </c>
      <c r="DX123" s="457">
        <f t="shared" si="74"/>
        <v>1271051.9354532361</v>
      </c>
      <c r="DY123" s="459">
        <f t="shared" si="75"/>
        <v>160.32441163638194</v>
      </c>
      <c r="DZ123" s="440"/>
      <c r="EA123" s="457">
        <f t="shared" si="76"/>
        <v>-519827.36331376061</v>
      </c>
      <c r="EB123" s="459">
        <f t="shared" si="77"/>
        <v>-65.568537249465265</v>
      </c>
      <c r="ED123" s="457">
        <v>552853.15065888327</v>
      </c>
      <c r="EE123" s="458">
        <v>423660.40581561596</v>
      </c>
      <c r="EF123" s="458">
        <v>296109.45678094222</v>
      </c>
      <c r="EG123" s="458">
        <v>167753.24205232252</v>
      </c>
      <c r="EH123" s="459">
        <v>41093.935137320346</v>
      </c>
    </row>
    <row r="124" spans="1:138" x14ac:dyDescent="0.2">
      <c r="A124" s="67">
        <v>291</v>
      </c>
      <c r="B124" s="67" t="s">
        <v>245</v>
      </c>
      <c r="C124" s="67">
        <v>6</v>
      </c>
      <c r="D124" s="67">
        <v>2119</v>
      </c>
      <c r="E124" s="82">
        <v>7254358.1401013061</v>
      </c>
      <c r="F124" s="67">
        <v>2749315.1030962542</v>
      </c>
      <c r="G124" s="67">
        <v>1573605</v>
      </c>
      <c r="H124" s="67">
        <v>936510.75048493734</v>
      </c>
      <c r="I124" s="67">
        <v>-24346.200333576311</v>
      </c>
      <c r="J124" s="67">
        <v>446032.02819678537</v>
      </c>
      <c r="K124" s="67">
        <v>1048084.3780698027</v>
      </c>
      <c r="L124" s="67">
        <v>-96129</v>
      </c>
      <c r="M124" s="68">
        <v>50199.839999999997</v>
      </c>
      <c r="N124" s="68">
        <v>18031.056083180949</v>
      </c>
      <c r="O124" s="68">
        <v>-61670.033432973047</v>
      </c>
      <c r="P124" s="168">
        <f t="shared" si="43"/>
        <v>-614725.21793689532</v>
      </c>
      <c r="Q124" s="169">
        <f t="shared" si="44"/>
        <v>-290.10156580315964</v>
      </c>
      <c r="R124" s="67"/>
      <c r="S124" s="82">
        <v>18352403.069999997</v>
      </c>
      <c r="T124" s="67">
        <v>6334818.0819126293</v>
      </c>
      <c r="U124" s="67">
        <v>1407530.960697483</v>
      </c>
      <c r="V124" s="67">
        <v>7931140.799128619</v>
      </c>
      <c r="W124" s="67">
        <v>1487577.0886346849</v>
      </c>
      <c r="X124" s="67">
        <v>1527675.84</v>
      </c>
      <c r="Y124" s="168">
        <f t="shared" si="45"/>
        <v>336339.70037342235</v>
      </c>
      <c r="Z124" s="169">
        <f t="shared" si="46"/>
        <v>158.72567266324793</v>
      </c>
      <c r="AA124" s="67"/>
      <c r="AB124" s="77">
        <f t="shared" si="47"/>
        <v>-951064.91831031768</v>
      </c>
      <c r="AC124" s="123">
        <f t="shared" si="48"/>
        <v>-448.82723846640761</v>
      </c>
      <c r="AE124" s="170"/>
      <c r="AF124" s="177">
        <v>921712.79943115276</v>
      </c>
      <c r="AG124" s="177">
        <v>884406.26478389162</v>
      </c>
      <c r="AH124" s="177">
        <v>849394.03178643354</v>
      </c>
      <c r="AI124" s="178">
        <v>813948.5309579873</v>
      </c>
      <c r="AK124" s="67">
        <f t="shared" si="49"/>
        <v>3585502.9788163751</v>
      </c>
      <c r="AL124" s="67">
        <f t="shared" si="50"/>
        <v>471020.2102125457</v>
      </c>
      <c r="AM124" s="67">
        <f t="shared" si="51"/>
        <v>7955486.9994621957</v>
      </c>
      <c r="AN124" s="67">
        <f t="shared" si="52"/>
        <v>11098044.92989869</v>
      </c>
      <c r="AO124" s="67">
        <f t="shared" si="53"/>
        <v>0</v>
      </c>
      <c r="AP124" s="67">
        <f t="shared" si="54"/>
        <v>921712.79943115276</v>
      </c>
      <c r="AQ124" s="67">
        <f t="shared" si="55"/>
        <v>884406.26478389162</v>
      </c>
      <c r="AR124" s="67">
        <f t="shared" si="56"/>
        <v>849394.03178643354</v>
      </c>
      <c r="AS124" s="67">
        <f t="shared" si="57"/>
        <v>813948.5309579873</v>
      </c>
      <c r="AT124" s="68">
        <v>1195</v>
      </c>
      <c r="AU124" s="68"/>
      <c r="AV124" s="68"/>
      <c r="AW124" s="68">
        <v>0</v>
      </c>
      <c r="AX124" s="68">
        <v>6854.2563692169024</v>
      </c>
      <c r="AY124" s="68">
        <v>-848.88863064818452</v>
      </c>
      <c r="AZ124" s="68">
        <v>1040.7345238520975</v>
      </c>
      <c r="BA124" s="299"/>
      <c r="BB124" s="67"/>
      <c r="BC124" s="67"/>
      <c r="BD124" s="67"/>
      <c r="BE124" s="67"/>
      <c r="BF124" s="67"/>
      <c r="BG124" s="67"/>
      <c r="BH124" s="67"/>
      <c r="BN124" s="299"/>
      <c r="BO124" s="67">
        <v>7017810.9228050932</v>
      </c>
      <c r="BP124" s="67">
        <v>10498785.790000001</v>
      </c>
      <c r="BQ124" s="67">
        <v>10590000</v>
      </c>
      <c r="BR124" s="67">
        <v>170479.2</v>
      </c>
      <c r="BS124" s="67">
        <v>208000</v>
      </c>
      <c r="BT124" s="428">
        <v>0.56599935980068872</v>
      </c>
      <c r="BU124" s="428">
        <v>0.33464287704132489</v>
      </c>
      <c r="BV124" s="67">
        <f t="shared" si="58"/>
        <v>10045116.437969899</v>
      </c>
      <c r="BW124" s="299"/>
      <c r="BX124" s="67">
        <v>18255470</v>
      </c>
      <c r="BY124" s="67">
        <v>7017810.9228050932</v>
      </c>
      <c r="BZ124" s="67">
        <v>9407714.2202521786</v>
      </c>
      <c r="CA124" s="67">
        <v>5291074.165669499</v>
      </c>
      <c r="CB124" s="67">
        <f t="shared" si="59"/>
        <v>962346.06929716864</v>
      </c>
      <c r="CC124" s="67">
        <f t="shared" si="60"/>
        <v>158.72567266324683</v>
      </c>
      <c r="CD124" s="67">
        <f t="shared" si="61"/>
        <v>-301.45988356609541</v>
      </c>
      <c r="CE124" s="67">
        <f t="shared" si="62"/>
        <v>-460.18555622934224</v>
      </c>
      <c r="CF124" s="67">
        <f t="shared" si="63"/>
        <v>445.18555622934224</v>
      </c>
      <c r="CG124" s="67">
        <f t="shared" si="64"/>
        <v>430.18555622934224</v>
      </c>
      <c r="CH124" s="67">
        <f t="shared" si="65"/>
        <v>415.18555622934224</v>
      </c>
      <c r="CI124" s="67">
        <f t="shared" si="66"/>
        <v>400.18555622934224</v>
      </c>
      <c r="CJ124" s="67">
        <f t="shared" si="67"/>
        <v>943348.19364997617</v>
      </c>
      <c r="CK124" s="67">
        <f t="shared" si="68"/>
        <v>911563.19364997617</v>
      </c>
      <c r="CL124" s="67">
        <f t="shared" si="69"/>
        <v>879778.19364997617</v>
      </c>
      <c r="CM124" s="67">
        <f t="shared" si="70"/>
        <v>847993.19364997617</v>
      </c>
      <c r="CN124" s="299"/>
      <c r="CO124" s="430">
        <v>6334.8180819126292</v>
      </c>
      <c r="CP124" s="430">
        <v>1407.5309606974831</v>
      </c>
      <c r="CQ124" s="430">
        <v>1573.605</v>
      </c>
      <c r="CR124" s="430">
        <v>7931140.799128619</v>
      </c>
      <c r="CS124" s="430">
        <v>-24346.200333576311</v>
      </c>
      <c r="CT124" s="430">
        <v>1487577.0886346849</v>
      </c>
      <c r="CU124" s="430">
        <v>446032.02819678537</v>
      </c>
      <c r="CV124" s="430">
        <v>-96129</v>
      </c>
      <c r="CW124" s="430">
        <v>18031.056083180949</v>
      </c>
      <c r="CX124" s="430">
        <v>50199.839999999997</v>
      </c>
      <c r="CY124" s="430">
        <v>7254358.1401013061</v>
      </c>
      <c r="CZ124" s="519"/>
      <c r="DA124" s="524">
        <v>6620.5968499999999</v>
      </c>
      <c r="DB124" s="524">
        <v>1396.5233213135698</v>
      </c>
      <c r="DC124" s="520">
        <f t="shared" si="71"/>
        <v>-1</v>
      </c>
      <c r="DD124" s="440">
        <v>2158</v>
      </c>
      <c r="DE124" s="450">
        <v>7017810.9228050932</v>
      </c>
      <c r="DF124" s="440">
        <v>2872277.2970694979</v>
      </c>
      <c r="DG124" s="440">
        <v>1576212.6770000001</v>
      </c>
      <c r="DH124" s="440">
        <v>842584.19160000002</v>
      </c>
      <c r="DI124" s="440">
        <v>-27719.61557899079</v>
      </c>
      <c r="DJ124" s="440">
        <v>445684.92340888514</v>
      </c>
      <c r="DK124" s="440">
        <v>962215.81022848887</v>
      </c>
      <c r="DL124" s="440">
        <v>-106050</v>
      </c>
      <c r="DM124" s="440">
        <v>95080</v>
      </c>
      <c r="DN124" s="440">
        <v>18247.964435651222</v>
      </c>
      <c r="DO124" s="457">
        <f t="shared" si="72"/>
        <v>-339277.67464156076</v>
      </c>
      <c r="DP124" s="459">
        <f t="shared" si="73"/>
        <v>-157.21857026949061</v>
      </c>
      <c r="DQ124" s="440"/>
      <c r="DR124" s="450">
        <v>18255470</v>
      </c>
      <c r="DS124" s="440">
        <v>6567625.2558521777</v>
      </c>
      <c r="DT124" s="440">
        <v>1263876.2874</v>
      </c>
      <c r="DU124" s="440">
        <v>7927784.0291286195</v>
      </c>
      <c r="DV124" s="440">
        <v>1486419.4472609826</v>
      </c>
      <c r="DW124" s="440">
        <v>1565242.6770000001</v>
      </c>
      <c r="DX124" s="457">
        <f t="shared" si="74"/>
        <v>555477.69664178044</v>
      </c>
      <c r="DY124" s="459">
        <f t="shared" si="75"/>
        <v>257.40393727607989</v>
      </c>
      <c r="DZ124" s="440"/>
      <c r="EA124" s="457">
        <f t="shared" si="76"/>
        <v>-894755.3712833412</v>
      </c>
      <c r="EB124" s="459">
        <f t="shared" si="77"/>
        <v>-414.6225075455705</v>
      </c>
      <c r="ED124" s="457">
        <v>903744.98393354402</v>
      </c>
      <c r="EE124" s="458">
        <v>868578.74486041453</v>
      </c>
      <c r="EF124" s="458">
        <v>833859.40227504296</v>
      </c>
      <c r="EG124" s="458">
        <v>798920.866530295</v>
      </c>
      <c r="EH124" s="459">
        <v>764444.22874995007</v>
      </c>
    </row>
    <row r="125" spans="1:138" x14ac:dyDescent="0.2">
      <c r="A125" s="67">
        <v>297</v>
      </c>
      <c r="B125" s="67" t="s">
        <v>246</v>
      </c>
      <c r="C125" s="67">
        <v>11</v>
      </c>
      <c r="D125" s="67">
        <v>122594</v>
      </c>
      <c r="E125" s="82">
        <v>314360910.27779394</v>
      </c>
      <c r="F125" s="67">
        <v>184185302.17407897</v>
      </c>
      <c r="G125" s="67">
        <v>46991878</v>
      </c>
      <c r="H125" s="67">
        <v>26478665.540626977</v>
      </c>
      <c r="I125" s="67">
        <v>35408319.021848157</v>
      </c>
      <c r="J125" s="67">
        <v>18810094.740516961</v>
      </c>
      <c r="K125" s="67">
        <v>-14628902.320090845</v>
      </c>
      <c r="L125" s="67">
        <v>-1586408</v>
      </c>
      <c r="M125" s="68">
        <v>15234264.52</v>
      </c>
      <c r="N125" s="68">
        <v>1283846.7026722017</v>
      </c>
      <c r="O125" s="68">
        <v>-3567898.1022566766</v>
      </c>
      <c r="P125" s="168">
        <f t="shared" si="43"/>
        <v>-5751748.0003981795</v>
      </c>
      <c r="Q125" s="169">
        <f t="shared" si="44"/>
        <v>-46.917043251694047</v>
      </c>
      <c r="R125" s="67"/>
      <c r="S125" s="82">
        <v>820174586.13999987</v>
      </c>
      <c r="T125" s="67">
        <v>459700236.95956928</v>
      </c>
      <c r="U125" s="67">
        <v>39796170.548055507</v>
      </c>
      <c r="V125" s="67">
        <v>184175656.63352802</v>
      </c>
      <c r="W125" s="67">
        <v>62734207.864318751</v>
      </c>
      <c r="X125" s="67">
        <v>60639734.519999996</v>
      </c>
      <c r="Y125" s="168">
        <f t="shared" si="45"/>
        <v>-13128579.614528298</v>
      </c>
      <c r="Z125" s="169">
        <f t="shared" si="46"/>
        <v>-107.08990337641563</v>
      </c>
      <c r="AA125" s="67"/>
      <c r="AB125" s="77">
        <f t="shared" si="47"/>
        <v>7376831.6141301189</v>
      </c>
      <c r="AC125" s="123">
        <f t="shared" si="48"/>
        <v>60.172860124721595</v>
      </c>
      <c r="AE125" s="170"/>
      <c r="AF125" s="177">
        <v>-5397168.1322384905</v>
      </c>
      <c r="AG125" s="177">
        <v>-3877704.5779894744</v>
      </c>
      <c r="AH125" s="177">
        <v>-2225505.0084238234</v>
      </c>
      <c r="AI125" s="178">
        <v>-598371.99689127551</v>
      </c>
      <c r="AK125" s="67">
        <f t="shared" si="49"/>
        <v>275514934.78549027</v>
      </c>
      <c r="AL125" s="67">
        <f t="shared" si="50"/>
        <v>13317505.007428531</v>
      </c>
      <c r="AM125" s="67">
        <f t="shared" si="51"/>
        <v>148767337.61167985</v>
      </c>
      <c r="AN125" s="67">
        <f t="shared" si="52"/>
        <v>505813675.86220592</v>
      </c>
      <c r="AO125" s="67">
        <f t="shared" si="53"/>
        <v>0</v>
      </c>
      <c r="AP125" s="67">
        <f t="shared" si="54"/>
        <v>-5397168.1322384905</v>
      </c>
      <c r="AQ125" s="67">
        <f t="shared" si="55"/>
        <v>-3877704.5779894744</v>
      </c>
      <c r="AR125" s="67">
        <f t="shared" si="56"/>
        <v>-2225505.0084238234</v>
      </c>
      <c r="AS125" s="67">
        <f t="shared" si="57"/>
        <v>-598371.99689127551</v>
      </c>
      <c r="AT125" s="68">
        <v>48773</v>
      </c>
      <c r="AU125" s="68"/>
      <c r="AV125" s="68"/>
      <c r="AW125" s="68">
        <v>1639</v>
      </c>
      <c r="AX125" s="68">
        <v>137038.85083563891</v>
      </c>
      <c r="AY125" s="68">
        <v>-9352.7168434440446</v>
      </c>
      <c r="AZ125" s="68">
        <v>43936.962472754254</v>
      </c>
      <c r="BA125" s="299"/>
      <c r="BB125" s="67"/>
      <c r="BC125" s="67"/>
      <c r="BD125" s="67"/>
      <c r="BE125" s="67"/>
      <c r="BF125" s="67"/>
      <c r="BG125" s="67"/>
      <c r="BH125" s="67"/>
      <c r="BN125" s="299"/>
      <c r="BO125" s="67">
        <v>311137114.74202406</v>
      </c>
      <c r="BP125" s="67">
        <v>456573870.26999998</v>
      </c>
      <c r="BQ125" s="67">
        <v>499464000</v>
      </c>
      <c r="BR125" s="67">
        <v>7630322.379999999</v>
      </c>
      <c r="BS125" s="67">
        <v>14728000</v>
      </c>
      <c r="BT125" s="428">
        <v>0.5993360730195183</v>
      </c>
      <c r="BU125" s="428">
        <v>0.33464287704132478</v>
      </c>
      <c r="BV125" s="67">
        <f t="shared" si="58"/>
        <v>178062548.41539085</v>
      </c>
      <c r="BW125" s="299"/>
      <c r="BX125" s="67">
        <v>797723400</v>
      </c>
      <c r="BY125" s="67">
        <v>311137114.74202406</v>
      </c>
      <c r="BZ125" s="67">
        <v>530691560.03128397</v>
      </c>
      <c r="CA125" s="67">
        <v>252825394.88109046</v>
      </c>
      <c r="CB125" s="67">
        <f t="shared" si="59"/>
        <v>-11837174.487092378</v>
      </c>
      <c r="CC125" s="67">
        <f t="shared" si="60"/>
        <v>-107.08990337641552</v>
      </c>
      <c r="CD125" s="67">
        <f t="shared" si="61"/>
        <v>4.9584639938083548</v>
      </c>
      <c r="CE125" s="67">
        <f t="shared" si="62"/>
        <v>112.04836737022387</v>
      </c>
      <c r="CF125" s="67">
        <f t="shared" si="63"/>
        <v>-97.048367370223872</v>
      </c>
      <c r="CG125" s="67">
        <f t="shared" si="64"/>
        <v>-82.048367370223872</v>
      </c>
      <c r="CH125" s="67">
        <f t="shared" si="65"/>
        <v>-67.048367370223872</v>
      </c>
      <c r="CI125" s="67">
        <f t="shared" si="66"/>
        <v>-52.048367370223872</v>
      </c>
      <c r="CJ125" s="67">
        <f t="shared" si="67"/>
        <v>-11897547.549385225</v>
      </c>
      <c r="CK125" s="67">
        <f t="shared" si="68"/>
        <v>-10058637.549385225</v>
      </c>
      <c r="CL125" s="67">
        <f t="shared" si="69"/>
        <v>-8219727.5493852254</v>
      </c>
      <c r="CM125" s="67">
        <f t="shared" si="70"/>
        <v>-6380817.5493852254</v>
      </c>
      <c r="CN125" s="299"/>
      <c r="CO125" s="430">
        <v>459700.23695956927</v>
      </c>
      <c r="CP125" s="430">
        <v>39796.17054805551</v>
      </c>
      <c r="CQ125" s="430">
        <v>46991.877999999997</v>
      </c>
      <c r="CR125" s="430">
        <v>184175656.63352802</v>
      </c>
      <c r="CS125" s="430">
        <v>35408319.021848157</v>
      </c>
      <c r="CT125" s="430">
        <v>62734207.864318751</v>
      </c>
      <c r="CU125" s="430">
        <v>18810094.740516961</v>
      </c>
      <c r="CV125" s="430">
        <v>-1586408</v>
      </c>
      <c r="CW125" s="430">
        <v>1283846.7026722017</v>
      </c>
      <c r="CX125" s="430">
        <v>15234264.52</v>
      </c>
      <c r="CY125" s="430">
        <v>314360910.27779394</v>
      </c>
      <c r="CZ125" s="519"/>
      <c r="DA125" s="524">
        <v>460174.45270999998</v>
      </c>
      <c r="DB125" s="524">
        <v>39453.934224240344</v>
      </c>
      <c r="DC125" s="520">
        <f t="shared" si="71"/>
        <v>-1</v>
      </c>
      <c r="DD125" s="440">
        <v>121543</v>
      </c>
      <c r="DE125" s="450">
        <v>311137114.74202406</v>
      </c>
      <c r="DF125" s="440">
        <v>181714918.74909046</v>
      </c>
      <c r="DG125" s="440">
        <v>47287466.105000004</v>
      </c>
      <c r="DH125" s="440">
        <v>23823010.027000003</v>
      </c>
      <c r="DI125" s="440">
        <v>35219554.178598173</v>
      </c>
      <c r="DJ125" s="440">
        <v>18815597.355230443</v>
      </c>
      <c r="DK125" s="440">
        <v>-11805262.822869556</v>
      </c>
      <c r="DL125" s="440">
        <v>-1775798</v>
      </c>
      <c r="DM125" s="440">
        <v>10513000</v>
      </c>
      <c r="DN125" s="440">
        <v>1231706.3994669644</v>
      </c>
      <c r="DO125" s="457">
        <f t="shared" si="72"/>
        <v>-6112922.7505075932</v>
      </c>
      <c r="DP125" s="459">
        <f t="shared" si="73"/>
        <v>-50.294321766844597</v>
      </c>
      <c r="DQ125" s="440"/>
      <c r="DR125" s="450">
        <v>797723400</v>
      </c>
      <c r="DS125" s="440">
        <v>447669578.88578397</v>
      </c>
      <c r="DT125" s="440">
        <v>35734515.0405</v>
      </c>
      <c r="DU125" s="440">
        <v>183987469.40352798</v>
      </c>
      <c r="DV125" s="440">
        <v>62752559.827984698</v>
      </c>
      <c r="DW125" s="440">
        <v>56024668.105000004</v>
      </c>
      <c r="DX125" s="457">
        <f t="shared" si="74"/>
        <v>-11554608.73720336</v>
      </c>
      <c r="DY125" s="459">
        <f t="shared" si="75"/>
        <v>-95.066015625773261</v>
      </c>
      <c r="DZ125" s="440"/>
      <c r="EA125" s="457">
        <f t="shared" si="76"/>
        <v>5441685.9866957664</v>
      </c>
      <c r="EB125" s="459">
        <f t="shared" si="77"/>
        <v>44.771693858928664</v>
      </c>
      <c r="ED125" s="457">
        <v>-4935372.506462412</v>
      </c>
      <c r="EE125" s="458">
        <v>-3269717.444212819</v>
      </c>
      <c r="EF125" s="458">
        <v>-1578892.25230078</v>
      </c>
      <c r="EG125" s="458">
        <v>71838.516589719977</v>
      </c>
      <c r="EH125" s="459">
        <v>-46811.65752356303</v>
      </c>
    </row>
    <row r="126" spans="1:138" x14ac:dyDescent="0.2">
      <c r="A126" s="67">
        <v>300</v>
      </c>
      <c r="B126" s="67" t="s">
        <v>247</v>
      </c>
      <c r="C126" s="67">
        <v>14</v>
      </c>
      <c r="D126" s="67">
        <v>3437</v>
      </c>
      <c r="E126" s="82">
        <v>10146532.190847876</v>
      </c>
      <c r="F126" s="67">
        <v>4214441.5242830291</v>
      </c>
      <c r="G126" s="67">
        <v>959933</v>
      </c>
      <c r="H126" s="67">
        <v>628202.17826829175</v>
      </c>
      <c r="I126" s="67">
        <v>2286437.5600698441</v>
      </c>
      <c r="J126" s="67">
        <v>752239.10934231849</v>
      </c>
      <c r="K126" s="67">
        <v>1356539.9367799582</v>
      </c>
      <c r="L126" s="67">
        <v>960661</v>
      </c>
      <c r="M126" s="68">
        <v>53608.55</v>
      </c>
      <c r="N126" s="68">
        <v>27179.524146290743</v>
      </c>
      <c r="O126" s="68">
        <v>-100028.27036768683</v>
      </c>
      <c r="P126" s="168">
        <f t="shared" si="43"/>
        <v>992681.9216741703</v>
      </c>
      <c r="Q126" s="169">
        <f t="shared" si="44"/>
        <v>288.82220589879847</v>
      </c>
      <c r="R126" s="67"/>
      <c r="S126" s="82">
        <v>26212631.319999993</v>
      </c>
      <c r="T126" s="67">
        <v>10013178.675331011</v>
      </c>
      <c r="U126" s="67">
        <v>944157.89144156931</v>
      </c>
      <c r="V126" s="67">
        <v>12498460.150815271</v>
      </c>
      <c r="W126" s="67">
        <v>2508819.0835903282</v>
      </c>
      <c r="X126" s="67">
        <v>1974202.55</v>
      </c>
      <c r="Y126" s="168">
        <f t="shared" si="45"/>
        <v>1726187.0311781876</v>
      </c>
      <c r="Z126" s="169">
        <f t="shared" si="46"/>
        <v>502.23655256857364</v>
      </c>
      <c r="AA126" s="67"/>
      <c r="AB126" s="77">
        <f t="shared" si="47"/>
        <v>-733505.10950401728</v>
      </c>
      <c r="AC126" s="123">
        <f t="shared" si="48"/>
        <v>-213.41434666977517</v>
      </c>
      <c r="AE126" s="170"/>
      <c r="AF126" s="177">
        <v>685896.22201573278</v>
      </c>
      <c r="AG126" s="177">
        <v>625385.33972095384</v>
      </c>
      <c r="AH126" s="177">
        <v>568595.79521304264</v>
      </c>
      <c r="AI126" s="178">
        <v>511103.49396369414</v>
      </c>
      <c r="AK126" s="67">
        <f t="shared" si="49"/>
        <v>5798737.1510479823</v>
      </c>
      <c r="AL126" s="67">
        <f t="shared" si="50"/>
        <v>315955.71317327756</v>
      </c>
      <c r="AM126" s="67">
        <f t="shared" si="51"/>
        <v>10212022.590745427</v>
      </c>
      <c r="AN126" s="67">
        <f t="shared" si="52"/>
        <v>16066099.129152117</v>
      </c>
      <c r="AO126" s="67">
        <f t="shared" si="53"/>
        <v>0</v>
      </c>
      <c r="AP126" s="67">
        <f t="shared" si="54"/>
        <v>685896.22201573278</v>
      </c>
      <c r="AQ126" s="67">
        <f t="shared" si="55"/>
        <v>625385.33972095384</v>
      </c>
      <c r="AR126" s="67">
        <f t="shared" si="56"/>
        <v>568595.79521304264</v>
      </c>
      <c r="AS126" s="67">
        <f t="shared" si="57"/>
        <v>511103.49396369414</v>
      </c>
      <c r="AT126" s="68">
        <v>1060</v>
      </c>
      <c r="AU126" s="68"/>
      <c r="AV126" s="68"/>
      <c r="AW126" s="68">
        <v>12</v>
      </c>
      <c r="AX126" s="68">
        <v>8661.2848713300409</v>
      </c>
      <c r="AY126" s="68">
        <v>-1721.5925677646803</v>
      </c>
      <c r="AZ126" s="68">
        <v>1763.8633559905488</v>
      </c>
      <c r="BA126" s="299"/>
      <c r="BB126" s="67"/>
      <c r="BC126" s="67"/>
      <c r="BD126" s="67"/>
      <c r="BE126" s="67"/>
      <c r="BF126" s="67"/>
      <c r="BG126" s="67"/>
      <c r="BH126" s="67"/>
      <c r="BN126" s="299"/>
      <c r="BO126" s="67">
        <v>10917302.094901744</v>
      </c>
      <c r="BP126" s="67">
        <v>15284192.66</v>
      </c>
      <c r="BQ126" s="67">
        <v>15134000</v>
      </c>
      <c r="BR126" s="67">
        <v>295625.83</v>
      </c>
      <c r="BS126" s="67">
        <v>363000</v>
      </c>
      <c r="BT126" s="428">
        <v>0.57911052414694775</v>
      </c>
      <c r="BU126" s="428">
        <v>0.33464287704132478</v>
      </c>
      <c r="BV126" s="67">
        <f t="shared" si="58"/>
        <v>13325142.501773395</v>
      </c>
      <c r="BW126" s="299"/>
      <c r="BX126" s="67">
        <v>26988900</v>
      </c>
      <c r="BY126" s="67">
        <v>10917302.094901744</v>
      </c>
      <c r="BZ126" s="67">
        <v>12011589.588021154</v>
      </c>
      <c r="CA126" s="67">
        <v>5848634.5235953666</v>
      </c>
      <c r="CB126" s="67">
        <f t="shared" si="59"/>
        <v>1325656.37135031</v>
      </c>
      <c r="CC126" s="67">
        <f t="shared" si="60"/>
        <v>502.2365525685733</v>
      </c>
      <c r="CD126" s="67">
        <f t="shared" si="61"/>
        <v>308.93995537160578</v>
      </c>
      <c r="CE126" s="67">
        <f t="shared" si="62"/>
        <v>-193.29659719696753</v>
      </c>
      <c r="CF126" s="67">
        <f t="shared" si="63"/>
        <v>178.29659719696753</v>
      </c>
      <c r="CG126" s="67">
        <f t="shared" si="64"/>
        <v>163.29659719696753</v>
      </c>
      <c r="CH126" s="67">
        <f t="shared" si="65"/>
        <v>148.29659719696753</v>
      </c>
      <c r="CI126" s="67">
        <f t="shared" si="66"/>
        <v>133.29659719696753</v>
      </c>
      <c r="CJ126" s="67">
        <f t="shared" si="67"/>
        <v>612805.4045659774</v>
      </c>
      <c r="CK126" s="67">
        <f t="shared" si="68"/>
        <v>561250.4045659774</v>
      </c>
      <c r="CL126" s="67">
        <f t="shared" si="69"/>
        <v>509695.4045659774</v>
      </c>
      <c r="CM126" s="67">
        <f t="shared" si="70"/>
        <v>458140.4045659774</v>
      </c>
      <c r="CN126" s="299"/>
      <c r="CO126" s="430">
        <v>10013.178675331012</v>
      </c>
      <c r="CP126" s="430">
        <v>944.15789144156929</v>
      </c>
      <c r="CQ126" s="430">
        <v>959.93299999999999</v>
      </c>
      <c r="CR126" s="430">
        <v>12498460.150815271</v>
      </c>
      <c r="CS126" s="430">
        <v>2286437.5600698441</v>
      </c>
      <c r="CT126" s="430">
        <v>2508819.0835903282</v>
      </c>
      <c r="CU126" s="430">
        <v>752239.10934231849</v>
      </c>
      <c r="CV126" s="430">
        <v>960661</v>
      </c>
      <c r="CW126" s="430">
        <v>27179.524146290743</v>
      </c>
      <c r="CX126" s="430">
        <v>53608.55</v>
      </c>
      <c r="CY126" s="430">
        <v>10146532.190847876</v>
      </c>
      <c r="CZ126" s="519"/>
      <c r="DA126" s="524">
        <v>10396.208279999999</v>
      </c>
      <c r="DB126" s="524">
        <v>938.66673018451399</v>
      </c>
      <c r="DC126" s="520">
        <f t="shared" si="71"/>
        <v>-1</v>
      </c>
      <c r="DD126" s="440">
        <v>3528</v>
      </c>
      <c r="DE126" s="450">
        <v>10917302.094901744</v>
      </c>
      <c r="DF126" s="440">
        <v>4328838.5792953661</v>
      </c>
      <c r="DG126" s="440">
        <v>954598.7757</v>
      </c>
      <c r="DH126" s="440">
        <v>565197.16859999998</v>
      </c>
      <c r="DI126" s="440">
        <v>2280888.7207430862</v>
      </c>
      <c r="DJ126" s="440">
        <v>755358.15013484308</v>
      </c>
      <c r="DK126" s="440">
        <v>1325560.2991796143</v>
      </c>
      <c r="DL126" s="440">
        <v>819198</v>
      </c>
      <c r="DM126" s="440">
        <v>-18100</v>
      </c>
      <c r="DN126" s="440">
        <v>27318.731621669318</v>
      </c>
      <c r="DO126" s="457">
        <f t="shared" si="72"/>
        <v>121556.33037283458</v>
      </c>
      <c r="DP126" s="459">
        <f t="shared" si="73"/>
        <v>34.4547421691708</v>
      </c>
      <c r="DQ126" s="440"/>
      <c r="DR126" s="450">
        <v>26988900</v>
      </c>
      <c r="DS126" s="440">
        <v>10209195.059421154</v>
      </c>
      <c r="DT126" s="440">
        <v>847795.75289999996</v>
      </c>
      <c r="DU126" s="440">
        <v>12492929.500815267</v>
      </c>
      <c r="DV126" s="440">
        <v>2519221.5061253919</v>
      </c>
      <c r="DW126" s="440">
        <v>1755696.7757000001</v>
      </c>
      <c r="DX126" s="457">
        <f t="shared" si="74"/>
        <v>835938.59496181458</v>
      </c>
      <c r="DY126" s="459">
        <f t="shared" si="75"/>
        <v>236.94404619099052</v>
      </c>
      <c r="DZ126" s="440"/>
      <c r="EA126" s="457">
        <f t="shared" si="76"/>
        <v>-714382.26458898</v>
      </c>
      <c r="EB126" s="459">
        <f t="shared" si="77"/>
        <v>-202.48930402181972</v>
      </c>
      <c r="ED126" s="457">
        <v>729078.90658615821</v>
      </c>
      <c r="EE126" s="458">
        <v>671587.48330070835</v>
      </c>
      <c r="EF126" s="458">
        <v>614826.66743361333</v>
      </c>
      <c r="EG126" s="458">
        <v>557707.50426981796</v>
      </c>
      <c r="EH126" s="459">
        <v>501343.47364467569</v>
      </c>
    </row>
    <row r="127" spans="1:138" x14ac:dyDescent="0.2">
      <c r="A127" s="67">
        <v>301</v>
      </c>
      <c r="B127" s="67" t="s">
        <v>248</v>
      </c>
      <c r="C127" s="67">
        <v>14</v>
      </c>
      <c r="D127" s="67">
        <v>19890</v>
      </c>
      <c r="E127" s="82">
        <v>57453083.667203456</v>
      </c>
      <c r="F127" s="67">
        <v>25308868.537299864</v>
      </c>
      <c r="G127" s="67">
        <v>5037075</v>
      </c>
      <c r="H127" s="67">
        <v>3829013.9576304448</v>
      </c>
      <c r="I127" s="67">
        <v>13844939.004117411</v>
      </c>
      <c r="J127" s="67">
        <v>4259249.4221404158</v>
      </c>
      <c r="K127" s="67">
        <v>-3278223.9324743892</v>
      </c>
      <c r="L127" s="67">
        <v>-2569373</v>
      </c>
      <c r="M127" s="68">
        <v>11521192.33</v>
      </c>
      <c r="N127" s="68">
        <v>164054.85542264476</v>
      </c>
      <c r="O127" s="68">
        <v>-578865.95799048326</v>
      </c>
      <c r="P127" s="168">
        <f t="shared" si="43"/>
        <v>84846.548942445894</v>
      </c>
      <c r="Q127" s="169">
        <f t="shared" si="44"/>
        <v>4.2657892882074355</v>
      </c>
      <c r="R127" s="67"/>
      <c r="S127" s="82">
        <v>158470828.86999997</v>
      </c>
      <c r="T127" s="67">
        <v>60291174.140565321</v>
      </c>
      <c r="U127" s="67">
        <v>5754825.2291999012</v>
      </c>
      <c r="V127" s="67">
        <v>60924428.249818847</v>
      </c>
      <c r="W127" s="67">
        <v>14205172.397084527</v>
      </c>
      <c r="X127" s="67">
        <v>13988894.33</v>
      </c>
      <c r="Y127" s="168">
        <f t="shared" si="45"/>
        <v>-3306334.5233313739</v>
      </c>
      <c r="Z127" s="169">
        <f t="shared" si="46"/>
        <v>-166.23099664813344</v>
      </c>
      <c r="AA127" s="67"/>
      <c r="AB127" s="77">
        <f t="shared" si="47"/>
        <v>3391181.0722738197</v>
      </c>
      <c r="AC127" s="123">
        <f t="shared" si="48"/>
        <v>170.49678593634087</v>
      </c>
      <c r="AE127" s="170"/>
      <c r="AF127" s="177">
        <v>-3069994.8261702443</v>
      </c>
      <c r="AG127" s="177">
        <v>-2823472.7280739835</v>
      </c>
      <c r="AH127" s="177">
        <v>-2555415.1605041125</v>
      </c>
      <c r="AI127" s="178">
        <v>-2291424.4627588526</v>
      </c>
      <c r="AK127" s="67">
        <f t="shared" si="49"/>
        <v>34982305.603265457</v>
      </c>
      <c r="AL127" s="67">
        <f t="shared" si="50"/>
        <v>1925811.2715694564</v>
      </c>
      <c r="AM127" s="67">
        <f t="shared" si="51"/>
        <v>47079489.245701432</v>
      </c>
      <c r="AN127" s="67">
        <f t="shared" si="52"/>
        <v>101017745.20279652</v>
      </c>
      <c r="AO127" s="67">
        <f t="shared" si="53"/>
        <v>0</v>
      </c>
      <c r="AP127" s="67">
        <f t="shared" si="54"/>
        <v>-3069994.8261702443</v>
      </c>
      <c r="AQ127" s="67">
        <f t="shared" si="55"/>
        <v>-2823472.7280739835</v>
      </c>
      <c r="AR127" s="67">
        <f t="shared" si="56"/>
        <v>-2555415.1605041125</v>
      </c>
      <c r="AS127" s="67">
        <f t="shared" si="57"/>
        <v>-2291424.4627588526</v>
      </c>
      <c r="AT127" s="68">
        <v>7056</v>
      </c>
      <c r="AU127" s="68"/>
      <c r="AV127" s="68"/>
      <c r="AW127" s="68">
        <v>0</v>
      </c>
      <c r="AX127" s="68">
        <v>39083.234293977344</v>
      </c>
      <c r="AY127" s="68">
        <v>-9201.9534023483739</v>
      </c>
      <c r="AZ127" s="68">
        <v>9995.1509942805824</v>
      </c>
      <c r="BA127" s="299"/>
      <c r="BB127" s="67"/>
      <c r="BC127" s="67"/>
      <c r="BD127" s="67"/>
      <c r="BE127" s="67"/>
      <c r="BF127" s="67"/>
      <c r="BG127" s="67"/>
      <c r="BH127" s="67"/>
      <c r="BN127" s="299"/>
      <c r="BO127" s="67">
        <v>42712765.988914847</v>
      </c>
      <c r="BP127" s="67">
        <v>93382236.939999998</v>
      </c>
      <c r="BQ127" s="67">
        <v>97820000</v>
      </c>
      <c r="BR127" s="67">
        <v>2058262.51</v>
      </c>
      <c r="BS127" s="67">
        <v>2139000</v>
      </c>
      <c r="BT127" s="428">
        <v>0.58022266280146195</v>
      </c>
      <c r="BU127" s="428">
        <v>0.33464287704132484</v>
      </c>
      <c r="BV127" s="67">
        <f t="shared" si="58"/>
        <v>53747188.28817115</v>
      </c>
      <c r="BW127" s="299"/>
      <c r="BX127" s="67">
        <v>137446522</v>
      </c>
      <c r="BY127" s="67">
        <v>42712765.988914847</v>
      </c>
      <c r="BZ127" s="67">
        <v>72056868.403010264</v>
      </c>
      <c r="CA127" s="67">
        <v>34656409.84594515</v>
      </c>
      <c r="CB127" s="67">
        <f t="shared" si="59"/>
        <v>464614.25504589028</v>
      </c>
      <c r="CC127" s="67">
        <f t="shared" si="60"/>
        <v>-166.2309966481337</v>
      </c>
      <c r="CD127" s="67">
        <f t="shared" si="61"/>
        <v>221.54603793128271</v>
      </c>
      <c r="CE127" s="67">
        <f t="shared" si="62"/>
        <v>387.77703457941641</v>
      </c>
      <c r="CF127" s="67">
        <f t="shared" si="63"/>
        <v>-372.77703457941641</v>
      </c>
      <c r="CG127" s="67">
        <f t="shared" si="64"/>
        <v>-357.77703457941641</v>
      </c>
      <c r="CH127" s="67">
        <f t="shared" si="65"/>
        <v>-342.77703457941641</v>
      </c>
      <c r="CI127" s="67">
        <f t="shared" si="66"/>
        <v>-327.77703457941641</v>
      </c>
      <c r="CJ127" s="67">
        <f t="shared" si="67"/>
        <v>-7414535.217784592</v>
      </c>
      <c r="CK127" s="67">
        <f t="shared" si="68"/>
        <v>-7116185.217784592</v>
      </c>
      <c r="CL127" s="67">
        <f t="shared" si="69"/>
        <v>-6817835.217784592</v>
      </c>
      <c r="CM127" s="67">
        <f t="shared" si="70"/>
        <v>-6519485.217784592</v>
      </c>
      <c r="CN127" s="299"/>
      <c r="CO127" s="430">
        <v>60291.174140565323</v>
      </c>
      <c r="CP127" s="430">
        <v>5754.8252291999015</v>
      </c>
      <c r="CQ127" s="430">
        <v>5037.0749999999998</v>
      </c>
      <c r="CR127" s="430">
        <v>60924428.249818847</v>
      </c>
      <c r="CS127" s="430">
        <v>13844939.004117411</v>
      </c>
      <c r="CT127" s="430">
        <v>14205172.397084527</v>
      </c>
      <c r="CU127" s="430">
        <v>4259249.4221404158</v>
      </c>
      <c r="CV127" s="430">
        <v>-2569373</v>
      </c>
      <c r="CW127" s="430">
        <v>164054.85542264476</v>
      </c>
      <c r="CX127" s="430">
        <v>11521192.33</v>
      </c>
      <c r="CY127" s="430">
        <v>57453083.667203456</v>
      </c>
      <c r="CZ127" s="519"/>
      <c r="DA127" s="524">
        <v>61728.348130000006</v>
      </c>
      <c r="DB127" s="524">
        <v>5709.8225363119845</v>
      </c>
      <c r="DC127" s="520">
        <f t="shared" si="71"/>
        <v>-1</v>
      </c>
      <c r="DD127" s="440">
        <v>20197</v>
      </c>
      <c r="DE127" s="450">
        <v>42712765.988914847</v>
      </c>
      <c r="DF127" s="440">
        <v>26238506.717745151</v>
      </c>
      <c r="DG127" s="440">
        <v>4972916.9084000001</v>
      </c>
      <c r="DH127" s="440">
        <v>3444986.2197999996</v>
      </c>
      <c r="DI127" s="440">
        <v>13812781.026709503</v>
      </c>
      <c r="DJ127" s="440">
        <v>4280330.8656062763</v>
      </c>
      <c r="DK127" s="440">
        <v>463551.83119081572</v>
      </c>
      <c r="DL127" s="440">
        <v>-2461173</v>
      </c>
      <c r="DM127" s="440">
        <v>8478000</v>
      </c>
      <c r="DN127" s="440">
        <v>165786.23065833177</v>
      </c>
      <c r="DO127" s="457">
        <f t="shared" si="72"/>
        <v>16682920.811195232</v>
      </c>
      <c r="DP127" s="459">
        <f t="shared" si="73"/>
        <v>826.00984360029861</v>
      </c>
      <c r="DQ127" s="440"/>
      <c r="DR127" s="450">
        <v>137446522</v>
      </c>
      <c r="DS127" s="440">
        <v>61916472.164910264</v>
      </c>
      <c r="DT127" s="440">
        <v>5167479.3296999997</v>
      </c>
      <c r="DU127" s="440">
        <v>60892361.58981882</v>
      </c>
      <c r="DV127" s="440">
        <v>14275481.859886859</v>
      </c>
      <c r="DW127" s="440">
        <v>10989743.908399999</v>
      </c>
      <c r="DX127" s="457">
        <f t="shared" si="74"/>
        <v>15795016.852715939</v>
      </c>
      <c r="DY127" s="459">
        <f t="shared" si="75"/>
        <v>782.0476730561935</v>
      </c>
      <c r="DZ127" s="440"/>
      <c r="EA127" s="457">
        <f t="shared" si="76"/>
        <v>887903.95847929269</v>
      </c>
      <c r="EB127" s="459">
        <f t="shared" si="77"/>
        <v>43.962170544105199</v>
      </c>
      <c r="ED127" s="457">
        <v>-803769.01561730565</v>
      </c>
      <c r="EE127" s="458">
        <v>-526984.3773225866</v>
      </c>
      <c r="EF127" s="458">
        <v>-246017.17722840226</v>
      </c>
      <c r="EG127" s="458">
        <v>11937.524329353186</v>
      </c>
      <c r="EH127" s="459">
        <v>-7778.7700402606697</v>
      </c>
    </row>
    <row r="128" spans="1:138" x14ac:dyDescent="0.2">
      <c r="A128" s="67">
        <v>304</v>
      </c>
      <c r="B128" s="67" t="s">
        <v>249</v>
      </c>
      <c r="C128" s="67">
        <v>2</v>
      </c>
      <c r="D128" s="67">
        <v>950</v>
      </c>
      <c r="E128" s="82">
        <v>2862742.936048395</v>
      </c>
      <c r="F128" s="67">
        <v>1079193.5115511236</v>
      </c>
      <c r="G128" s="67">
        <v>1494643</v>
      </c>
      <c r="H128" s="67">
        <v>231304.21133980912</v>
      </c>
      <c r="I128" s="67">
        <v>203629.06231963728</v>
      </c>
      <c r="J128" s="67">
        <v>180052.12681472843</v>
      </c>
      <c r="K128" s="67">
        <v>-288000.97719419369</v>
      </c>
      <c r="L128" s="67">
        <v>-188510</v>
      </c>
      <c r="M128" s="68">
        <v>15894.77</v>
      </c>
      <c r="N128" s="68">
        <v>11531.431272340822</v>
      </c>
      <c r="O128" s="68">
        <v>-27648.198094065312</v>
      </c>
      <c r="P128" s="168">
        <f t="shared" si="43"/>
        <v>-150653.99803901464</v>
      </c>
      <c r="Q128" s="169">
        <f t="shared" si="44"/>
        <v>-158.58315583054173</v>
      </c>
      <c r="R128" s="67"/>
      <c r="S128" s="82">
        <v>7986202.5100000007</v>
      </c>
      <c r="T128" s="67">
        <v>3557133.5515971929</v>
      </c>
      <c r="U128" s="67">
        <v>347639.1900807459</v>
      </c>
      <c r="V128" s="67">
        <v>1965865.1572953188</v>
      </c>
      <c r="W128" s="67">
        <v>600498.17429560807</v>
      </c>
      <c r="X128" s="67">
        <v>1322027.77</v>
      </c>
      <c r="Y128" s="168">
        <f t="shared" si="45"/>
        <v>-193038.66673113499</v>
      </c>
      <c r="Z128" s="169">
        <f t="shared" si="46"/>
        <v>-203.19859655908945</v>
      </c>
      <c r="AA128" s="67"/>
      <c r="AB128" s="77">
        <f t="shared" si="47"/>
        <v>42384.668692120351</v>
      </c>
      <c r="AC128" s="123">
        <f t="shared" si="48"/>
        <v>44.615440728547739</v>
      </c>
      <c r="AE128" s="170"/>
      <c r="AF128" s="177">
        <v>-27043.948038605402</v>
      </c>
      <c r="AG128" s="177">
        <v>-15269.388300473314</v>
      </c>
      <c r="AH128" s="177">
        <v>-2831.5678139146808</v>
      </c>
      <c r="AI128" s="178">
        <v>-4472.6606817881438</v>
      </c>
      <c r="AK128" s="67">
        <f t="shared" si="49"/>
        <v>2477940.0400460693</v>
      </c>
      <c r="AL128" s="67">
        <f t="shared" si="50"/>
        <v>116334.97874093679</v>
      </c>
      <c r="AM128" s="67">
        <f t="shared" si="51"/>
        <v>1762236.0949756815</v>
      </c>
      <c r="AN128" s="67">
        <f t="shared" si="52"/>
        <v>5123459.5739516057</v>
      </c>
      <c r="AO128" s="67">
        <f t="shared" si="53"/>
        <v>0</v>
      </c>
      <c r="AP128" s="67">
        <f t="shared" si="54"/>
        <v>-27043.948038605402</v>
      </c>
      <c r="AQ128" s="67">
        <f t="shared" si="55"/>
        <v>-15269.388300473314</v>
      </c>
      <c r="AR128" s="67">
        <f t="shared" si="56"/>
        <v>-2831.5678139146808</v>
      </c>
      <c r="AS128" s="67">
        <f t="shared" si="57"/>
        <v>-4472.6606817881438</v>
      </c>
      <c r="AT128" s="68">
        <v>507</v>
      </c>
      <c r="AU128" s="68"/>
      <c r="AV128" s="68"/>
      <c r="AW128" s="68">
        <v>22</v>
      </c>
      <c r="AX128" s="68">
        <v>1606.518685843811</v>
      </c>
      <c r="AY128" s="68">
        <v>-6.1014263611966415</v>
      </c>
      <c r="AZ128" s="68">
        <v>418.16169536178683</v>
      </c>
      <c r="BA128" s="299"/>
      <c r="BB128" s="67"/>
      <c r="BC128" s="67"/>
      <c r="BD128" s="67"/>
      <c r="BE128" s="67"/>
      <c r="BF128" s="67"/>
      <c r="BG128" s="67"/>
      <c r="BH128" s="67"/>
      <c r="BN128" s="299"/>
      <c r="BO128" s="67">
        <v>2595306.8959642239</v>
      </c>
      <c r="BP128" s="67">
        <v>4767375.83</v>
      </c>
      <c r="BQ128" s="67">
        <v>4965000</v>
      </c>
      <c r="BR128" s="67">
        <v>96069.3</v>
      </c>
      <c r="BS128" s="67">
        <v>82000</v>
      </c>
      <c r="BT128" s="428">
        <v>0.69661147215949948</v>
      </c>
      <c r="BU128" s="428">
        <v>0.33464287704132478</v>
      </c>
      <c r="BV128" s="67">
        <f t="shared" si="58"/>
        <v>1894681.1652623671</v>
      </c>
      <c r="BW128" s="299"/>
      <c r="BX128" s="67">
        <v>7522758</v>
      </c>
      <c r="BY128" s="67">
        <v>2595306.8959642239</v>
      </c>
      <c r="BZ128" s="67">
        <v>5000034.7711156011</v>
      </c>
      <c r="CA128" s="67">
        <v>2708758.9505581581</v>
      </c>
      <c r="CB128" s="67">
        <f t="shared" si="59"/>
        <v>-370402.23918059753</v>
      </c>
      <c r="CC128" s="67">
        <f t="shared" si="60"/>
        <v>-203.19859655908945</v>
      </c>
      <c r="CD128" s="67">
        <f t="shared" si="61"/>
        <v>-216.21795992774034</v>
      </c>
      <c r="CE128" s="67">
        <f t="shared" si="62"/>
        <v>-13.019363368650886</v>
      </c>
      <c r="CF128" s="67">
        <f t="shared" si="63"/>
        <v>0</v>
      </c>
      <c r="CG128" s="67">
        <f t="shared" si="64"/>
        <v>0</v>
      </c>
      <c r="CH128" s="67">
        <f t="shared" si="65"/>
        <v>0</v>
      </c>
      <c r="CI128" s="67">
        <f t="shared" si="66"/>
        <v>0</v>
      </c>
      <c r="CJ128" s="67">
        <f t="shared" si="67"/>
        <v>0</v>
      </c>
      <c r="CK128" s="67">
        <f t="shared" si="68"/>
        <v>0</v>
      </c>
      <c r="CL128" s="67">
        <f t="shared" si="69"/>
        <v>0</v>
      </c>
      <c r="CM128" s="67">
        <f t="shared" si="70"/>
        <v>0</v>
      </c>
      <c r="CN128" s="299"/>
      <c r="CO128" s="430">
        <v>3557.1335515971928</v>
      </c>
      <c r="CP128" s="430">
        <v>347.63919008074589</v>
      </c>
      <c r="CQ128" s="430">
        <v>1494.643</v>
      </c>
      <c r="CR128" s="430">
        <v>1965865.1572953188</v>
      </c>
      <c r="CS128" s="430">
        <v>203629.06231963728</v>
      </c>
      <c r="CT128" s="430">
        <v>600498.17429560807</v>
      </c>
      <c r="CU128" s="430">
        <v>180052.12681472843</v>
      </c>
      <c r="CV128" s="430">
        <v>-188510</v>
      </c>
      <c r="CW128" s="430">
        <v>11531.431272340822</v>
      </c>
      <c r="CX128" s="430">
        <v>15894.77</v>
      </c>
      <c r="CY128" s="430">
        <v>2862742.936048395</v>
      </c>
      <c r="CZ128" s="519"/>
      <c r="DA128" s="524">
        <v>3626.2921299999998</v>
      </c>
      <c r="DB128" s="524">
        <v>344.92069384468209</v>
      </c>
      <c r="DC128" s="520">
        <f t="shared" si="71"/>
        <v>-1</v>
      </c>
      <c r="DD128" s="440">
        <v>971</v>
      </c>
      <c r="DE128" s="450">
        <v>2595306.8959642239</v>
      </c>
      <c r="DF128" s="440">
        <v>979752.47235815832</v>
      </c>
      <c r="DG128" s="440">
        <v>1520900.7283999999</v>
      </c>
      <c r="DH128" s="440">
        <v>208105.74980000002</v>
      </c>
      <c r="DI128" s="440">
        <v>202125.71057899194</v>
      </c>
      <c r="DJ128" s="440">
        <v>179073.87417113589</v>
      </c>
      <c r="DK128" s="440">
        <v>-369578.77209693141</v>
      </c>
      <c r="DL128" s="440">
        <v>-188510</v>
      </c>
      <c r="DM128" s="440">
        <v>-16100</v>
      </c>
      <c r="DN128" s="440">
        <v>10156.612949255858</v>
      </c>
      <c r="DO128" s="457">
        <f t="shared" si="72"/>
        <v>-69380.519803613424</v>
      </c>
      <c r="DP128" s="459">
        <f t="shared" si="73"/>
        <v>-71.452646553669851</v>
      </c>
      <c r="DQ128" s="440"/>
      <c r="DR128" s="450">
        <v>7522758</v>
      </c>
      <c r="DS128" s="440">
        <v>3166975.4180156006</v>
      </c>
      <c r="DT128" s="440">
        <v>312158.62470000004</v>
      </c>
      <c r="DU128" s="440">
        <v>1964368.4872953182</v>
      </c>
      <c r="DV128" s="440">
        <v>597235.5695329227</v>
      </c>
      <c r="DW128" s="440">
        <v>1316290.7283999999</v>
      </c>
      <c r="DX128" s="457">
        <f t="shared" si="74"/>
        <v>-165729.172056159</v>
      </c>
      <c r="DY128" s="459">
        <f t="shared" si="75"/>
        <v>-170.67885896617818</v>
      </c>
      <c r="DZ128" s="440"/>
      <c r="EA128" s="457">
        <f t="shared" si="76"/>
        <v>96348.65225254558</v>
      </c>
      <c r="EB128" s="459">
        <f t="shared" si="77"/>
        <v>99.226212412508318</v>
      </c>
      <c r="ED128" s="457">
        <v>-92303.7431314391</v>
      </c>
      <c r="EE128" s="458">
        <v>-78996.921138857419</v>
      </c>
      <c r="EF128" s="458">
        <v>-65489.016435611753</v>
      </c>
      <c r="EG128" s="458">
        <v>-52079.738496849102</v>
      </c>
      <c r="EH128" s="459">
        <v>-38462.62787808865</v>
      </c>
    </row>
    <row r="129" spans="1:138" x14ac:dyDescent="0.2">
      <c r="A129" s="67">
        <v>305</v>
      </c>
      <c r="B129" s="67" t="s">
        <v>250</v>
      </c>
      <c r="C129" s="67">
        <v>17</v>
      </c>
      <c r="D129" s="67">
        <v>15146</v>
      </c>
      <c r="E129" s="82">
        <v>44022450.776840255</v>
      </c>
      <c r="F129" s="67">
        <v>17248083.850677084</v>
      </c>
      <c r="G129" s="67">
        <v>7783161</v>
      </c>
      <c r="H129" s="67">
        <v>3873973.0931541566</v>
      </c>
      <c r="I129" s="67">
        <v>10870612.799990298</v>
      </c>
      <c r="J129" s="67">
        <v>2744680.3713774914</v>
      </c>
      <c r="K129" s="67">
        <v>994957.87147110235</v>
      </c>
      <c r="L129" s="67">
        <v>-745181</v>
      </c>
      <c r="M129" s="68">
        <v>-1334765.5</v>
      </c>
      <c r="N129" s="68">
        <v>129627.4880855685</v>
      </c>
      <c r="O129" s="68">
        <v>-440799.58771864552</v>
      </c>
      <c r="P129" s="168">
        <f t="shared" si="43"/>
        <v>-2898100.3898031958</v>
      </c>
      <c r="Q129" s="169">
        <f t="shared" si="44"/>
        <v>-191.34427504312663</v>
      </c>
      <c r="R129" s="67"/>
      <c r="S129" s="82">
        <v>112350305.74000001</v>
      </c>
      <c r="T129" s="67">
        <v>44462506.256626137</v>
      </c>
      <c r="U129" s="67">
        <v>5822396.6641066018</v>
      </c>
      <c r="V129" s="67">
        <v>45997651.677155122</v>
      </c>
      <c r="W129" s="67">
        <v>9153879.941296827</v>
      </c>
      <c r="X129" s="67">
        <v>5703214.5</v>
      </c>
      <c r="Y129" s="168">
        <f t="shared" si="45"/>
        <v>-1210656.70081532</v>
      </c>
      <c r="Z129" s="169">
        <f t="shared" si="46"/>
        <v>-79.932437661119764</v>
      </c>
      <c r="AA129" s="67"/>
      <c r="AB129" s="77">
        <f t="shared" si="47"/>
        <v>-1687443.6889878758</v>
      </c>
      <c r="AC129" s="123">
        <f t="shared" si="48"/>
        <v>-111.41183738200685</v>
      </c>
      <c r="AE129" s="170"/>
      <c r="AF129" s="177">
        <v>1477643.2205859201</v>
      </c>
      <c r="AG129" s="177">
        <v>1210986.8856319715</v>
      </c>
      <c r="AH129" s="177">
        <v>960729.55624098459</v>
      </c>
      <c r="AI129" s="178">
        <v>707375.35352855141</v>
      </c>
      <c r="AK129" s="67">
        <f t="shared" si="49"/>
        <v>27214422.405949052</v>
      </c>
      <c r="AL129" s="67">
        <f t="shared" si="50"/>
        <v>1948423.5709524453</v>
      </c>
      <c r="AM129" s="67">
        <f t="shared" si="51"/>
        <v>35127038.877164826</v>
      </c>
      <c r="AN129" s="67">
        <f t="shared" si="52"/>
        <v>68327854.963159755</v>
      </c>
      <c r="AO129" s="67">
        <f t="shared" si="53"/>
        <v>0</v>
      </c>
      <c r="AP129" s="67">
        <f t="shared" si="54"/>
        <v>1477643.2205859201</v>
      </c>
      <c r="AQ129" s="67">
        <f t="shared" si="55"/>
        <v>1210986.8856319715</v>
      </c>
      <c r="AR129" s="67">
        <f t="shared" si="56"/>
        <v>960729.55624098459</v>
      </c>
      <c r="AS129" s="67">
        <f t="shared" si="57"/>
        <v>707375.35352855141</v>
      </c>
      <c r="AT129" s="68">
        <v>8182</v>
      </c>
      <c r="AU129" s="68"/>
      <c r="AV129" s="68"/>
      <c r="AW129" s="68">
        <v>60</v>
      </c>
      <c r="AX129" s="68">
        <v>28693.694919035654</v>
      </c>
      <c r="AY129" s="68">
        <v>-5409.2055167887092</v>
      </c>
      <c r="AZ129" s="68">
        <v>6431.4891666674148</v>
      </c>
      <c r="BA129" s="299"/>
      <c r="BB129" s="67"/>
      <c r="BC129" s="67"/>
      <c r="BD129" s="67"/>
      <c r="BE129" s="67"/>
      <c r="BF129" s="67"/>
      <c r="BG129" s="67"/>
      <c r="BH129" s="67"/>
      <c r="BN129" s="299"/>
      <c r="BO129" s="67">
        <v>41838394.222836263</v>
      </c>
      <c r="BP129" s="67">
        <v>63471362.550000034</v>
      </c>
      <c r="BQ129" s="67">
        <v>66571000</v>
      </c>
      <c r="BR129" s="67">
        <v>1054700.1599999999</v>
      </c>
      <c r="BS129" s="67">
        <v>1072000</v>
      </c>
      <c r="BT129" s="428">
        <v>0.61207576219105631</v>
      </c>
      <c r="BU129" s="428">
        <v>0.33464287704132478</v>
      </c>
      <c r="BV129" s="67">
        <f t="shared" si="58"/>
        <v>42531196.318555258</v>
      </c>
      <c r="BW129" s="299"/>
      <c r="BX129" s="67">
        <v>108096159.93000001</v>
      </c>
      <c r="BY129" s="67">
        <v>41838394.222836263</v>
      </c>
      <c r="BZ129" s="67">
        <v>58107285.279280603</v>
      </c>
      <c r="CA129" s="67">
        <v>29020885.080276787</v>
      </c>
      <c r="CB129" s="67">
        <f t="shared" si="59"/>
        <v>1936095.3025845012</v>
      </c>
      <c r="CC129" s="67">
        <f t="shared" si="60"/>
        <v>-79.932437661120503</v>
      </c>
      <c r="CD129" s="67">
        <f t="shared" si="61"/>
        <v>-100.10322005619666</v>
      </c>
      <c r="CE129" s="67">
        <f t="shared" si="62"/>
        <v>-20.170782395076159</v>
      </c>
      <c r="CF129" s="67">
        <f t="shared" si="63"/>
        <v>5.1707823950761593</v>
      </c>
      <c r="CG129" s="67">
        <f t="shared" si="64"/>
        <v>0</v>
      </c>
      <c r="CH129" s="67">
        <f t="shared" si="65"/>
        <v>0</v>
      </c>
      <c r="CI129" s="67">
        <f t="shared" si="66"/>
        <v>0</v>
      </c>
      <c r="CJ129" s="67">
        <f t="shared" si="67"/>
        <v>78316.670155823507</v>
      </c>
      <c r="CK129" s="67">
        <f t="shared" si="68"/>
        <v>0</v>
      </c>
      <c r="CL129" s="67">
        <f t="shared" si="69"/>
        <v>0</v>
      </c>
      <c r="CM129" s="67">
        <f t="shared" si="70"/>
        <v>0</v>
      </c>
      <c r="CN129" s="299"/>
      <c r="CO129" s="430">
        <v>44462.506256626133</v>
      </c>
      <c r="CP129" s="430">
        <v>5822.3966641066017</v>
      </c>
      <c r="CQ129" s="430">
        <v>7783.1610000000001</v>
      </c>
      <c r="CR129" s="430">
        <v>45997651.677155122</v>
      </c>
      <c r="CS129" s="430">
        <v>10870612.799990298</v>
      </c>
      <c r="CT129" s="430">
        <v>9153879.941296827</v>
      </c>
      <c r="CU129" s="430">
        <v>2744680.3713774914</v>
      </c>
      <c r="CV129" s="430">
        <v>-745181</v>
      </c>
      <c r="CW129" s="430">
        <v>129627.4880855685</v>
      </c>
      <c r="CX129" s="430">
        <v>-1334765.5</v>
      </c>
      <c r="CY129" s="430">
        <v>44022450.776840255</v>
      </c>
      <c r="CZ129" s="519"/>
      <c r="DA129" s="524">
        <v>45152.736689999998</v>
      </c>
      <c r="DB129" s="524">
        <v>5776.8640663938104</v>
      </c>
      <c r="DC129" s="520">
        <f t="shared" si="71"/>
        <v>-1</v>
      </c>
      <c r="DD129" s="440">
        <v>15165</v>
      </c>
      <c r="DE129" s="450">
        <v>41838394.222836263</v>
      </c>
      <c r="DF129" s="440">
        <v>17579173.058676787</v>
      </c>
      <c r="DG129" s="440">
        <v>7956275.8050000006</v>
      </c>
      <c r="DH129" s="440">
        <v>3485436.2165999999</v>
      </c>
      <c r="DI129" s="440">
        <v>10846690.863683803</v>
      </c>
      <c r="DJ129" s="440">
        <v>2754225.6847997084</v>
      </c>
      <c r="DK129" s="440">
        <v>1936547.7977629702</v>
      </c>
      <c r="DL129" s="440">
        <v>-742261</v>
      </c>
      <c r="DM129" s="440">
        <v>-690000</v>
      </c>
      <c r="DN129" s="440">
        <v>128932.23341246101</v>
      </c>
      <c r="DO129" s="457">
        <f t="shared" si="72"/>
        <v>1416626.4370994642</v>
      </c>
      <c r="DP129" s="459">
        <f t="shared" si="73"/>
        <v>93.414206205042149</v>
      </c>
      <c r="DQ129" s="440"/>
      <c r="DR129" s="450">
        <v>108096159.93000001</v>
      </c>
      <c r="DS129" s="440">
        <v>44922855.149380602</v>
      </c>
      <c r="DT129" s="440">
        <v>5228154.3248999994</v>
      </c>
      <c r="DU129" s="440">
        <v>45973795.057155117</v>
      </c>
      <c r="DV129" s="440">
        <v>9185714.8514671233</v>
      </c>
      <c r="DW129" s="440">
        <v>6524014.8050000006</v>
      </c>
      <c r="DX129" s="457">
        <f t="shared" si="74"/>
        <v>3738374.2579028308</v>
      </c>
      <c r="DY129" s="459">
        <f t="shared" si="75"/>
        <v>246.51330418086587</v>
      </c>
      <c r="DZ129" s="440"/>
      <c r="EA129" s="457">
        <f t="shared" si="76"/>
        <v>-2321747.8208033666</v>
      </c>
      <c r="EB129" s="459">
        <f t="shared" si="77"/>
        <v>-153.09909797582372</v>
      </c>
      <c r="ED129" s="457">
        <v>2384920.8865310643</v>
      </c>
      <c r="EE129" s="458">
        <v>2137795.7634800868</v>
      </c>
      <c r="EF129" s="458">
        <v>1893811.1340513749</v>
      </c>
      <c r="EG129" s="458">
        <v>1648286.1597376112</v>
      </c>
      <c r="EH129" s="459">
        <v>1406007.0995249464</v>
      </c>
    </row>
    <row r="130" spans="1:138" x14ac:dyDescent="0.2">
      <c r="A130" s="67">
        <v>312</v>
      </c>
      <c r="B130" s="67" t="s">
        <v>251</v>
      </c>
      <c r="C130" s="67">
        <v>13</v>
      </c>
      <c r="D130" s="67">
        <v>1196</v>
      </c>
      <c r="E130" s="82">
        <v>2630144.5156046171</v>
      </c>
      <c r="F130" s="67">
        <v>1599360.4062486226</v>
      </c>
      <c r="G130" s="67">
        <v>482410</v>
      </c>
      <c r="H130" s="67">
        <v>825413.63769936597</v>
      </c>
      <c r="I130" s="67">
        <v>1061855.5349678551</v>
      </c>
      <c r="J130" s="67">
        <v>283825.71553729614</v>
      </c>
      <c r="K130" s="67">
        <v>-56176.698112860642</v>
      </c>
      <c r="L130" s="67">
        <v>-284203</v>
      </c>
      <c r="M130" s="68">
        <v>-129545.60000000001</v>
      </c>
      <c r="N130" s="68">
        <v>10052.044995361875</v>
      </c>
      <c r="O130" s="68">
        <v>-34807.62623210749</v>
      </c>
      <c r="P130" s="168">
        <f t="shared" si="43"/>
        <v>1128039.8994989165</v>
      </c>
      <c r="Q130" s="169">
        <f t="shared" si="44"/>
        <v>943.17717349407735</v>
      </c>
      <c r="R130" s="67"/>
      <c r="S130" s="82">
        <v>9088121.4699999988</v>
      </c>
      <c r="T130" s="67">
        <v>3445667.9527128027</v>
      </c>
      <c r="U130" s="67">
        <v>1240557.3025640124</v>
      </c>
      <c r="V130" s="67">
        <v>4393240.9073845968</v>
      </c>
      <c r="W130" s="67">
        <v>946597.11614330707</v>
      </c>
      <c r="X130" s="67">
        <v>68661.399999999994</v>
      </c>
      <c r="Y130" s="168">
        <f t="shared" si="45"/>
        <v>1006603.2088047192</v>
      </c>
      <c r="Z130" s="169">
        <f t="shared" si="46"/>
        <v>841.64147893371171</v>
      </c>
      <c r="AA130" s="67"/>
      <c r="AB130" s="77">
        <f t="shared" si="47"/>
        <v>121436.69069419731</v>
      </c>
      <c r="AC130" s="123">
        <f t="shared" si="48"/>
        <v>101.53569456036564</v>
      </c>
      <c r="AE130" s="170"/>
      <c r="AF130" s="177">
        <v>-102123.53079777288</v>
      </c>
      <c r="AG130" s="177">
        <v>-87299.979801135007</v>
      </c>
      <c r="AH130" s="177">
        <v>-71181.485542031631</v>
      </c>
      <c r="AI130" s="178">
        <v>-55307.53508937548</v>
      </c>
      <c r="AK130" s="67">
        <f t="shared" si="49"/>
        <v>1846307.5464641801</v>
      </c>
      <c r="AL130" s="67">
        <f t="shared" si="50"/>
        <v>415143.66486464639</v>
      </c>
      <c r="AM130" s="67">
        <f t="shared" si="51"/>
        <v>3331385.3724167417</v>
      </c>
      <c r="AN130" s="67">
        <f t="shared" si="52"/>
        <v>6457976.9543953817</v>
      </c>
      <c r="AO130" s="67">
        <f t="shared" si="53"/>
        <v>0</v>
      </c>
      <c r="AP130" s="67">
        <f t="shared" si="54"/>
        <v>-102123.53079777288</v>
      </c>
      <c r="AQ130" s="67">
        <f t="shared" si="55"/>
        <v>-87299.979801135007</v>
      </c>
      <c r="AR130" s="67">
        <f t="shared" si="56"/>
        <v>-71181.485542031631</v>
      </c>
      <c r="AS130" s="67">
        <f t="shared" si="57"/>
        <v>-55307.53508937548</v>
      </c>
      <c r="AT130" s="68">
        <v>363</v>
      </c>
      <c r="AU130" s="68"/>
      <c r="AV130" s="68"/>
      <c r="AW130" s="68">
        <v>0</v>
      </c>
      <c r="AX130" s="68">
        <v>2733.4747618296183</v>
      </c>
      <c r="AY130" s="68">
        <v>-681.89616920608171</v>
      </c>
      <c r="AZ130" s="68">
        <v>666.33055511827774</v>
      </c>
      <c r="BA130" s="299"/>
      <c r="BB130" s="67"/>
      <c r="BC130" s="67"/>
      <c r="BD130" s="67"/>
      <c r="BE130" s="67"/>
      <c r="BF130" s="67"/>
      <c r="BG130" s="67"/>
      <c r="BH130" s="67"/>
      <c r="BN130" s="299"/>
      <c r="BO130" s="67">
        <v>3298315.5788615514</v>
      </c>
      <c r="BP130" s="67">
        <v>5929820.0500000007</v>
      </c>
      <c r="BQ130" s="67">
        <v>6316000</v>
      </c>
      <c r="BR130" s="67">
        <v>120960.4</v>
      </c>
      <c r="BS130" s="67">
        <v>125000</v>
      </c>
      <c r="BT130" s="428">
        <v>0.53583443669044406</v>
      </c>
      <c r="BU130" s="428">
        <v>0.33464287704132484</v>
      </c>
      <c r="BV130" s="67">
        <f t="shared" si="58"/>
        <v>3937980.0749098915</v>
      </c>
      <c r="BW130" s="299"/>
      <c r="BX130" s="67">
        <v>9471859</v>
      </c>
      <c r="BY130" s="67">
        <v>3298315.5788615514</v>
      </c>
      <c r="BZ130" s="67">
        <v>5037818.5515576722</v>
      </c>
      <c r="CA130" s="67">
        <v>2833532.1530249529</v>
      </c>
      <c r="CB130" s="67">
        <f t="shared" si="59"/>
        <v>61124.119905581887</v>
      </c>
      <c r="CC130" s="67">
        <f t="shared" si="60"/>
        <v>841.64147893371171</v>
      </c>
      <c r="CD130" s="67">
        <f t="shared" si="61"/>
        <v>1070.3581469477144</v>
      </c>
      <c r="CE130" s="67">
        <f t="shared" si="62"/>
        <v>228.71666801400272</v>
      </c>
      <c r="CF130" s="67">
        <f t="shared" si="63"/>
        <v>-213.71666801400272</v>
      </c>
      <c r="CG130" s="67">
        <f t="shared" si="64"/>
        <v>-198.71666801400272</v>
      </c>
      <c r="CH130" s="67">
        <f t="shared" si="65"/>
        <v>-183.71666801400272</v>
      </c>
      <c r="CI130" s="67">
        <f t="shared" si="66"/>
        <v>-168.71666801400272</v>
      </c>
      <c r="CJ130" s="67">
        <f t="shared" si="67"/>
        <v>-255605.13494474726</v>
      </c>
      <c r="CK130" s="67">
        <f t="shared" si="68"/>
        <v>-237665.13494474726</v>
      </c>
      <c r="CL130" s="67">
        <f t="shared" si="69"/>
        <v>-219725.13494474726</v>
      </c>
      <c r="CM130" s="67">
        <f t="shared" si="70"/>
        <v>-201785.13494474726</v>
      </c>
      <c r="CN130" s="299"/>
      <c r="CO130" s="430">
        <v>3445.6679527128026</v>
      </c>
      <c r="CP130" s="430">
        <v>1240.5573025640124</v>
      </c>
      <c r="CQ130" s="430">
        <v>482.41</v>
      </c>
      <c r="CR130" s="430">
        <v>4393240.9073845968</v>
      </c>
      <c r="CS130" s="430">
        <v>1061855.5349678551</v>
      </c>
      <c r="CT130" s="430">
        <v>946597.11614330707</v>
      </c>
      <c r="CU130" s="430">
        <v>283825.71553729614</v>
      </c>
      <c r="CV130" s="430">
        <v>-284203</v>
      </c>
      <c r="CW130" s="430">
        <v>10052.044995361875</v>
      </c>
      <c r="CX130" s="430">
        <v>-129545.60000000001</v>
      </c>
      <c r="CY130" s="430">
        <v>2630144.5156046171</v>
      </c>
      <c r="CZ130" s="519"/>
      <c r="DA130" s="524">
        <v>3563.1288999999997</v>
      </c>
      <c r="DB130" s="524">
        <v>1230.8553342374694</v>
      </c>
      <c r="DC130" s="520">
        <f t="shared" si="71"/>
        <v>-1</v>
      </c>
      <c r="DD130" s="440">
        <v>1232</v>
      </c>
      <c r="DE130" s="450">
        <v>3298315.5788615514</v>
      </c>
      <c r="DF130" s="440">
        <v>1636273.0611249527</v>
      </c>
      <c r="DG130" s="440">
        <v>454629.62149999995</v>
      </c>
      <c r="DH130" s="440">
        <v>742629.47039999999</v>
      </c>
      <c r="DI130" s="440">
        <v>1059827.7075008859</v>
      </c>
      <c r="DJ130" s="440">
        <v>285349.89050204074</v>
      </c>
      <c r="DK130" s="440">
        <v>61286.43494559903</v>
      </c>
      <c r="DL130" s="440">
        <v>-284203</v>
      </c>
      <c r="DM130" s="440">
        <v>713850</v>
      </c>
      <c r="DN130" s="440">
        <v>9771.0121052816739</v>
      </c>
      <c r="DO130" s="457">
        <f t="shared" si="72"/>
        <v>1381098.6192172086</v>
      </c>
      <c r="DP130" s="459">
        <f t="shared" si="73"/>
        <v>1121.0216065074744</v>
      </c>
      <c r="DQ130" s="440"/>
      <c r="DR130" s="450">
        <v>9471859</v>
      </c>
      <c r="DS130" s="440">
        <v>3469244.7244576719</v>
      </c>
      <c r="DT130" s="440">
        <v>1113944.2056</v>
      </c>
      <c r="DU130" s="440">
        <v>4391218.0173845962</v>
      </c>
      <c r="DV130" s="440">
        <v>951680.44562031853</v>
      </c>
      <c r="DW130" s="440">
        <v>884276.62149999989</v>
      </c>
      <c r="DX130" s="457">
        <f t="shared" si="74"/>
        <v>1338505.0145625863</v>
      </c>
      <c r="DY130" s="459">
        <f t="shared" si="75"/>
        <v>1086.4488754566448</v>
      </c>
      <c r="DZ130" s="440"/>
      <c r="EA130" s="457">
        <f t="shared" si="76"/>
        <v>42593.604654622264</v>
      </c>
      <c r="EB130" s="459">
        <f t="shared" si="77"/>
        <v>34.572731050829759</v>
      </c>
      <c r="ED130" s="457">
        <v>-37461.443957193434</v>
      </c>
      <c r="EE130" s="458">
        <v>-20577.813993382286</v>
      </c>
      <c r="EF130" s="458">
        <v>-3439.0512803043471</v>
      </c>
      <c r="EG130" s="458">
        <v>728.17893616691219</v>
      </c>
      <c r="EH130" s="459">
        <v>-474.49842499386767</v>
      </c>
    </row>
    <row r="131" spans="1:138" x14ac:dyDescent="0.2">
      <c r="A131" s="67">
        <v>316</v>
      </c>
      <c r="B131" s="67" t="s">
        <v>252</v>
      </c>
      <c r="C131" s="67">
        <v>7</v>
      </c>
      <c r="D131" s="67">
        <v>4198</v>
      </c>
      <c r="E131" s="82">
        <v>11193106.339469742</v>
      </c>
      <c r="F131" s="67">
        <v>6793863.4795555864</v>
      </c>
      <c r="G131" s="67">
        <v>1203218</v>
      </c>
      <c r="H131" s="67">
        <v>559741.52785407298</v>
      </c>
      <c r="I131" s="67">
        <v>2032619.0217546544</v>
      </c>
      <c r="J131" s="67">
        <v>827459.53426801274</v>
      </c>
      <c r="K131" s="67">
        <v>-245532.84358190524</v>
      </c>
      <c r="L131" s="67">
        <v>-1102722</v>
      </c>
      <c r="M131" s="68">
        <v>74543.97</v>
      </c>
      <c r="N131" s="68">
        <v>40186.323281840814</v>
      </c>
      <c r="O131" s="68">
        <v>-122175.93220935388</v>
      </c>
      <c r="P131" s="168">
        <f t="shared" si="43"/>
        <v>-1131905.2585468329</v>
      </c>
      <c r="Q131" s="169">
        <f t="shared" si="44"/>
        <v>-269.62964710501024</v>
      </c>
      <c r="R131" s="67"/>
      <c r="S131" s="82">
        <v>28411857.310000002</v>
      </c>
      <c r="T131" s="67">
        <v>15553227.85695895</v>
      </c>
      <c r="U131" s="67">
        <v>841264.80132209859</v>
      </c>
      <c r="V131" s="67">
        <v>7688445.8136950927</v>
      </c>
      <c r="W131" s="67">
        <v>2759689.3656398058</v>
      </c>
      <c r="X131" s="67">
        <v>175039.97</v>
      </c>
      <c r="Y131" s="168">
        <f t="shared" si="45"/>
        <v>-1394189.5023840554</v>
      </c>
      <c r="Z131" s="169">
        <f t="shared" si="46"/>
        <v>-332.10802820010849</v>
      </c>
      <c r="AA131" s="67"/>
      <c r="AB131" s="77">
        <f t="shared" si="47"/>
        <v>262284.24383722246</v>
      </c>
      <c r="AC131" s="123">
        <f t="shared" si="48"/>
        <v>62.47838109509825</v>
      </c>
      <c r="AE131" s="170"/>
      <c r="AF131" s="177">
        <v>-194494.40667569017</v>
      </c>
      <c r="AG131" s="177">
        <v>-142463.24690655488</v>
      </c>
      <c r="AH131" s="177">
        <v>-85886.792977026518</v>
      </c>
      <c r="AI131" s="178">
        <v>-30168.695986850515</v>
      </c>
      <c r="AK131" s="67">
        <f t="shared" si="49"/>
        <v>8759364.3774033636</v>
      </c>
      <c r="AL131" s="67">
        <f t="shared" si="50"/>
        <v>281523.27346802561</v>
      </c>
      <c r="AM131" s="67">
        <f t="shared" si="51"/>
        <v>5655826.7919404386</v>
      </c>
      <c r="AN131" s="67">
        <f t="shared" si="52"/>
        <v>17218750.97053026</v>
      </c>
      <c r="AO131" s="67">
        <f t="shared" si="53"/>
        <v>0</v>
      </c>
      <c r="AP131" s="67">
        <f t="shared" si="54"/>
        <v>-194494.40667569017</v>
      </c>
      <c r="AQ131" s="67">
        <f t="shared" si="55"/>
        <v>-142463.24690655488</v>
      </c>
      <c r="AR131" s="67">
        <f t="shared" si="56"/>
        <v>-85886.792977026518</v>
      </c>
      <c r="AS131" s="67">
        <f t="shared" si="57"/>
        <v>-30168.695986850515</v>
      </c>
      <c r="AT131" s="68">
        <v>1082</v>
      </c>
      <c r="AU131" s="68"/>
      <c r="AV131" s="68"/>
      <c r="AW131" s="68">
        <v>0</v>
      </c>
      <c r="AX131" s="68">
        <v>4599.6777496491859</v>
      </c>
      <c r="AY131" s="68">
        <v>-1154.7447237405447</v>
      </c>
      <c r="AZ131" s="68">
        <v>1928.5842822703892</v>
      </c>
      <c r="BA131" s="299"/>
      <c r="BB131" s="67"/>
      <c r="BC131" s="67"/>
      <c r="BD131" s="67"/>
      <c r="BE131" s="67"/>
      <c r="BF131" s="67"/>
      <c r="BG131" s="67"/>
      <c r="BH131" s="67"/>
      <c r="BN131" s="299"/>
      <c r="BO131" s="67">
        <v>10733913.573921602</v>
      </c>
      <c r="BP131" s="67">
        <v>15452455.620000003</v>
      </c>
      <c r="BQ131" s="67">
        <v>16976000</v>
      </c>
      <c r="BR131" s="67">
        <v>432491</v>
      </c>
      <c r="BS131" s="67">
        <v>445000</v>
      </c>
      <c r="BT131" s="428">
        <v>0.56318626962596563</v>
      </c>
      <c r="BU131" s="428">
        <v>0.33464287704132484</v>
      </c>
      <c r="BV131" s="67">
        <f t="shared" si="58"/>
        <v>7342523.7797303246</v>
      </c>
      <c r="BW131" s="299"/>
      <c r="BX131" s="67">
        <v>27385303</v>
      </c>
      <c r="BY131" s="67">
        <v>10733913.573921602</v>
      </c>
      <c r="BZ131" s="67">
        <v>17386692.309505671</v>
      </c>
      <c r="CA131" s="67">
        <v>8562020.0081912242</v>
      </c>
      <c r="CB131" s="67">
        <f t="shared" si="59"/>
        <v>-111430.79844760582</v>
      </c>
      <c r="CC131" s="67">
        <f t="shared" si="60"/>
        <v>-332.10802820010844</v>
      </c>
      <c r="CD131" s="67">
        <f t="shared" si="61"/>
        <v>-208.5820107677896</v>
      </c>
      <c r="CE131" s="67">
        <f t="shared" si="62"/>
        <v>123.52601743231884</v>
      </c>
      <c r="CF131" s="67">
        <f t="shared" si="63"/>
        <v>-108.52601743231884</v>
      </c>
      <c r="CG131" s="67">
        <f t="shared" si="64"/>
        <v>-93.526017432318838</v>
      </c>
      <c r="CH131" s="67">
        <f t="shared" si="65"/>
        <v>-78.526017432318838</v>
      </c>
      <c r="CI131" s="67">
        <f t="shared" si="66"/>
        <v>-63.526017432318838</v>
      </c>
      <c r="CJ131" s="67">
        <f t="shared" si="67"/>
        <v>-455592.22118087451</v>
      </c>
      <c r="CK131" s="67">
        <f t="shared" si="68"/>
        <v>-392622.22118087451</v>
      </c>
      <c r="CL131" s="67">
        <f t="shared" si="69"/>
        <v>-329652.22118087451</v>
      </c>
      <c r="CM131" s="67">
        <f t="shared" si="70"/>
        <v>-266682.22118087451</v>
      </c>
      <c r="CN131" s="299"/>
      <c r="CO131" s="430">
        <v>15553.227856958951</v>
      </c>
      <c r="CP131" s="430">
        <v>841.26480132209861</v>
      </c>
      <c r="CQ131" s="430">
        <v>1203.2180000000001</v>
      </c>
      <c r="CR131" s="430">
        <v>7688445.8136950927</v>
      </c>
      <c r="CS131" s="430">
        <v>2032619.0217546544</v>
      </c>
      <c r="CT131" s="430">
        <v>2759689.3656398058</v>
      </c>
      <c r="CU131" s="430">
        <v>827459.53426801274</v>
      </c>
      <c r="CV131" s="430">
        <v>-1102722</v>
      </c>
      <c r="CW131" s="430">
        <v>40186.323281840814</v>
      </c>
      <c r="CX131" s="430">
        <v>74543.97</v>
      </c>
      <c r="CY131" s="430">
        <v>11193106.339469742</v>
      </c>
      <c r="CZ131" s="519"/>
      <c r="DA131" s="524">
        <v>15569.922050000001</v>
      </c>
      <c r="DB131" s="524">
        <v>834.68476130014892</v>
      </c>
      <c r="DC131" s="520">
        <f t="shared" si="71"/>
        <v>-1</v>
      </c>
      <c r="DD131" s="440">
        <v>4245</v>
      </c>
      <c r="DE131" s="450">
        <v>10733913.573921602</v>
      </c>
      <c r="DF131" s="440">
        <v>6853386.9390912233</v>
      </c>
      <c r="DG131" s="440">
        <v>1205030.3475000001</v>
      </c>
      <c r="DH131" s="440">
        <v>503602.72160000005</v>
      </c>
      <c r="DI131" s="440">
        <v>2025826.7135206393</v>
      </c>
      <c r="DJ131" s="440">
        <v>825898.36162042292</v>
      </c>
      <c r="DK131" s="440">
        <v>-110788.76585552718</v>
      </c>
      <c r="DL131" s="440">
        <v>-1102722</v>
      </c>
      <c r="DM131" s="440">
        <v>71550</v>
      </c>
      <c r="DN131" s="440">
        <v>39117.412301179902</v>
      </c>
      <c r="DO131" s="457">
        <f t="shared" si="72"/>
        <v>-423011.8441436626</v>
      </c>
      <c r="DP131" s="459">
        <f t="shared" si="73"/>
        <v>-99.649433249390484</v>
      </c>
      <c r="DQ131" s="440"/>
      <c r="DR131" s="450">
        <v>27385303</v>
      </c>
      <c r="DS131" s="440">
        <v>15426257.87960567</v>
      </c>
      <c r="DT131" s="440">
        <v>755404.08240000007</v>
      </c>
      <c r="DU131" s="440">
        <v>7681674.5636950918</v>
      </c>
      <c r="DV131" s="440">
        <v>2754482.6438908121</v>
      </c>
      <c r="DW131" s="440">
        <v>173858.34750000015</v>
      </c>
      <c r="DX131" s="457">
        <f t="shared" si="74"/>
        <v>-593625.48290842772</v>
      </c>
      <c r="DY131" s="459">
        <f t="shared" si="75"/>
        <v>-139.84110315864021</v>
      </c>
      <c r="DZ131" s="440"/>
      <c r="EA131" s="457">
        <f t="shared" si="76"/>
        <v>170613.63876476511</v>
      </c>
      <c r="EB131" s="459">
        <f t="shared" si="77"/>
        <v>40.191669909249732</v>
      </c>
      <c r="ED131" s="457">
        <v>-152930.17921883051</v>
      </c>
      <c r="EE131" s="458">
        <v>-94755.658767224726</v>
      </c>
      <c r="EF131" s="458">
        <v>-35702.048607309262</v>
      </c>
      <c r="EG131" s="458">
        <v>2509.0256363868039</v>
      </c>
      <c r="EH131" s="459">
        <v>-1634.9397841712405</v>
      </c>
    </row>
    <row r="132" spans="1:138" x14ac:dyDescent="0.2">
      <c r="A132" s="67">
        <v>317</v>
      </c>
      <c r="B132" s="67" t="s">
        <v>253</v>
      </c>
      <c r="C132" s="67">
        <v>17</v>
      </c>
      <c r="D132" s="67">
        <v>2474</v>
      </c>
      <c r="E132" s="82">
        <v>7772794.0180544723</v>
      </c>
      <c r="F132" s="67">
        <v>2856207.2792845168</v>
      </c>
      <c r="G132" s="67">
        <v>627793</v>
      </c>
      <c r="H132" s="67">
        <v>774536.7617740233</v>
      </c>
      <c r="I132" s="67">
        <v>3191721.8498324733</v>
      </c>
      <c r="J132" s="67">
        <v>569123.00038735685</v>
      </c>
      <c r="K132" s="67">
        <v>820875.3197560932</v>
      </c>
      <c r="L132" s="67">
        <v>50206</v>
      </c>
      <c r="M132" s="68">
        <v>84541.440000000002</v>
      </c>
      <c r="N132" s="68">
        <v>17926.610352477466</v>
      </c>
      <c r="O132" s="68">
        <v>-72001.728510229033</v>
      </c>
      <c r="P132" s="168">
        <f t="shared" si="43"/>
        <v>1148135.5148222391</v>
      </c>
      <c r="Q132" s="169">
        <f t="shared" si="44"/>
        <v>464.08064463307966</v>
      </c>
      <c r="R132" s="67"/>
      <c r="S132" s="82">
        <v>19294315.219999999</v>
      </c>
      <c r="T132" s="67">
        <v>6499677.8446373399</v>
      </c>
      <c r="U132" s="67">
        <v>1164091.7862723912</v>
      </c>
      <c r="V132" s="67">
        <v>10525233.454705406</v>
      </c>
      <c r="W132" s="67">
        <v>1898102.114805402</v>
      </c>
      <c r="X132" s="67">
        <v>762540.44</v>
      </c>
      <c r="Y132" s="168">
        <f t="shared" si="45"/>
        <v>1555330.4204205424</v>
      </c>
      <c r="Z132" s="169">
        <f t="shared" si="46"/>
        <v>628.67033970110845</v>
      </c>
      <c r="AA132" s="67"/>
      <c r="AB132" s="77">
        <f t="shared" si="47"/>
        <v>-407194.9055983033</v>
      </c>
      <c r="AC132" s="123">
        <f t="shared" si="48"/>
        <v>-164.58969506802882</v>
      </c>
      <c r="AE132" s="170"/>
      <c r="AF132" s="177">
        <v>372925.37180545321</v>
      </c>
      <c r="AG132" s="177">
        <v>329368.80421823089</v>
      </c>
      <c r="AH132" s="177">
        <v>288490.90689132595</v>
      </c>
      <c r="AI132" s="178">
        <v>247107.15557014814</v>
      </c>
      <c r="AK132" s="67">
        <f t="shared" si="49"/>
        <v>3643470.5653528231</v>
      </c>
      <c r="AL132" s="67">
        <f t="shared" si="50"/>
        <v>389555.02449836791</v>
      </c>
      <c r="AM132" s="67">
        <f t="shared" si="51"/>
        <v>7333511.6048729327</v>
      </c>
      <c r="AN132" s="67">
        <f t="shared" si="52"/>
        <v>11521521.201945527</v>
      </c>
      <c r="AO132" s="67">
        <f t="shared" si="53"/>
        <v>0</v>
      </c>
      <c r="AP132" s="67">
        <f t="shared" si="54"/>
        <v>372925.37180545321</v>
      </c>
      <c r="AQ132" s="67">
        <f t="shared" si="55"/>
        <v>329368.80421823089</v>
      </c>
      <c r="AR132" s="67">
        <f t="shared" si="56"/>
        <v>288490.90689132595</v>
      </c>
      <c r="AS132" s="67">
        <f t="shared" si="57"/>
        <v>247107.15557014814</v>
      </c>
      <c r="AT132" s="68">
        <v>806</v>
      </c>
      <c r="AU132" s="68"/>
      <c r="AV132" s="68"/>
      <c r="AW132" s="68">
        <v>4</v>
      </c>
      <c r="AX132" s="68">
        <v>5751.145468717441</v>
      </c>
      <c r="AY132" s="68">
        <v>-1722.421443727924</v>
      </c>
      <c r="AZ132" s="68">
        <v>1331.5199016913434</v>
      </c>
      <c r="BA132" s="299"/>
      <c r="BB132" s="67"/>
      <c r="BC132" s="67"/>
      <c r="BD132" s="67"/>
      <c r="BE132" s="67"/>
      <c r="BF132" s="67"/>
      <c r="BG132" s="67"/>
      <c r="BH132" s="67"/>
      <c r="BN132" s="299"/>
      <c r="BO132" s="67">
        <v>8704887.6924673412</v>
      </c>
      <c r="BP132" s="67">
        <v>10998137.220000003</v>
      </c>
      <c r="BQ132" s="67">
        <v>10657000</v>
      </c>
      <c r="BR132" s="67">
        <v>269635.57</v>
      </c>
      <c r="BS132" s="67">
        <v>361000</v>
      </c>
      <c r="BT132" s="428">
        <v>0.56056171589472314</v>
      </c>
      <c r="BU132" s="428">
        <v>0.33464287704132478</v>
      </c>
      <c r="BV132" s="67">
        <f t="shared" si="58"/>
        <v>9483366.0390470717</v>
      </c>
      <c r="BW132" s="299"/>
      <c r="BX132" s="67">
        <v>20006416.260000002</v>
      </c>
      <c r="BY132" s="67">
        <v>8704887.6924673412</v>
      </c>
      <c r="BZ132" s="67">
        <v>8131660.5106987283</v>
      </c>
      <c r="CA132" s="67">
        <v>4203333.3948975829</v>
      </c>
      <c r="CB132" s="67">
        <f t="shared" si="59"/>
        <v>847731.24332736956</v>
      </c>
      <c r="CC132" s="67">
        <f t="shared" si="60"/>
        <v>628.67033970110776</v>
      </c>
      <c r="CD132" s="67">
        <f t="shared" si="61"/>
        <v>504.03927522382554</v>
      </c>
      <c r="CE132" s="67">
        <f t="shared" si="62"/>
        <v>-124.63106447728222</v>
      </c>
      <c r="CF132" s="67">
        <f t="shared" si="63"/>
        <v>109.63106447728222</v>
      </c>
      <c r="CG132" s="67">
        <f t="shared" si="64"/>
        <v>94.631064477282223</v>
      </c>
      <c r="CH132" s="67">
        <f t="shared" si="65"/>
        <v>79.631064477282223</v>
      </c>
      <c r="CI132" s="67">
        <f t="shared" si="66"/>
        <v>64.631064477282223</v>
      </c>
      <c r="CJ132" s="67">
        <f t="shared" si="67"/>
        <v>271227.25351679622</v>
      </c>
      <c r="CK132" s="67">
        <f t="shared" si="68"/>
        <v>234117.25351679622</v>
      </c>
      <c r="CL132" s="67">
        <f t="shared" si="69"/>
        <v>197007.25351679622</v>
      </c>
      <c r="CM132" s="67">
        <f t="shared" si="70"/>
        <v>159897.25351679622</v>
      </c>
      <c r="CN132" s="299"/>
      <c r="CO132" s="430">
        <v>6499.6778446373401</v>
      </c>
      <c r="CP132" s="430">
        <v>1164.0917862723911</v>
      </c>
      <c r="CQ132" s="430">
        <v>627.79300000000001</v>
      </c>
      <c r="CR132" s="430">
        <v>10525233.454705406</v>
      </c>
      <c r="CS132" s="430">
        <v>3191721.8498324733</v>
      </c>
      <c r="CT132" s="430">
        <v>1898102.114805402</v>
      </c>
      <c r="CU132" s="430">
        <v>569123.00038735685</v>
      </c>
      <c r="CV132" s="430">
        <v>50206</v>
      </c>
      <c r="CW132" s="430">
        <v>17926.610352477466</v>
      </c>
      <c r="CX132" s="430">
        <v>84541.440000000002</v>
      </c>
      <c r="CY132" s="430">
        <v>7772794.0180544723</v>
      </c>
      <c r="CZ132" s="519"/>
      <c r="DA132" s="524">
        <v>6456.6012599999995</v>
      </c>
      <c r="DB132" s="524">
        <v>1154.988516369936</v>
      </c>
      <c r="DC132" s="520">
        <f t="shared" si="71"/>
        <v>-1</v>
      </c>
      <c r="DD132" s="440">
        <v>2533</v>
      </c>
      <c r="DE132" s="450">
        <v>8704887.6924673412</v>
      </c>
      <c r="DF132" s="440">
        <v>2862651.7114975825</v>
      </c>
      <c r="DG132" s="440">
        <v>643826.43540000019</v>
      </c>
      <c r="DH132" s="440">
        <v>696855.24800000002</v>
      </c>
      <c r="DI132" s="440">
        <v>3187716.5128484229</v>
      </c>
      <c r="DJ132" s="440">
        <v>570211.06901134038</v>
      </c>
      <c r="DK132" s="440">
        <v>848028.36924636201</v>
      </c>
      <c r="DL132" s="440">
        <v>45173</v>
      </c>
      <c r="DM132" s="440">
        <v>140000</v>
      </c>
      <c r="DN132" s="440">
        <v>17413.223539168652</v>
      </c>
      <c r="DO132" s="457">
        <f t="shared" si="72"/>
        <v>306987.87707553431</v>
      </c>
      <c r="DP132" s="459">
        <f t="shared" si="73"/>
        <v>121.19537192085839</v>
      </c>
      <c r="DQ132" s="440"/>
      <c r="DR132" s="450">
        <v>20006416.260000002</v>
      </c>
      <c r="DS132" s="440">
        <v>6442551.203298728</v>
      </c>
      <c r="DT132" s="440">
        <v>1045282.872</v>
      </c>
      <c r="DU132" s="440">
        <v>10521235.124705408</v>
      </c>
      <c r="DV132" s="440">
        <v>1901730.9707026838</v>
      </c>
      <c r="DW132" s="440">
        <v>828999.43540000019</v>
      </c>
      <c r="DX132" s="457">
        <f t="shared" si="74"/>
        <v>733383.34610681608</v>
      </c>
      <c r="DY132" s="459">
        <f t="shared" si="75"/>
        <v>289.53152234773631</v>
      </c>
      <c r="DZ132" s="440"/>
      <c r="EA132" s="457">
        <f t="shared" si="76"/>
        <v>-426395.46903128177</v>
      </c>
      <c r="EB132" s="459">
        <f t="shared" si="77"/>
        <v>-168.33615042687791</v>
      </c>
      <c r="ED132" s="457">
        <v>436947.2247509213</v>
      </c>
      <c r="EE132" s="458">
        <v>395670.07759047783</v>
      </c>
      <c r="EF132" s="458">
        <v>354917.48501923302</v>
      </c>
      <c r="EG132" s="458">
        <v>313907.60965248302</v>
      </c>
      <c r="EH132" s="459">
        <v>273439.89718834322</v>
      </c>
    </row>
    <row r="133" spans="1:138" x14ac:dyDescent="0.2">
      <c r="A133" s="67">
        <v>398</v>
      </c>
      <c r="B133" s="67" t="s">
        <v>254</v>
      </c>
      <c r="C133" s="67">
        <v>7</v>
      </c>
      <c r="D133" s="67">
        <v>120175</v>
      </c>
      <c r="E133" s="82">
        <v>286556591.55830032</v>
      </c>
      <c r="F133" s="67">
        <v>181794597.74205637</v>
      </c>
      <c r="G133" s="67">
        <v>44020338</v>
      </c>
      <c r="H133" s="67">
        <v>29023198.202268019</v>
      </c>
      <c r="I133" s="67">
        <v>38540004.72241725</v>
      </c>
      <c r="J133" s="67">
        <v>17900798.732980557</v>
      </c>
      <c r="K133" s="67">
        <v>12430375.928444372</v>
      </c>
      <c r="L133" s="67">
        <v>-3860814</v>
      </c>
      <c r="M133" s="68">
        <v>11461105.810000001</v>
      </c>
      <c r="N133" s="68">
        <v>1283931.3720032021</v>
      </c>
      <c r="O133" s="68">
        <v>-3497497.058899262</v>
      </c>
      <c r="P133" s="168">
        <f t="shared" si="43"/>
        <v>42539447.892970167</v>
      </c>
      <c r="Q133" s="169">
        <f t="shared" si="44"/>
        <v>353.97917947135568</v>
      </c>
      <c r="R133" s="67"/>
      <c r="S133" s="82">
        <v>740987797.26999998</v>
      </c>
      <c r="T133" s="67">
        <v>456048802.46145689</v>
      </c>
      <c r="U133" s="67">
        <v>43620481.694415748</v>
      </c>
      <c r="V133" s="67">
        <v>190467314.55373392</v>
      </c>
      <c r="W133" s="67">
        <v>59701582.801346004</v>
      </c>
      <c r="X133" s="67">
        <v>51620629.810000002</v>
      </c>
      <c r="Y133" s="168">
        <f t="shared" si="45"/>
        <v>60471014.050952673</v>
      </c>
      <c r="Z133" s="169">
        <f t="shared" si="46"/>
        <v>503.19129645061514</v>
      </c>
      <c r="AA133" s="67"/>
      <c r="AB133" s="77">
        <f t="shared" si="47"/>
        <v>-17931566.157982506</v>
      </c>
      <c r="AC133" s="123">
        <f t="shared" si="48"/>
        <v>-149.21211697925946</v>
      </c>
      <c r="AE133" s="170"/>
      <c r="AF133" s="177">
        <v>16266917.320651926</v>
      </c>
      <c r="AG133" s="177">
        <v>14151149.127525635</v>
      </c>
      <c r="AH133" s="177">
        <v>12165497.829522079</v>
      </c>
      <c r="AI133" s="178">
        <v>10155274.581736088</v>
      </c>
      <c r="AK133" s="67">
        <f t="shared" si="49"/>
        <v>274254204.71940053</v>
      </c>
      <c r="AL133" s="67">
        <f t="shared" si="50"/>
        <v>14597283.492147729</v>
      </c>
      <c r="AM133" s="67">
        <f t="shared" si="51"/>
        <v>151927309.83131665</v>
      </c>
      <c r="AN133" s="67">
        <f t="shared" si="52"/>
        <v>454431205.71169966</v>
      </c>
      <c r="AO133" s="67">
        <f t="shared" si="53"/>
        <v>0</v>
      </c>
      <c r="AP133" s="67">
        <f t="shared" si="54"/>
        <v>16266917.320651926</v>
      </c>
      <c r="AQ133" s="67">
        <f t="shared" si="55"/>
        <v>14151149.127525635</v>
      </c>
      <c r="AR133" s="67">
        <f t="shared" si="56"/>
        <v>12165497.829522079</v>
      </c>
      <c r="AS133" s="67">
        <f t="shared" si="57"/>
        <v>10155274.581736088</v>
      </c>
      <c r="AT133" s="68">
        <v>52226</v>
      </c>
      <c r="AU133" s="68"/>
      <c r="AV133" s="68"/>
      <c r="AW133" s="68">
        <v>0</v>
      </c>
      <c r="AX133" s="68">
        <v>134157.87523053179</v>
      </c>
      <c r="AY133" s="68">
        <v>-8124.7857284322608</v>
      </c>
      <c r="AZ133" s="68">
        <v>41660.199871114528</v>
      </c>
      <c r="BA133" s="299"/>
      <c r="BB133" s="67"/>
      <c r="BC133" s="67"/>
      <c r="BD133" s="67"/>
      <c r="BE133" s="67"/>
      <c r="BF133" s="67"/>
      <c r="BG133" s="67"/>
      <c r="BH133" s="67"/>
      <c r="BN133" s="299"/>
      <c r="BO133" s="67">
        <v>339294014.66313183</v>
      </c>
      <c r="BP133" s="67">
        <v>410464330.68000007</v>
      </c>
      <c r="BQ133" s="67">
        <v>445715000</v>
      </c>
      <c r="BR133" s="67">
        <v>11284373.85</v>
      </c>
      <c r="BS133" s="67">
        <v>11536000</v>
      </c>
      <c r="BT133" s="428">
        <v>0.60137029905385886</v>
      </c>
      <c r="BU133" s="428">
        <v>0.33464287704132478</v>
      </c>
      <c r="BV133" s="67">
        <f t="shared" si="58"/>
        <v>206158469.82812649</v>
      </c>
      <c r="BW133" s="299"/>
      <c r="BX133" s="67">
        <v>780090200</v>
      </c>
      <c r="BY133" s="67">
        <v>339294014.66313183</v>
      </c>
      <c r="BZ133" s="67">
        <v>530229030.18560147</v>
      </c>
      <c r="CA133" s="67">
        <v>250660870.35777155</v>
      </c>
      <c r="CB133" s="67">
        <f t="shared" si="59"/>
        <v>12827259.568333192</v>
      </c>
      <c r="CC133" s="67">
        <f t="shared" si="60"/>
        <v>503.1912964506144</v>
      </c>
      <c r="CD133" s="67">
        <f t="shared" si="61"/>
        <v>386.38509333686943</v>
      </c>
      <c r="CE133" s="67">
        <f t="shared" si="62"/>
        <v>-116.80620311374497</v>
      </c>
      <c r="CF133" s="67">
        <f t="shared" si="63"/>
        <v>101.80620311374497</v>
      </c>
      <c r="CG133" s="67">
        <f t="shared" si="64"/>
        <v>86.806203113744971</v>
      </c>
      <c r="CH133" s="67">
        <f t="shared" si="65"/>
        <v>71.806203113744971</v>
      </c>
      <c r="CI133" s="67">
        <f t="shared" si="66"/>
        <v>56.806203113744971</v>
      </c>
      <c r="CJ133" s="67">
        <f t="shared" si="67"/>
        <v>12234560.459194303</v>
      </c>
      <c r="CK133" s="67">
        <f t="shared" si="68"/>
        <v>10431935.459194303</v>
      </c>
      <c r="CL133" s="67">
        <f t="shared" si="69"/>
        <v>8629310.4591943026</v>
      </c>
      <c r="CM133" s="67">
        <f t="shared" si="70"/>
        <v>6826685.4591943016</v>
      </c>
      <c r="CN133" s="299"/>
      <c r="CO133" s="430">
        <v>456048.80246145691</v>
      </c>
      <c r="CP133" s="430">
        <v>43620.48169441575</v>
      </c>
      <c r="CQ133" s="430">
        <v>44020.338000000003</v>
      </c>
      <c r="CR133" s="430">
        <v>190467314.55373392</v>
      </c>
      <c r="CS133" s="430">
        <v>38540004.72241725</v>
      </c>
      <c r="CT133" s="430">
        <v>59701582.801346004</v>
      </c>
      <c r="CU133" s="430">
        <v>17900798.732980557</v>
      </c>
      <c r="CV133" s="430">
        <v>-3860814</v>
      </c>
      <c r="CW133" s="430">
        <v>1283931.3720032021</v>
      </c>
      <c r="CX133" s="430">
        <v>11461105.810000001</v>
      </c>
      <c r="CY133" s="430">
        <v>286556591.55830032</v>
      </c>
      <c r="CZ133" s="519"/>
      <c r="DA133" s="524">
        <v>455482.43864000001</v>
      </c>
      <c r="DB133" s="524">
        <v>43279.383814946428</v>
      </c>
      <c r="DC133" s="520">
        <f t="shared" si="71"/>
        <v>-1</v>
      </c>
      <c r="DD133" s="440">
        <v>120027</v>
      </c>
      <c r="DE133" s="450">
        <v>339294014.66313183</v>
      </c>
      <c r="DF133" s="440">
        <v>180558400.41957152</v>
      </c>
      <c r="DG133" s="440">
        <v>43990129.015000008</v>
      </c>
      <c r="DH133" s="440">
        <v>26112340.9232</v>
      </c>
      <c r="DI133" s="440">
        <v>38351566.572677039</v>
      </c>
      <c r="DJ133" s="440">
        <v>17840594.852213427</v>
      </c>
      <c r="DK133" s="440">
        <v>12854456.673994904</v>
      </c>
      <c r="DL133" s="440">
        <v>88669</v>
      </c>
      <c r="DM133" s="440">
        <v>1717800</v>
      </c>
      <c r="DN133" s="440">
        <v>1239250.8867030062</v>
      </c>
      <c r="DO133" s="457">
        <f t="shared" si="72"/>
        <v>-16540806.319771945</v>
      </c>
      <c r="DP133" s="459">
        <f t="shared" si="73"/>
        <v>-137.80904562949956</v>
      </c>
      <c r="DQ133" s="440"/>
      <c r="DR133" s="450">
        <v>780090200</v>
      </c>
      <c r="DS133" s="440">
        <v>447070389.78580147</v>
      </c>
      <c r="DT133" s="440">
        <v>39168511.384799995</v>
      </c>
      <c r="DU133" s="440">
        <v>190279447.99373373</v>
      </c>
      <c r="DV133" s="440">
        <v>59500794.723327957</v>
      </c>
      <c r="DW133" s="440">
        <v>45796598.015000008</v>
      </c>
      <c r="DX133" s="457">
        <f t="shared" si="74"/>
        <v>1725541.9026632309</v>
      </c>
      <c r="DY133" s="459">
        <f t="shared" si="75"/>
        <v>14.376281192258666</v>
      </c>
      <c r="DZ133" s="440"/>
      <c r="EA133" s="457">
        <f t="shared" si="76"/>
        <v>-18266348.222435176</v>
      </c>
      <c r="EB133" s="459">
        <f t="shared" si="77"/>
        <v>-152.18532682175825</v>
      </c>
      <c r="ED133" s="457">
        <v>18766346.478953186</v>
      </c>
      <c r="EE133" s="458">
        <v>16810415.905630428</v>
      </c>
      <c r="EF133" s="458">
        <v>14879341.516152024</v>
      </c>
      <c r="EG133" s="458">
        <v>12936075.700658578</v>
      </c>
      <c r="EH133" s="459">
        <v>11018500.444466984</v>
      </c>
    </row>
    <row r="134" spans="1:138" x14ac:dyDescent="0.2">
      <c r="A134" s="67">
        <v>399</v>
      </c>
      <c r="B134" s="67" t="s">
        <v>255</v>
      </c>
      <c r="C134" s="67">
        <v>15</v>
      </c>
      <c r="D134" s="67">
        <v>7817</v>
      </c>
      <c r="E134" s="82">
        <v>20194790.646158069</v>
      </c>
      <c r="F134" s="67">
        <v>13399107.553811392</v>
      </c>
      <c r="G134" s="67">
        <v>1538618</v>
      </c>
      <c r="H134" s="67">
        <v>882505.9208725919</v>
      </c>
      <c r="I134" s="67">
        <v>7253233.2517776377</v>
      </c>
      <c r="J134" s="67">
        <v>1333003.1788775139</v>
      </c>
      <c r="K134" s="67">
        <v>-1556014.5039341326</v>
      </c>
      <c r="L134" s="67">
        <v>-305492</v>
      </c>
      <c r="M134" s="68">
        <v>-43510</v>
      </c>
      <c r="N134" s="68">
        <v>81329.386958661882</v>
      </c>
      <c r="O134" s="68">
        <v>-227501.01526453532</v>
      </c>
      <c r="P134" s="168">
        <f t="shared" si="43"/>
        <v>2160489.1269410606</v>
      </c>
      <c r="Q134" s="169">
        <f t="shared" si="44"/>
        <v>276.38341140348734</v>
      </c>
      <c r="R134" s="67"/>
      <c r="S134" s="82">
        <v>53257000</v>
      </c>
      <c r="T134" s="67">
        <v>31252266.443031054</v>
      </c>
      <c r="U134" s="67">
        <v>1326364.279303588</v>
      </c>
      <c r="V134" s="67">
        <v>15379345.155832067</v>
      </c>
      <c r="W134" s="67">
        <v>4445745.7371212244</v>
      </c>
      <c r="X134" s="67">
        <v>1189616</v>
      </c>
      <c r="Y134" s="168">
        <f t="shared" si="45"/>
        <v>336337.61528792977</v>
      </c>
      <c r="Z134" s="169">
        <f t="shared" si="46"/>
        <v>43.026431532292413</v>
      </c>
      <c r="AA134" s="67"/>
      <c r="AB134" s="77">
        <f t="shared" si="47"/>
        <v>1824151.5116531309</v>
      </c>
      <c r="AC134" s="123">
        <f t="shared" si="48"/>
        <v>233.35697987119494</v>
      </c>
      <c r="AE134" s="170"/>
      <c r="AF134" s="177">
        <v>-1697921.6028652068</v>
      </c>
      <c r="AG134" s="177">
        <v>-1601035.5676304924</v>
      </c>
      <c r="AH134" s="177">
        <v>-1495685.8438650987</v>
      </c>
      <c r="AI134" s="178">
        <v>-1391934.4469684321</v>
      </c>
      <c r="AK134" s="67">
        <f t="shared" si="49"/>
        <v>17853158.889219664</v>
      </c>
      <c r="AL134" s="67">
        <f t="shared" si="50"/>
        <v>443858.35843099607</v>
      </c>
      <c r="AM134" s="67">
        <f t="shared" si="51"/>
        <v>8126111.9040544294</v>
      </c>
      <c r="AN134" s="67">
        <f t="shared" si="52"/>
        <v>33062209.353841931</v>
      </c>
      <c r="AO134" s="67">
        <f t="shared" si="53"/>
        <v>0</v>
      </c>
      <c r="AP134" s="67">
        <f t="shared" si="54"/>
        <v>-1697921.6028652068</v>
      </c>
      <c r="AQ134" s="67">
        <f t="shared" si="55"/>
        <v>-1601035.5676304924</v>
      </c>
      <c r="AR134" s="67">
        <f t="shared" si="56"/>
        <v>-1495685.8438650987</v>
      </c>
      <c r="AS134" s="67">
        <f t="shared" si="57"/>
        <v>-1391934.4469684321</v>
      </c>
      <c r="AT134" s="68">
        <v>2161</v>
      </c>
      <c r="AU134" s="68"/>
      <c r="AV134" s="68"/>
      <c r="AW134" s="68">
        <v>39</v>
      </c>
      <c r="AX134" s="68">
        <v>7716.8215605511123</v>
      </c>
      <c r="AY134" s="68">
        <v>-1196.0988525337007</v>
      </c>
      <c r="AZ134" s="68">
        <v>3132.6005596085874</v>
      </c>
      <c r="BA134" s="299"/>
      <c r="BB134" s="67"/>
      <c r="BC134" s="67"/>
      <c r="BD134" s="67"/>
      <c r="BE134" s="67"/>
      <c r="BF134" s="67"/>
      <c r="BG134" s="67"/>
      <c r="BH134" s="67"/>
      <c r="BN134" s="299"/>
      <c r="BO134" s="67">
        <v>20233564.689795941</v>
      </c>
      <c r="BP134" s="67">
        <v>29809070.79999999</v>
      </c>
      <c r="BQ134" s="67">
        <v>32878000</v>
      </c>
      <c r="BR134" s="67">
        <v>625735.32000000007</v>
      </c>
      <c r="BS134" s="67">
        <v>640000</v>
      </c>
      <c r="BT134" s="428">
        <v>0.57125965317631355</v>
      </c>
      <c r="BU134" s="428">
        <v>0.33464287704132489</v>
      </c>
      <c r="BV134" s="67">
        <f t="shared" si="58"/>
        <v>9682839.958364008</v>
      </c>
      <c r="BW134" s="299"/>
      <c r="BX134" s="67">
        <v>51930577</v>
      </c>
      <c r="BY134" s="67">
        <v>20233564.689795941</v>
      </c>
      <c r="BZ134" s="67">
        <v>33446045.997960307</v>
      </c>
      <c r="CA134" s="67">
        <v>15669301.067628875</v>
      </c>
      <c r="CB134" s="67">
        <f t="shared" si="59"/>
        <v>-1175680.3227994684</v>
      </c>
      <c r="CC134" s="67">
        <f t="shared" si="60"/>
        <v>43.026431532292889</v>
      </c>
      <c r="CD134" s="67">
        <f t="shared" si="61"/>
        <v>354.14152786750145</v>
      </c>
      <c r="CE134" s="67">
        <f t="shared" si="62"/>
        <v>311.11509633520859</v>
      </c>
      <c r="CF134" s="67">
        <f t="shared" si="63"/>
        <v>-296.11509633520859</v>
      </c>
      <c r="CG134" s="67">
        <f t="shared" si="64"/>
        <v>-281.11509633520859</v>
      </c>
      <c r="CH134" s="67">
        <f t="shared" si="65"/>
        <v>-266.11509633520859</v>
      </c>
      <c r="CI134" s="67">
        <f t="shared" si="66"/>
        <v>-251.11509633520859</v>
      </c>
      <c r="CJ134" s="67">
        <f t="shared" si="67"/>
        <v>-2314731.7080523255</v>
      </c>
      <c r="CK134" s="67">
        <f t="shared" si="68"/>
        <v>-2197476.7080523255</v>
      </c>
      <c r="CL134" s="67">
        <f t="shared" si="69"/>
        <v>-2080221.7080523255</v>
      </c>
      <c r="CM134" s="67">
        <f t="shared" si="70"/>
        <v>-1962966.7080523255</v>
      </c>
      <c r="CN134" s="299"/>
      <c r="CO134" s="430">
        <v>31252.266443031054</v>
      </c>
      <c r="CP134" s="430">
        <v>1326.3642793035879</v>
      </c>
      <c r="CQ134" s="430">
        <v>1538.6179999999999</v>
      </c>
      <c r="CR134" s="430">
        <v>15379345.155832067</v>
      </c>
      <c r="CS134" s="430">
        <v>7253233.2517776377</v>
      </c>
      <c r="CT134" s="430">
        <v>4445745.7371212244</v>
      </c>
      <c r="CU134" s="430">
        <v>1333003.1788775139</v>
      </c>
      <c r="CV134" s="430">
        <v>-305492</v>
      </c>
      <c r="CW134" s="430">
        <v>81329.386958661882</v>
      </c>
      <c r="CX134" s="430">
        <v>-43510</v>
      </c>
      <c r="CY134" s="430">
        <v>20194790.646158069</v>
      </c>
      <c r="CZ134" s="519"/>
      <c r="DA134" s="524">
        <v>31495.749230000001</v>
      </c>
      <c r="DB134" s="524">
        <v>1315.9924010050179</v>
      </c>
      <c r="DC134" s="520">
        <f t="shared" si="71"/>
        <v>-1</v>
      </c>
      <c r="DD134" s="440">
        <v>7916</v>
      </c>
      <c r="DE134" s="450">
        <v>20233564.689795941</v>
      </c>
      <c r="DF134" s="440">
        <v>13332088.060628874</v>
      </c>
      <c r="DG134" s="440">
        <v>1543217.2759999998</v>
      </c>
      <c r="DH134" s="440">
        <v>793995.73100000003</v>
      </c>
      <c r="DI134" s="440">
        <v>7240590.3875737172</v>
      </c>
      <c r="DJ134" s="440">
        <v>1341507.184091643</v>
      </c>
      <c r="DK134" s="440">
        <v>-1174178.2707272482</v>
      </c>
      <c r="DL134" s="440">
        <v>-377080</v>
      </c>
      <c r="DM134" s="440">
        <v>-80000</v>
      </c>
      <c r="DN134" s="440">
        <v>78799.556183985056</v>
      </c>
      <c r="DO134" s="457">
        <f t="shared" si="72"/>
        <v>2465375.2349550277</v>
      </c>
      <c r="DP134" s="459">
        <f t="shared" si="73"/>
        <v>311.44204585081201</v>
      </c>
      <c r="DQ134" s="440"/>
      <c r="DR134" s="450">
        <v>51930577</v>
      </c>
      <c r="DS134" s="440">
        <v>30711835.125460308</v>
      </c>
      <c r="DT134" s="440">
        <v>1190993.5965</v>
      </c>
      <c r="DU134" s="440">
        <v>15366717.085832056</v>
      </c>
      <c r="DV134" s="440">
        <v>4474107.7437002305</v>
      </c>
      <c r="DW134" s="440">
        <v>1086137.2759999998</v>
      </c>
      <c r="DX134" s="457">
        <f t="shared" si="74"/>
        <v>899213.82749259472</v>
      </c>
      <c r="DY134" s="459">
        <f t="shared" si="75"/>
        <v>113.59447037551728</v>
      </c>
      <c r="DZ134" s="440"/>
      <c r="EA134" s="457">
        <f t="shared" si="76"/>
        <v>1566161.407462433</v>
      </c>
      <c r="EB134" s="459">
        <f t="shared" si="77"/>
        <v>197.84757547529472</v>
      </c>
      <c r="ED134" s="457">
        <v>-1533185.6086955206</v>
      </c>
      <c r="EE134" s="458">
        <v>-1424702.8044799936</v>
      </c>
      <c r="EF134" s="458">
        <v>-1314580.6895151197</v>
      </c>
      <c r="EG134" s="458">
        <v>-1205262.6213758353</v>
      </c>
      <c r="EH134" s="459">
        <v>-1094250.2139009559</v>
      </c>
    </row>
    <row r="135" spans="1:138" x14ac:dyDescent="0.2">
      <c r="A135" s="67">
        <v>400</v>
      </c>
      <c r="B135" s="67" t="s">
        <v>256</v>
      </c>
      <c r="C135" s="67">
        <v>2</v>
      </c>
      <c r="D135" s="67">
        <v>8366</v>
      </c>
      <c r="E135" s="82">
        <v>25634106.584534559</v>
      </c>
      <c r="F135" s="67">
        <v>11399279.223839801</v>
      </c>
      <c r="G135" s="67">
        <v>2120230</v>
      </c>
      <c r="H135" s="67">
        <v>2130155.8936447562</v>
      </c>
      <c r="I135" s="67">
        <v>6136692.3743820991</v>
      </c>
      <c r="J135" s="67">
        <v>1635398.6660552179</v>
      </c>
      <c r="K135" s="67">
        <v>1688371.2327173345</v>
      </c>
      <c r="L135" s="67">
        <v>952208</v>
      </c>
      <c r="M135" s="68">
        <v>-169317.56</v>
      </c>
      <c r="N135" s="68">
        <v>77463.433897617026</v>
      </c>
      <c r="O135" s="68">
        <v>-243478.76342626358</v>
      </c>
      <c r="P135" s="168">
        <f t="shared" si="43"/>
        <v>92895.91657600482</v>
      </c>
      <c r="Q135" s="169">
        <f t="shared" si="44"/>
        <v>11.103982378198042</v>
      </c>
      <c r="R135" s="67"/>
      <c r="S135" s="82">
        <v>57323259.75</v>
      </c>
      <c r="T135" s="67">
        <v>27755189.861349229</v>
      </c>
      <c r="U135" s="67">
        <v>3201522.6412133244</v>
      </c>
      <c r="V135" s="67">
        <v>19413337.454964381</v>
      </c>
      <c r="W135" s="67">
        <v>5454275.5511138914</v>
      </c>
      <c r="X135" s="67">
        <v>2903120.44</v>
      </c>
      <c r="Y135" s="168">
        <f t="shared" si="45"/>
        <v>1404186.1986408234</v>
      </c>
      <c r="Z135" s="169">
        <f t="shared" si="46"/>
        <v>167.84439381315124</v>
      </c>
      <c r="AA135" s="67"/>
      <c r="AB135" s="77">
        <f t="shared" si="47"/>
        <v>-1311290.2820648185</v>
      </c>
      <c r="AC135" s="123">
        <f t="shared" si="48"/>
        <v>-156.74041143495322</v>
      </c>
      <c r="AE135" s="170"/>
      <c r="AF135" s="177">
        <v>1195405.5125777712</v>
      </c>
      <c r="AG135" s="177">
        <v>1048116.003913785</v>
      </c>
      <c r="AH135" s="177">
        <v>909884.60171617533</v>
      </c>
      <c r="AI135" s="178">
        <v>769942.61968182866</v>
      </c>
      <c r="AK135" s="67">
        <f t="shared" si="49"/>
        <v>16355910.637509428</v>
      </c>
      <c r="AL135" s="67">
        <f t="shared" si="50"/>
        <v>1071366.7475685682</v>
      </c>
      <c r="AM135" s="67">
        <f t="shared" si="51"/>
        <v>13276645.080582282</v>
      </c>
      <c r="AN135" s="67">
        <f t="shared" si="52"/>
        <v>31689153.165465441</v>
      </c>
      <c r="AO135" s="67">
        <f t="shared" si="53"/>
        <v>0</v>
      </c>
      <c r="AP135" s="67">
        <f t="shared" si="54"/>
        <v>1195405.5125777712</v>
      </c>
      <c r="AQ135" s="67">
        <f t="shared" si="55"/>
        <v>1048116.003913785</v>
      </c>
      <c r="AR135" s="67">
        <f t="shared" si="56"/>
        <v>909884.60171617533</v>
      </c>
      <c r="AS135" s="67">
        <f t="shared" si="57"/>
        <v>769942.61968182866</v>
      </c>
      <c r="AT135" s="68">
        <v>3528</v>
      </c>
      <c r="AU135" s="68"/>
      <c r="AV135" s="68"/>
      <c r="AW135" s="68">
        <v>328</v>
      </c>
      <c r="AX135" s="68">
        <v>10630.792484258016</v>
      </c>
      <c r="AY135" s="68">
        <v>-2460.1431360710089</v>
      </c>
      <c r="AZ135" s="68">
        <v>3832.5533520827921</v>
      </c>
      <c r="BA135" s="299"/>
      <c r="BB135" s="67"/>
      <c r="BC135" s="67"/>
      <c r="BD135" s="67"/>
      <c r="BE135" s="67"/>
      <c r="BF135" s="67"/>
      <c r="BG135" s="67"/>
      <c r="BH135" s="67"/>
      <c r="BN135" s="299"/>
      <c r="BO135" s="67">
        <v>27237750.130293969</v>
      </c>
      <c r="BP135" s="67">
        <v>27173457.190000001</v>
      </c>
      <c r="BQ135" s="67">
        <v>32787000</v>
      </c>
      <c r="BR135" s="67">
        <v>633094.41</v>
      </c>
      <c r="BS135" s="67">
        <v>703000</v>
      </c>
      <c r="BT135" s="428">
        <v>0.58929197455377591</v>
      </c>
      <c r="BU135" s="428">
        <v>0.33464287704132489</v>
      </c>
      <c r="BV135" s="67">
        <f t="shared" si="58"/>
        <v>18783893.19835829</v>
      </c>
      <c r="BW135" s="299"/>
      <c r="BX135" s="67">
        <v>57966429</v>
      </c>
      <c r="BY135" s="67">
        <v>27237750.130293969</v>
      </c>
      <c r="BZ135" s="67">
        <v>33179434.21679616</v>
      </c>
      <c r="CA135" s="67">
        <v>15797428.503839094</v>
      </c>
      <c r="CB135" s="67">
        <f t="shared" si="59"/>
        <v>2097433.6723384284</v>
      </c>
      <c r="CC135" s="67">
        <f t="shared" si="60"/>
        <v>167.84439381315141</v>
      </c>
      <c r="CD135" s="67">
        <f t="shared" si="61"/>
        <v>89.103169928682703</v>
      </c>
      <c r="CE135" s="67">
        <f t="shared" si="62"/>
        <v>-78.74122388446871</v>
      </c>
      <c r="CF135" s="67">
        <f t="shared" si="63"/>
        <v>63.74122388446871</v>
      </c>
      <c r="CG135" s="67">
        <f t="shared" si="64"/>
        <v>48.74122388446871</v>
      </c>
      <c r="CH135" s="67">
        <f t="shared" si="65"/>
        <v>33.74122388446871</v>
      </c>
      <c r="CI135" s="67">
        <f t="shared" si="66"/>
        <v>18.74122388446871</v>
      </c>
      <c r="CJ135" s="67">
        <f t="shared" si="67"/>
        <v>533259.07901746524</v>
      </c>
      <c r="CK135" s="67">
        <f t="shared" si="68"/>
        <v>407769.07901746524</v>
      </c>
      <c r="CL135" s="67">
        <f t="shared" si="69"/>
        <v>282279.07901746524</v>
      </c>
      <c r="CM135" s="67">
        <f t="shared" si="70"/>
        <v>156789.07901746524</v>
      </c>
      <c r="CN135" s="299"/>
      <c r="CO135" s="430">
        <v>27755.18986134923</v>
      </c>
      <c r="CP135" s="430">
        <v>3201.5226412133243</v>
      </c>
      <c r="CQ135" s="430">
        <v>2120.23</v>
      </c>
      <c r="CR135" s="430">
        <v>19413337.454964381</v>
      </c>
      <c r="CS135" s="430">
        <v>6136692.3743820991</v>
      </c>
      <c r="CT135" s="430">
        <v>5454275.5511138914</v>
      </c>
      <c r="CU135" s="430">
        <v>1635398.6660552179</v>
      </c>
      <c r="CV135" s="430">
        <v>952208</v>
      </c>
      <c r="CW135" s="430">
        <v>77463.433897617026</v>
      </c>
      <c r="CX135" s="430">
        <v>-169317.56</v>
      </c>
      <c r="CY135" s="430">
        <v>25634106.584534559</v>
      </c>
      <c r="CZ135" s="519"/>
      <c r="DA135" s="524">
        <v>28117.768929999998</v>
      </c>
      <c r="DB135" s="524">
        <v>3176.4877528403172</v>
      </c>
      <c r="DC135" s="520">
        <f t="shared" si="71"/>
        <v>-1</v>
      </c>
      <c r="DD135" s="440">
        <v>8456</v>
      </c>
      <c r="DE135" s="450">
        <v>27237750.130293969</v>
      </c>
      <c r="DF135" s="440">
        <v>11722449.097239094</v>
      </c>
      <c r="DG135" s="440">
        <v>2158465.7085999995</v>
      </c>
      <c r="DH135" s="440">
        <v>1916513.6980000001</v>
      </c>
      <c r="DI135" s="440">
        <v>6123356.9360263413</v>
      </c>
      <c r="DJ135" s="440">
        <v>1641255.4864243469</v>
      </c>
      <c r="DK135" s="440">
        <v>2097677.7349020829</v>
      </c>
      <c r="DL135" s="440">
        <v>996778</v>
      </c>
      <c r="DM135" s="440">
        <v>-11700</v>
      </c>
      <c r="DN135" s="440">
        <v>77049.78279974527</v>
      </c>
      <c r="DO135" s="457">
        <f t="shared" si="72"/>
        <v>-515903.68630236015</v>
      </c>
      <c r="DP135" s="459">
        <f t="shared" si="73"/>
        <v>-61.010369714091787</v>
      </c>
      <c r="DQ135" s="440"/>
      <c r="DR135" s="450">
        <v>57966429</v>
      </c>
      <c r="DS135" s="440">
        <v>28146197.961196162</v>
      </c>
      <c r="DT135" s="440">
        <v>2874770.5469999998</v>
      </c>
      <c r="DU135" s="440">
        <v>19400032.994964387</v>
      </c>
      <c r="DV135" s="440">
        <v>5473808.8385071391</v>
      </c>
      <c r="DW135" s="440">
        <v>3143543.7085999995</v>
      </c>
      <c r="DX135" s="457">
        <f t="shared" si="74"/>
        <v>1071925.0502676815</v>
      </c>
      <c r="DY135" s="459">
        <f t="shared" si="75"/>
        <v>126.76502486609289</v>
      </c>
      <c r="DZ135" s="440"/>
      <c r="EA135" s="457">
        <f t="shared" si="76"/>
        <v>-1587828.7365700416</v>
      </c>
      <c r="EB135" s="459">
        <f t="shared" si="77"/>
        <v>-187.77539458018467</v>
      </c>
      <c r="ED135" s="457">
        <v>1623054.0213569417</v>
      </c>
      <c r="EE135" s="458">
        <v>1485257.1179267366</v>
      </c>
      <c r="EF135" s="458">
        <v>1349211.3529119533</v>
      </c>
      <c r="EG135" s="458">
        <v>1212306.6919955548</v>
      </c>
      <c r="EH135" s="459">
        <v>1077211.9519257694</v>
      </c>
    </row>
    <row r="136" spans="1:138" x14ac:dyDescent="0.2">
      <c r="A136" s="67">
        <v>407</v>
      </c>
      <c r="B136" s="67" t="s">
        <v>257</v>
      </c>
      <c r="C136" s="67">
        <v>34</v>
      </c>
      <c r="D136" s="67">
        <v>2518</v>
      </c>
      <c r="E136" s="82">
        <v>7158320.9308957625</v>
      </c>
      <c r="F136" s="67">
        <v>3528087.3205332588</v>
      </c>
      <c r="G136" s="67">
        <v>745220</v>
      </c>
      <c r="H136" s="67">
        <v>540993.23852799903</v>
      </c>
      <c r="I136" s="67">
        <v>2013260.7369976586</v>
      </c>
      <c r="J136" s="67">
        <v>573509.47713478678</v>
      </c>
      <c r="K136" s="67">
        <v>238680.55645978486</v>
      </c>
      <c r="L136" s="67">
        <v>-597059</v>
      </c>
      <c r="M136" s="68">
        <v>268329.06</v>
      </c>
      <c r="N136" s="68">
        <v>22048.35981205495</v>
      </c>
      <c r="O136" s="68">
        <v>-73282.276632480483</v>
      </c>
      <c r="P136" s="168">
        <f t="shared" si="43"/>
        <v>101466.54193729984</v>
      </c>
      <c r="Q136" s="169">
        <f t="shared" si="44"/>
        <v>40.296482103772775</v>
      </c>
      <c r="R136" s="67"/>
      <c r="S136" s="82">
        <v>18349191.449999999</v>
      </c>
      <c r="T136" s="67">
        <v>8216306.5952802813</v>
      </c>
      <c r="U136" s="67">
        <v>813087.01727327832</v>
      </c>
      <c r="V136" s="67">
        <v>7196910.8676481629</v>
      </c>
      <c r="W136" s="67">
        <v>1912731.607525209</v>
      </c>
      <c r="X136" s="67">
        <v>416490.06</v>
      </c>
      <c r="Y136" s="168">
        <f t="shared" si="45"/>
        <v>206334.69772693142</v>
      </c>
      <c r="Z136" s="169">
        <f t="shared" si="46"/>
        <v>81.943883132220577</v>
      </c>
      <c r="AA136" s="67"/>
      <c r="AB136" s="77">
        <f t="shared" si="47"/>
        <v>-104868.15578963158</v>
      </c>
      <c r="AC136" s="123">
        <f t="shared" si="48"/>
        <v>-41.64740102844781</v>
      </c>
      <c r="AE136" s="170"/>
      <c r="AF136" s="177">
        <v>69989.139584945049</v>
      </c>
      <c r="AG136" s="177">
        <v>25657.920027699362</v>
      </c>
      <c r="AH136" s="177">
        <v>-7505.1450057233333</v>
      </c>
      <c r="AI136" s="178">
        <v>-11854.904838676364</v>
      </c>
      <c r="AK136" s="67">
        <f t="shared" si="49"/>
        <v>4688219.2747470224</v>
      </c>
      <c r="AL136" s="67">
        <f t="shared" si="50"/>
        <v>272093.7787452793</v>
      </c>
      <c r="AM136" s="67">
        <f t="shared" si="51"/>
        <v>5183650.1306505045</v>
      </c>
      <c r="AN136" s="67">
        <f t="shared" si="52"/>
        <v>11190870.519104237</v>
      </c>
      <c r="AO136" s="67">
        <f t="shared" si="53"/>
        <v>0</v>
      </c>
      <c r="AP136" s="67">
        <f t="shared" si="54"/>
        <v>69989.139584945049</v>
      </c>
      <c r="AQ136" s="67">
        <f t="shared" si="55"/>
        <v>25657.920027699362</v>
      </c>
      <c r="AR136" s="67">
        <f t="shared" si="56"/>
        <v>-7505.1450057233333</v>
      </c>
      <c r="AS136" s="67">
        <f t="shared" si="57"/>
        <v>-11854.904838676364</v>
      </c>
      <c r="AT136" s="68">
        <v>563</v>
      </c>
      <c r="AU136" s="68"/>
      <c r="AV136" s="68"/>
      <c r="AW136" s="68">
        <v>2</v>
      </c>
      <c r="AX136" s="68">
        <v>4228.5734647889421</v>
      </c>
      <c r="AY136" s="68">
        <v>-1009.3288810451214</v>
      </c>
      <c r="AZ136" s="68">
        <v>1339.1654883140513</v>
      </c>
      <c r="BA136" s="299"/>
      <c r="BB136" s="67"/>
      <c r="BC136" s="67"/>
      <c r="BD136" s="67"/>
      <c r="BE136" s="67"/>
      <c r="BF136" s="67"/>
      <c r="BG136" s="67"/>
      <c r="BH136" s="67"/>
      <c r="BN136" s="299"/>
      <c r="BO136" s="67">
        <v>7124996.0524923652</v>
      </c>
      <c r="BP136" s="67">
        <v>10336099.23</v>
      </c>
      <c r="BQ136" s="67">
        <v>10727000</v>
      </c>
      <c r="BR136" s="67">
        <v>282183.06</v>
      </c>
      <c r="BS136" s="67">
        <v>301000</v>
      </c>
      <c r="BT136" s="428">
        <v>0.57059935877272283</v>
      </c>
      <c r="BU136" s="428">
        <v>0.33464287704132489</v>
      </c>
      <c r="BV136" s="67">
        <f t="shared" si="58"/>
        <v>6761552.8175007124</v>
      </c>
      <c r="BW136" s="299"/>
      <c r="BX136" s="67">
        <v>18140596</v>
      </c>
      <c r="BY136" s="67">
        <v>7124996.0524923652</v>
      </c>
      <c r="BZ136" s="67">
        <v>9599808.178284375</v>
      </c>
      <c r="CA136" s="67">
        <v>4752386.9724919917</v>
      </c>
      <c r="CB136" s="67">
        <f t="shared" si="59"/>
        <v>231448.97801107599</v>
      </c>
      <c r="CC136" s="67">
        <f t="shared" si="60"/>
        <v>81.943883132221487</v>
      </c>
      <c r="CD136" s="67">
        <f t="shared" si="61"/>
        <v>66.5278952029674</v>
      </c>
      <c r="CE136" s="67">
        <f t="shared" si="62"/>
        <v>-15.415987929254086</v>
      </c>
      <c r="CF136" s="67">
        <f t="shared" si="63"/>
        <v>0.41598792925408645</v>
      </c>
      <c r="CG136" s="67">
        <f t="shared" si="64"/>
        <v>0</v>
      </c>
      <c r="CH136" s="67">
        <f t="shared" si="65"/>
        <v>0</v>
      </c>
      <c r="CI136" s="67">
        <f t="shared" si="66"/>
        <v>0</v>
      </c>
      <c r="CJ136" s="67">
        <f t="shared" si="67"/>
        <v>1047.4576058617897</v>
      </c>
      <c r="CK136" s="67">
        <f t="shared" si="68"/>
        <v>0</v>
      </c>
      <c r="CL136" s="67">
        <f t="shared" si="69"/>
        <v>0</v>
      </c>
      <c r="CM136" s="67">
        <f t="shared" si="70"/>
        <v>0</v>
      </c>
      <c r="CN136" s="299"/>
      <c r="CO136" s="430">
        <v>8216.3065952802808</v>
      </c>
      <c r="CP136" s="430">
        <v>813.08701727327832</v>
      </c>
      <c r="CQ136" s="430">
        <v>745.22</v>
      </c>
      <c r="CR136" s="430">
        <v>7196910.8676481629</v>
      </c>
      <c r="CS136" s="430">
        <v>2013260.7369976586</v>
      </c>
      <c r="CT136" s="430">
        <v>1912731.607525209</v>
      </c>
      <c r="CU136" s="430">
        <v>573509.47713478678</v>
      </c>
      <c r="CV136" s="430">
        <v>-597059</v>
      </c>
      <c r="CW136" s="430">
        <v>22048.35981205495</v>
      </c>
      <c r="CX136" s="430">
        <v>268329.06</v>
      </c>
      <c r="CY136" s="430">
        <v>7158320.9308957625</v>
      </c>
      <c r="CZ136" s="519"/>
      <c r="DA136" s="524">
        <v>8219.0524800000003</v>
      </c>
      <c r="DB136" s="524">
        <v>806.72831217801217</v>
      </c>
      <c r="DC136" s="520">
        <f t="shared" si="71"/>
        <v>-1</v>
      </c>
      <c r="DD136" s="440">
        <v>2580</v>
      </c>
      <c r="DE136" s="450">
        <v>7124996.0524923652</v>
      </c>
      <c r="DF136" s="440">
        <v>3561335.9342919919</v>
      </c>
      <c r="DG136" s="440">
        <v>704316.26199999999</v>
      </c>
      <c r="DH136" s="440">
        <v>486734.77620000002</v>
      </c>
      <c r="DI136" s="440">
        <v>2009144.2740939041</v>
      </c>
      <c r="DJ136" s="440">
        <v>573485.2206900462</v>
      </c>
      <c r="DK136" s="440">
        <v>231777.33373985888</v>
      </c>
      <c r="DL136" s="440">
        <v>-597059</v>
      </c>
      <c r="DM136" s="440">
        <v>750000</v>
      </c>
      <c r="DN136" s="440">
        <v>21487.321843805956</v>
      </c>
      <c r="DO136" s="457">
        <f t="shared" si="72"/>
        <v>616226.07036724128</v>
      </c>
      <c r="DP136" s="459">
        <f t="shared" si="73"/>
        <v>238.84731409582994</v>
      </c>
      <c r="DQ136" s="440"/>
      <c r="DR136" s="450">
        <v>18140596</v>
      </c>
      <c r="DS136" s="440">
        <v>8165389.7519843746</v>
      </c>
      <c r="DT136" s="440">
        <v>730102.16430000006</v>
      </c>
      <c r="DU136" s="440">
        <v>7192807.2176481616</v>
      </c>
      <c r="DV136" s="440">
        <v>1912650.7090040976</v>
      </c>
      <c r="DW136" s="440">
        <v>857257.26199999999</v>
      </c>
      <c r="DX136" s="457">
        <f t="shared" si="74"/>
        <v>717611.10493663326</v>
      </c>
      <c r="DY136" s="459">
        <f t="shared" si="75"/>
        <v>278.14383912272609</v>
      </c>
      <c r="DZ136" s="440"/>
      <c r="EA136" s="457">
        <f t="shared" si="76"/>
        <v>-101385.03456939198</v>
      </c>
      <c r="EB136" s="459">
        <f t="shared" si="77"/>
        <v>-39.29652502689612</v>
      </c>
      <c r="ED136" s="457">
        <v>112132.57888705819</v>
      </c>
      <c r="EE136" s="458">
        <v>70089.531246338025</v>
      </c>
      <c r="EF136" s="458">
        <v>28580.771343530461</v>
      </c>
      <c r="EG136" s="458">
        <v>1524.9201747651246</v>
      </c>
      <c r="EH136" s="459">
        <v>-993.67364974365137</v>
      </c>
    </row>
    <row r="137" spans="1:138" x14ac:dyDescent="0.2">
      <c r="A137" s="67">
        <v>402</v>
      </c>
      <c r="B137" s="67" t="s">
        <v>258</v>
      </c>
      <c r="C137" s="67">
        <v>11</v>
      </c>
      <c r="D137" s="67">
        <v>9099</v>
      </c>
      <c r="E137" s="82">
        <v>23972839.542476937</v>
      </c>
      <c r="F137" s="67">
        <v>11820902.597319053</v>
      </c>
      <c r="G137" s="67">
        <v>2276441</v>
      </c>
      <c r="H137" s="67">
        <v>1624017.2815953684</v>
      </c>
      <c r="I137" s="67">
        <v>7054522.5419038152</v>
      </c>
      <c r="J137" s="67">
        <v>1858099.2929648142</v>
      </c>
      <c r="K137" s="67">
        <v>-1966695.4914481973</v>
      </c>
      <c r="L137" s="67">
        <v>-359445</v>
      </c>
      <c r="M137" s="68">
        <v>1431634</v>
      </c>
      <c r="N137" s="68">
        <v>74688.072273175698</v>
      </c>
      <c r="O137" s="68">
        <v>-264811.53100831609</v>
      </c>
      <c r="P137" s="168">
        <f t="shared" si="43"/>
        <v>-423486.77887722279</v>
      </c>
      <c r="Q137" s="169">
        <f t="shared" si="44"/>
        <v>-46.542123186858205</v>
      </c>
      <c r="R137" s="67"/>
      <c r="S137" s="82">
        <v>69763392</v>
      </c>
      <c r="T137" s="67">
        <v>27806991.920049042</v>
      </c>
      <c r="U137" s="67">
        <v>2440820.464014533</v>
      </c>
      <c r="V137" s="67">
        <v>27759794.761398613</v>
      </c>
      <c r="W137" s="67">
        <v>6197012.2365367077</v>
      </c>
      <c r="X137" s="67">
        <v>3348630</v>
      </c>
      <c r="Y137" s="168">
        <f t="shared" si="45"/>
        <v>-2210142.6180011034</v>
      </c>
      <c r="Z137" s="169">
        <f t="shared" si="46"/>
        <v>-242.89950741851888</v>
      </c>
      <c r="AA137" s="67"/>
      <c r="AB137" s="77">
        <f t="shared" si="47"/>
        <v>1786655.8391238805</v>
      </c>
      <c r="AC137" s="123">
        <f t="shared" si="48"/>
        <v>196.35738423166069</v>
      </c>
      <c r="AE137" s="170"/>
      <c r="AF137" s="177">
        <v>-1639724.031517213</v>
      </c>
      <c r="AG137" s="177">
        <v>-1526948.5377727244</v>
      </c>
      <c r="AH137" s="177">
        <v>-1404321.2975857835</v>
      </c>
      <c r="AI137" s="178">
        <v>-1283554.5123276578</v>
      </c>
      <c r="AK137" s="67">
        <f t="shared" si="49"/>
        <v>15986089.322729988</v>
      </c>
      <c r="AL137" s="67">
        <f t="shared" si="50"/>
        <v>816803.18241916457</v>
      </c>
      <c r="AM137" s="67">
        <f t="shared" si="51"/>
        <v>20705272.219494797</v>
      </c>
      <c r="AN137" s="67">
        <f t="shared" si="52"/>
        <v>45790552.457523063</v>
      </c>
      <c r="AO137" s="67">
        <f t="shared" si="53"/>
        <v>0</v>
      </c>
      <c r="AP137" s="67">
        <f t="shared" si="54"/>
        <v>-1639724.031517213</v>
      </c>
      <c r="AQ137" s="67">
        <f t="shared" si="55"/>
        <v>-1526948.5377727244</v>
      </c>
      <c r="AR137" s="67">
        <f t="shared" si="56"/>
        <v>-1404321.2975857835</v>
      </c>
      <c r="AS137" s="67">
        <f t="shared" si="57"/>
        <v>-1283554.5123276578</v>
      </c>
      <c r="AT137" s="68">
        <v>3195</v>
      </c>
      <c r="AU137" s="68"/>
      <c r="AV137" s="68"/>
      <c r="AW137" s="68">
        <v>41</v>
      </c>
      <c r="AX137" s="68">
        <v>16856.278638137857</v>
      </c>
      <c r="AY137" s="68">
        <v>-4324.5190928486927</v>
      </c>
      <c r="AZ137" s="68">
        <v>4355.8873139547595</v>
      </c>
      <c r="BA137" s="299"/>
      <c r="BB137" s="67"/>
      <c r="BC137" s="67"/>
      <c r="BD137" s="67"/>
      <c r="BE137" s="67"/>
      <c r="BF137" s="67"/>
      <c r="BG137" s="67"/>
      <c r="BH137" s="67"/>
      <c r="BN137" s="299"/>
      <c r="BO137" s="67">
        <v>22162514.261702247</v>
      </c>
      <c r="BP137" s="67">
        <v>42895918.989999995</v>
      </c>
      <c r="BQ137" s="67">
        <v>44228000</v>
      </c>
      <c r="BR137" s="67">
        <v>711350.19</v>
      </c>
      <c r="BS137" s="67">
        <v>739000</v>
      </c>
      <c r="BT137" s="428">
        <v>0.57489459373000007</v>
      </c>
      <c r="BU137" s="428">
        <v>0.33464287704132473</v>
      </c>
      <c r="BV137" s="67">
        <f t="shared" si="58"/>
        <v>23077489.671618499</v>
      </c>
      <c r="BW137" s="299"/>
      <c r="BX137" s="67">
        <v>65791905</v>
      </c>
      <c r="BY137" s="67">
        <v>22162514.261702247</v>
      </c>
      <c r="BZ137" s="67">
        <v>32977718.58135495</v>
      </c>
      <c r="CA137" s="67">
        <v>16112014.402596589</v>
      </c>
      <c r="CB137" s="67">
        <f t="shared" si="59"/>
        <v>-783382.31635915663</v>
      </c>
      <c r="CC137" s="67">
        <f t="shared" si="60"/>
        <v>-242.89950741851931</v>
      </c>
      <c r="CD137" s="67">
        <f t="shared" si="61"/>
        <v>112.60994913948046</v>
      </c>
      <c r="CE137" s="67">
        <f t="shared" si="62"/>
        <v>355.50945655799978</v>
      </c>
      <c r="CF137" s="67">
        <f t="shared" si="63"/>
        <v>-340.50945655799978</v>
      </c>
      <c r="CG137" s="67">
        <f t="shared" si="64"/>
        <v>-325.50945655799978</v>
      </c>
      <c r="CH137" s="67">
        <f t="shared" si="65"/>
        <v>-310.50945655799978</v>
      </c>
      <c r="CI137" s="67">
        <f t="shared" si="66"/>
        <v>-295.50945655799978</v>
      </c>
      <c r="CJ137" s="67">
        <f t="shared" si="67"/>
        <v>-3098295.5452212403</v>
      </c>
      <c r="CK137" s="67">
        <f t="shared" si="68"/>
        <v>-2961810.5452212403</v>
      </c>
      <c r="CL137" s="67">
        <f t="shared" si="69"/>
        <v>-2825325.5452212403</v>
      </c>
      <c r="CM137" s="67">
        <f t="shared" si="70"/>
        <v>-2688840.5452212403</v>
      </c>
      <c r="CN137" s="299"/>
      <c r="CO137" s="430">
        <v>27806.99192004904</v>
      </c>
      <c r="CP137" s="430">
        <v>2440.8204640145332</v>
      </c>
      <c r="CQ137" s="430">
        <v>2276.4409999999998</v>
      </c>
      <c r="CR137" s="430">
        <v>27759794.761398613</v>
      </c>
      <c r="CS137" s="430">
        <v>7054522.5419038152</v>
      </c>
      <c r="CT137" s="430">
        <v>6197012.2365367077</v>
      </c>
      <c r="CU137" s="430">
        <v>1858099.2929648142</v>
      </c>
      <c r="CV137" s="430">
        <v>-359445</v>
      </c>
      <c r="CW137" s="430">
        <v>74688.072273175698</v>
      </c>
      <c r="CX137" s="430">
        <v>1431634</v>
      </c>
      <c r="CY137" s="430">
        <v>23972839.542476937</v>
      </c>
      <c r="CZ137" s="519"/>
      <c r="DA137" s="524">
        <v>28158.01585</v>
      </c>
      <c r="DB137" s="524">
        <v>2421.7326862408313</v>
      </c>
      <c r="DC137" s="520">
        <f t="shared" si="71"/>
        <v>-1</v>
      </c>
      <c r="DD137" s="440">
        <v>9247</v>
      </c>
      <c r="DE137" s="450">
        <v>22162514.261702247</v>
      </c>
      <c r="DF137" s="440">
        <v>12130465.601396587</v>
      </c>
      <c r="DG137" s="440">
        <v>2520410.9684000006</v>
      </c>
      <c r="DH137" s="440">
        <v>1461137.8328</v>
      </c>
      <c r="DI137" s="440">
        <v>7039804.0372549724</v>
      </c>
      <c r="DJ137" s="440">
        <v>1865368.4099111846</v>
      </c>
      <c r="DK137" s="440">
        <v>-783440.40137383319</v>
      </c>
      <c r="DL137" s="440">
        <v>-209471</v>
      </c>
      <c r="DM137" s="440">
        <v>825000</v>
      </c>
      <c r="DN137" s="440">
        <v>74761.156174825228</v>
      </c>
      <c r="DO137" s="457">
        <f t="shared" si="72"/>
        <v>2761522.3428614922</v>
      </c>
      <c r="DP137" s="459">
        <f t="shared" si="73"/>
        <v>298.63981214031492</v>
      </c>
      <c r="DQ137" s="440"/>
      <c r="DR137" s="450">
        <v>65791905</v>
      </c>
      <c r="DS137" s="440">
        <v>28265600.863754947</v>
      </c>
      <c r="DT137" s="440">
        <v>2191706.7492</v>
      </c>
      <c r="DU137" s="440">
        <v>27745115.461398602</v>
      </c>
      <c r="DV137" s="440">
        <v>6221255.723865944</v>
      </c>
      <c r="DW137" s="440">
        <v>3135939.9684000006</v>
      </c>
      <c r="DX137" s="457">
        <f t="shared" si="74"/>
        <v>1767713.7666194886</v>
      </c>
      <c r="DY137" s="459">
        <f t="shared" si="75"/>
        <v>191.16619083156576</v>
      </c>
      <c r="DZ137" s="440"/>
      <c r="EA137" s="457">
        <f t="shared" si="76"/>
        <v>993808.57624200359</v>
      </c>
      <c r="EB137" s="459">
        <f t="shared" si="77"/>
        <v>107.47362130874917</v>
      </c>
      <c r="ED137" s="457">
        <v>-955288.21100732253</v>
      </c>
      <c r="EE137" s="458">
        <v>-828565.05656303535</v>
      </c>
      <c r="EF137" s="458">
        <v>-699926.95688135386</v>
      </c>
      <c r="EG137" s="458">
        <v>-572228.09684042877</v>
      </c>
      <c r="EH137" s="459">
        <v>-442550.0104432322</v>
      </c>
    </row>
    <row r="138" spans="1:138" x14ac:dyDescent="0.2">
      <c r="A138" s="67">
        <v>403</v>
      </c>
      <c r="B138" s="67" t="s">
        <v>259</v>
      </c>
      <c r="C138" s="67">
        <v>14</v>
      </c>
      <c r="D138" s="67">
        <v>2820</v>
      </c>
      <c r="E138" s="82">
        <v>7608586.0525549874</v>
      </c>
      <c r="F138" s="67">
        <v>3626477.0192926014</v>
      </c>
      <c r="G138" s="67">
        <v>1002071</v>
      </c>
      <c r="H138" s="67">
        <v>591406.26995954826</v>
      </c>
      <c r="I138" s="67">
        <v>2106467.7337112646</v>
      </c>
      <c r="J138" s="67">
        <v>660879.11040460761</v>
      </c>
      <c r="K138" s="67">
        <v>-1734.569427687959</v>
      </c>
      <c r="L138" s="67">
        <v>-140203</v>
      </c>
      <c r="M138" s="68">
        <v>25089.1</v>
      </c>
      <c r="N138" s="68">
        <v>21438.934143631461</v>
      </c>
      <c r="O138" s="68">
        <v>-82071.493289751772</v>
      </c>
      <c r="P138" s="168">
        <f t="shared" si="43"/>
        <v>201234.05223922635</v>
      </c>
      <c r="Q138" s="169">
        <f t="shared" si="44"/>
        <v>71.359592992633452</v>
      </c>
      <c r="R138" s="67"/>
      <c r="S138" s="82">
        <v>22599325.640000004</v>
      </c>
      <c r="T138" s="67">
        <v>8152235.8670248585</v>
      </c>
      <c r="U138" s="67">
        <v>888855.39742884832</v>
      </c>
      <c r="V138" s="67">
        <v>10434851.711929478</v>
      </c>
      <c r="W138" s="67">
        <v>2204121.1411872599</v>
      </c>
      <c r="X138" s="67">
        <v>886957.1</v>
      </c>
      <c r="Y138" s="168">
        <f t="shared" si="45"/>
        <v>-32304.422429561615</v>
      </c>
      <c r="Z138" s="169">
        <f t="shared" si="46"/>
        <v>-11.455468946653054</v>
      </c>
      <c r="AA138" s="67"/>
      <c r="AB138" s="77">
        <f t="shared" si="47"/>
        <v>233538.47466878797</v>
      </c>
      <c r="AC138" s="123">
        <f t="shared" si="48"/>
        <v>82.815061939286508</v>
      </c>
      <c r="AE138" s="170"/>
      <c r="AF138" s="177">
        <v>-188000.75651835027</v>
      </c>
      <c r="AG138" s="177">
        <v>-153048.90550621078</v>
      </c>
      <c r="AH138" s="177">
        <v>-115043.76017956238</v>
      </c>
      <c r="AI138" s="178">
        <v>-77615.214797881505</v>
      </c>
      <c r="AK138" s="67">
        <f t="shared" si="49"/>
        <v>4525758.8477322571</v>
      </c>
      <c r="AL138" s="67">
        <f t="shared" si="50"/>
        <v>297449.12746930006</v>
      </c>
      <c r="AM138" s="67">
        <f t="shared" si="51"/>
        <v>8328383.9782182127</v>
      </c>
      <c r="AN138" s="67">
        <f t="shared" si="52"/>
        <v>14990739.587445017</v>
      </c>
      <c r="AO138" s="67">
        <f t="shared" si="53"/>
        <v>0</v>
      </c>
      <c r="AP138" s="67">
        <f t="shared" si="54"/>
        <v>-188000.75651835027</v>
      </c>
      <c r="AQ138" s="67">
        <f t="shared" si="55"/>
        <v>-153048.90550621078</v>
      </c>
      <c r="AR138" s="67">
        <f t="shared" si="56"/>
        <v>-115043.76017956238</v>
      </c>
      <c r="AS138" s="67">
        <f t="shared" si="57"/>
        <v>-77615.214797881505</v>
      </c>
      <c r="AT138" s="68">
        <v>1076</v>
      </c>
      <c r="AU138" s="68"/>
      <c r="AV138" s="68"/>
      <c r="AW138" s="68">
        <v>14</v>
      </c>
      <c r="AX138" s="68">
        <v>7022.5267649018942</v>
      </c>
      <c r="AY138" s="68">
        <v>-1538.2393083666495</v>
      </c>
      <c r="AZ138" s="68">
        <v>1546.6038213366801</v>
      </c>
      <c r="BA138" s="299"/>
      <c r="BB138" s="67"/>
      <c r="BC138" s="67"/>
      <c r="BD138" s="67"/>
      <c r="BE138" s="67"/>
      <c r="BF138" s="67"/>
      <c r="BG138" s="67"/>
      <c r="BH138" s="67"/>
      <c r="BN138" s="299"/>
      <c r="BO138" s="67">
        <v>7969792.8856296539</v>
      </c>
      <c r="BP138" s="67">
        <v>13847612.27</v>
      </c>
      <c r="BQ138" s="67">
        <v>14560000</v>
      </c>
      <c r="BR138" s="67">
        <v>289195</v>
      </c>
      <c r="BS138" s="67">
        <v>300000</v>
      </c>
      <c r="BT138" s="428">
        <v>0.55515553297943565</v>
      </c>
      <c r="BU138" s="428">
        <v>0.33464287704132489</v>
      </c>
      <c r="BV138" s="67">
        <f t="shared" si="58"/>
        <v>9869891.4395731781</v>
      </c>
      <c r="BW138" s="299"/>
      <c r="BX138" s="67">
        <v>22308650</v>
      </c>
      <c r="BY138" s="67">
        <v>7969792.8856296539</v>
      </c>
      <c r="BZ138" s="67">
        <v>10714308.557575237</v>
      </c>
      <c r="CA138" s="67">
        <v>5539697.1462392155</v>
      </c>
      <c r="CB138" s="67">
        <f t="shared" si="59"/>
        <v>552277.07915724476</v>
      </c>
      <c r="CC138" s="67">
        <f t="shared" si="60"/>
        <v>-11.455468946652932</v>
      </c>
      <c r="CD138" s="67">
        <f t="shared" si="61"/>
        <v>296.92099082053579</v>
      </c>
      <c r="CE138" s="67">
        <f t="shared" si="62"/>
        <v>308.37645976718875</v>
      </c>
      <c r="CF138" s="67">
        <f t="shared" si="63"/>
        <v>-293.37645976718875</v>
      </c>
      <c r="CG138" s="67">
        <f t="shared" si="64"/>
        <v>-278.37645976718875</v>
      </c>
      <c r="CH138" s="67">
        <f t="shared" si="65"/>
        <v>-263.37645976718875</v>
      </c>
      <c r="CI138" s="67">
        <f t="shared" si="66"/>
        <v>-248.37645976718875</v>
      </c>
      <c r="CJ138" s="67">
        <f t="shared" si="67"/>
        <v>-827321.61654347228</v>
      </c>
      <c r="CK138" s="67">
        <f t="shared" si="68"/>
        <v>-785021.61654347228</v>
      </c>
      <c r="CL138" s="67">
        <f t="shared" si="69"/>
        <v>-742721.61654347228</v>
      </c>
      <c r="CM138" s="67">
        <f t="shared" si="70"/>
        <v>-700421.61654347228</v>
      </c>
      <c r="CN138" s="299"/>
      <c r="CO138" s="430">
        <v>8152.2358670248586</v>
      </c>
      <c r="CP138" s="430">
        <v>888.85539742884828</v>
      </c>
      <c r="CQ138" s="430">
        <v>1002.071</v>
      </c>
      <c r="CR138" s="430">
        <v>10434851.711929478</v>
      </c>
      <c r="CS138" s="430">
        <v>2106467.7337112646</v>
      </c>
      <c r="CT138" s="430">
        <v>2204121.1411872599</v>
      </c>
      <c r="CU138" s="430">
        <v>660879.11040460761</v>
      </c>
      <c r="CV138" s="430">
        <v>-140203</v>
      </c>
      <c r="CW138" s="430">
        <v>21438.934143631461</v>
      </c>
      <c r="CX138" s="430">
        <v>25089.1</v>
      </c>
      <c r="CY138" s="430">
        <v>7608586.0525549874</v>
      </c>
      <c r="CZ138" s="519"/>
      <c r="DA138" s="524">
        <v>8348.2152499999993</v>
      </c>
      <c r="DB138" s="524">
        <v>881.90399141881949</v>
      </c>
      <c r="DC138" s="520">
        <f t="shared" si="71"/>
        <v>-1</v>
      </c>
      <c r="DD138" s="440">
        <v>2866</v>
      </c>
      <c r="DE138" s="450">
        <v>7969792.8856296539</v>
      </c>
      <c r="DF138" s="440">
        <v>4002692.9537392156</v>
      </c>
      <c r="DG138" s="440">
        <v>1004912.5175</v>
      </c>
      <c r="DH138" s="440">
        <v>532091.67500000005</v>
      </c>
      <c r="DI138" s="440">
        <v>2101875.7492976943</v>
      </c>
      <c r="DJ138" s="440">
        <v>662318.76608168148</v>
      </c>
      <c r="DK138" s="440">
        <v>551375.07703542442</v>
      </c>
      <c r="DL138" s="440">
        <v>-140203</v>
      </c>
      <c r="DM138" s="440">
        <v>-45900</v>
      </c>
      <c r="DN138" s="440">
        <v>22937.668523450015</v>
      </c>
      <c r="DO138" s="457">
        <f t="shared" si="72"/>
        <v>722308.52154781297</v>
      </c>
      <c r="DP138" s="459">
        <f t="shared" si="73"/>
        <v>252.02669977243997</v>
      </c>
      <c r="DQ138" s="440"/>
      <c r="DR138" s="450">
        <v>22308650</v>
      </c>
      <c r="DS138" s="440">
        <v>8911258.5275752377</v>
      </c>
      <c r="DT138" s="440">
        <v>798137.51249999995</v>
      </c>
      <c r="DU138" s="440">
        <v>10430274.771929476</v>
      </c>
      <c r="DV138" s="440">
        <v>2208922.5874183616</v>
      </c>
      <c r="DW138" s="440">
        <v>818809.51749999996</v>
      </c>
      <c r="DX138" s="457">
        <f t="shared" si="74"/>
        <v>858752.91692307591</v>
      </c>
      <c r="DY138" s="459">
        <f t="shared" si="75"/>
        <v>299.63465349723515</v>
      </c>
      <c r="DZ138" s="440"/>
      <c r="EA138" s="457">
        <f t="shared" si="76"/>
        <v>-136444.39537526295</v>
      </c>
      <c r="EB138" s="459">
        <f t="shared" si="77"/>
        <v>-47.607953724795166</v>
      </c>
      <c r="ED138" s="457">
        <v>148383.3341405493</v>
      </c>
      <c r="EE138" s="458">
        <v>101679.700598571</v>
      </c>
      <c r="EF138" s="458">
        <v>55569.582039870817</v>
      </c>
      <c r="EG138" s="458">
        <v>9168.3570887830174</v>
      </c>
      <c r="EH138" s="459">
        <v>-1103.8250698315135</v>
      </c>
    </row>
    <row r="139" spans="1:138" x14ac:dyDescent="0.2">
      <c r="A139" s="67">
        <v>405</v>
      </c>
      <c r="B139" s="67" t="s">
        <v>260</v>
      </c>
      <c r="C139" s="67">
        <v>9</v>
      </c>
      <c r="D139" s="67">
        <v>72650</v>
      </c>
      <c r="E139" s="82">
        <v>179423987.60109264</v>
      </c>
      <c r="F139" s="67">
        <v>111216252.71024173</v>
      </c>
      <c r="G139" s="67">
        <v>27164665</v>
      </c>
      <c r="H139" s="67">
        <v>20255934.308052629</v>
      </c>
      <c r="I139" s="67">
        <v>16944446.346502915</v>
      </c>
      <c r="J139" s="67">
        <v>11322898.92995324</v>
      </c>
      <c r="K139" s="67">
        <v>-616082.66338247596</v>
      </c>
      <c r="L139" s="67">
        <v>-5709506</v>
      </c>
      <c r="M139" s="68">
        <v>10241657.67</v>
      </c>
      <c r="N139" s="68">
        <v>766371.15061902511</v>
      </c>
      <c r="O139" s="68">
        <v>-2114359.5700356262</v>
      </c>
      <c r="P139" s="168">
        <f t="shared" si="43"/>
        <v>10048290.280858796</v>
      </c>
      <c r="Q139" s="169">
        <f t="shared" si="44"/>
        <v>138.31094674272259</v>
      </c>
      <c r="R139" s="67"/>
      <c r="S139" s="82">
        <v>459854237.12</v>
      </c>
      <c r="T139" s="67">
        <v>273442253.82472378</v>
      </c>
      <c r="U139" s="67">
        <v>30443702.500665512</v>
      </c>
      <c r="V139" s="67">
        <v>100208986.51198107</v>
      </c>
      <c r="W139" s="67">
        <v>37763398.052871093</v>
      </c>
      <c r="X139" s="67">
        <v>31696816.670000002</v>
      </c>
      <c r="Y139" s="168">
        <f t="shared" si="45"/>
        <v>13700920.440241456</v>
      </c>
      <c r="Z139" s="169">
        <f t="shared" si="46"/>
        <v>188.58803083608336</v>
      </c>
      <c r="AA139" s="67"/>
      <c r="AB139" s="77">
        <f t="shared" si="47"/>
        <v>-3652630.1593826599</v>
      </c>
      <c r="AC139" s="123">
        <f t="shared" si="48"/>
        <v>-50.27708409336077</v>
      </c>
      <c r="AE139" s="170"/>
      <c r="AF139" s="177">
        <v>2646291.5862014415</v>
      </c>
      <c r="AG139" s="177">
        <v>1367235.5493333323</v>
      </c>
      <c r="AH139" s="177">
        <v>166839.73656063972</v>
      </c>
      <c r="AI139" s="178">
        <v>-342040.84055990388</v>
      </c>
      <c r="AK139" s="67">
        <f t="shared" si="49"/>
        <v>162226001.11448205</v>
      </c>
      <c r="AL139" s="67">
        <f t="shared" si="50"/>
        <v>10187768.192612883</v>
      </c>
      <c r="AM139" s="67">
        <f t="shared" si="51"/>
        <v>83264540.165478155</v>
      </c>
      <c r="AN139" s="67">
        <f t="shared" si="52"/>
        <v>280430249.51890737</v>
      </c>
      <c r="AO139" s="67">
        <f t="shared" si="53"/>
        <v>0</v>
      </c>
      <c r="AP139" s="67">
        <f t="shared" si="54"/>
        <v>2646291.5862014415</v>
      </c>
      <c r="AQ139" s="67">
        <f t="shared" si="55"/>
        <v>1367235.5493333323</v>
      </c>
      <c r="AR139" s="67">
        <f t="shared" si="56"/>
        <v>166839.73656063972</v>
      </c>
      <c r="AS139" s="67">
        <f t="shared" si="57"/>
        <v>-342040.84055990388</v>
      </c>
      <c r="AT139" s="68">
        <v>30385</v>
      </c>
      <c r="AU139" s="68"/>
      <c r="AV139" s="68"/>
      <c r="AW139" s="68">
        <v>405</v>
      </c>
      <c r="AX139" s="68">
        <v>75601.349938958592</v>
      </c>
      <c r="AY139" s="68">
        <v>-3599.83829154873</v>
      </c>
      <c r="AZ139" s="68">
        <v>26478.835266562124</v>
      </c>
      <c r="BA139" s="299"/>
      <c r="BB139" s="67"/>
      <c r="BC139" s="67"/>
      <c r="BD139" s="67"/>
      <c r="BE139" s="67"/>
      <c r="BF139" s="67"/>
      <c r="BG139" s="67"/>
      <c r="BH139" s="67"/>
      <c r="BN139" s="299"/>
      <c r="BO139" s="67">
        <v>178215447.45062542</v>
      </c>
      <c r="BP139" s="67">
        <v>257376785.22999996</v>
      </c>
      <c r="BQ139" s="67">
        <v>269601000</v>
      </c>
      <c r="BR139" s="67">
        <v>7318736.2199999997</v>
      </c>
      <c r="BS139" s="67">
        <v>8132000</v>
      </c>
      <c r="BT139" s="428">
        <v>0.5932733469146606</v>
      </c>
      <c r="BU139" s="428">
        <v>0.33464287704132484</v>
      </c>
      <c r="BV139" s="67">
        <f t="shared" si="58"/>
        <v>109088956.62501356</v>
      </c>
      <c r="BW139" s="299"/>
      <c r="BX139" s="67">
        <v>454165001.12</v>
      </c>
      <c r="BY139" s="67">
        <v>178215447.45062542</v>
      </c>
      <c r="BZ139" s="67">
        <v>328762820.99086428</v>
      </c>
      <c r="CA139" s="67">
        <v>158611869.29627073</v>
      </c>
      <c r="CB139" s="67">
        <f t="shared" si="59"/>
        <v>-549881.32681426441</v>
      </c>
      <c r="CC139" s="67">
        <f t="shared" si="60"/>
        <v>188.58803083608336</v>
      </c>
      <c r="CD139" s="67">
        <f t="shared" si="61"/>
        <v>168.32554972419328</v>
      </c>
      <c r="CE139" s="67">
        <f t="shared" si="62"/>
        <v>-20.262481111890082</v>
      </c>
      <c r="CF139" s="67">
        <f t="shared" si="63"/>
        <v>5.2624811118900823</v>
      </c>
      <c r="CG139" s="67">
        <f t="shared" si="64"/>
        <v>0</v>
      </c>
      <c r="CH139" s="67">
        <f t="shared" si="65"/>
        <v>0</v>
      </c>
      <c r="CI139" s="67">
        <f t="shared" si="66"/>
        <v>0</v>
      </c>
      <c r="CJ139" s="67">
        <f t="shared" si="67"/>
        <v>382319.25277881447</v>
      </c>
      <c r="CK139" s="67">
        <f t="shared" si="68"/>
        <v>0</v>
      </c>
      <c r="CL139" s="67">
        <f t="shared" si="69"/>
        <v>0</v>
      </c>
      <c r="CM139" s="67">
        <f t="shared" si="70"/>
        <v>0</v>
      </c>
      <c r="CN139" s="299"/>
      <c r="CO139" s="430">
        <v>273442.25382472377</v>
      </c>
      <c r="CP139" s="430">
        <v>30443.702500665513</v>
      </c>
      <c r="CQ139" s="430">
        <v>27164.665000000001</v>
      </c>
      <c r="CR139" s="430">
        <v>100208986.51198107</v>
      </c>
      <c r="CS139" s="430">
        <v>16944446.346502915</v>
      </c>
      <c r="CT139" s="430">
        <v>37763398.052871093</v>
      </c>
      <c r="CU139" s="430">
        <v>11322898.92995324</v>
      </c>
      <c r="CV139" s="430">
        <v>-5709506</v>
      </c>
      <c r="CW139" s="430">
        <v>766371.15061902511</v>
      </c>
      <c r="CX139" s="430">
        <v>10241657.67</v>
      </c>
      <c r="CY139" s="430">
        <v>179423987.60109264</v>
      </c>
      <c r="CZ139" s="519"/>
      <c r="DA139" s="524">
        <v>273958.65476</v>
      </c>
      <c r="DB139" s="524">
        <v>30205.628163156973</v>
      </c>
      <c r="DC139" s="520">
        <f t="shared" si="71"/>
        <v>-1</v>
      </c>
      <c r="DD139" s="440">
        <v>72634</v>
      </c>
      <c r="DE139" s="450">
        <v>178215447.45062542</v>
      </c>
      <c r="DF139" s="440">
        <v>112269978.48847075</v>
      </c>
      <c r="DG139" s="440">
        <v>28117508.412599999</v>
      </c>
      <c r="DH139" s="440">
        <v>18224382.395199999</v>
      </c>
      <c r="DI139" s="440">
        <v>16830373.960836992</v>
      </c>
      <c r="DJ139" s="440">
        <v>11339316.028504636</v>
      </c>
      <c r="DK139" s="440">
        <v>-542373.96388745692</v>
      </c>
      <c r="DL139" s="440">
        <v>-5667652</v>
      </c>
      <c r="DM139" s="440">
        <v>7000000</v>
      </c>
      <c r="DN139" s="440">
        <v>754233.66484488745</v>
      </c>
      <c r="DO139" s="457">
        <f t="shared" si="72"/>
        <v>10110319.535944402</v>
      </c>
      <c r="DP139" s="459">
        <f t="shared" si="73"/>
        <v>139.19541173478538</v>
      </c>
      <c r="DQ139" s="440"/>
      <c r="DR139" s="450">
        <v>454165001.12</v>
      </c>
      <c r="DS139" s="440">
        <v>273308738.98546427</v>
      </c>
      <c r="DT139" s="440">
        <v>27336573.592799999</v>
      </c>
      <c r="DU139" s="440">
        <v>100095274.9519811</v>
      </c>
      <c r="DV139" s="440">
        <v>37818151.295066759</v>
      </c>
      <c r="DW139" s="440">
        <v>29449856.412599999</v>
      </c>
      <c r="DX139" s="457">
        <f t="shared" si="74"/>
        <v>13843594.117912114</v>
      </c>
      <c r="DY139" s="459">
        <f t="shared" si="75"/>
        <v>190.59385574127975</v>
      </c>
      <c r="DZ139" s="440"/>
      <c r="EA139" s="457">
        <f t="shared" si="76"/>
        <v>-3733274.5819677114</v>
      </c>
      <c r="EB139" s="459">
        <f t="shared" si="77"/>
        <v>-51.398444006494358</v>
      </c>
      <c r="ED139" s="457">
        <v>4035847.1145140631</v>
      </c>
      <c r="EE139" s="458">
        <v>2852221.2531434936</v>
      </c>
      <c r="EF139" s="458">
        <v>1683637.0412130579</v>
      </c>
      <c r="EG139" s="458">
        <v>507675.22226772952</v>
      </c>
      <c r="EH139" s="459">
        <v>-27974.609254062161</v>
      </c>
    </row>
    <row r="140" spans="1:138" x14ac:dyDescent="0.2">
      <c r="A140" s="67">
        <v>408</v>
      </c>
      <c r="B140" s="67" t="s">
        <v>261</v>
      </c>
      <c r="C140" s="67">
        <v>14</v>
      </c>
      <c r="D140" s="67">
        <v>14099</v>
      </c>
      <c r="E140" s="82">
        <v>40654017.322988726</v>
      </c>
      <c r="F140" s="67">
        <v>20678200.906946488</v>
      </c>
      <c r="G140" s="67">
        <v>3132895</v>
      </c>
      <c r="H140" s="67">
        <v>2550582.9809308788</v>
      </c>
      <c r="I140" s="67">
        <v>11993235.160108302</v>
      </c>
      <c r="J140" s="67">
        <v>2545954.3857871434</v>
      </c>
      <c r="K140" s="67">
        <v>186743.99033681533</v>
      </c>
      <c r="L140" s="67">
        <v>236434</v>
      </c>
      <c r="M140" s="68">
        <v>2825.3</v>
      </c>
      <c r="N140" s="68">
        <v>129263.40502452815</v>
      </c>
      <c r="O140" s="68">
        <v>-410328.36308234406</v>
      </c>
      <c r="P140" s="168">
        <f t="shared" si="43"/>
        <v>391789.44306308555</v>
      </c>
      <c r="Q140" s="169">
        <f t="shared" si="44"/>
        <v>27.788456136115013</v>
      </c>
      <c r="R140" s="67"/>
      <c r="S140" s="82">
        <v>99460877.399999991</v>
      </c>
      <c r="T140" s="67">
        <v>48476316.066321939</v>
      </c>
      <c r="U140" s="67">
        <v>3833404.4874864793</v>
      </c>
      <c r="V140" s="67">
        <v>35061108.631456599</v>
      </c>
      <c r="W140" s="67">
        <v>8491101.9244900998</v>
      </c>
      <c r="X140" s="67">
        <v>3372154.3</v>
      </c>
      <c r="Y140" s="168">
        <f t="shared" si="45"/>
        <v>-226791.99024488032</v>
      </c>
      <c r="Z140" s="169">
        <f t="shared" si="46"/>
        <v>-16.085679143547793</v>
      </c>
      <c r="AA140" s="67"/>
      <c r="AB140" s="77">
        <f t="shared" si="47"/>
        <v>618581.43330796587</v>
      </c>
      <c r="AC140" s="123">
        <f t="shared" si="48"/>
        <v>43.874135279662802</v>
      </c>
      <c r="AE140" s="170"/>
      <c r="AF140" s="177">
        <v>-390908.9906828028</v>
      </c>
      <c r="AG140" s="177">
        <v>-216162.12989551405</v>
      </c>
      <c r="AH140" s="177">
        <v>-42023.446956192725</v>
      </c>
      <c r="AI140" s="178">
        <v>-66378.99258161163</v>
      </c>
      <c r="AK140" s="67">
        <f t="shared" si="49"/>
        <v>27798115.159375452</v>
      </c>
      <c r="AL140" s="67">
        <f t="shared" si="50"/>
        <v>1282821.5065556006</v>
      </c>
      <c r="AM140" s="67">
        <f t="shared" si="51"/>
        <v>23067873.471348297</v>
      </c>
      <c r="AN140" s="67">
        <f t="shared" si="52"/>
        <v>58806860.077011265</v>
      </c>
      <c r="AO140" s="67">
        <f t="shared" si="53"/>
        <v>0</v>
      </c>
      <c r="AP140" s="67">
        <f t="shared" si="54"/>
        <v>-390908.9906828028</v>
      </c>
      <c r="AQ140" s="67">
        <f t="shared" si="55"/>
        <v>-216162.12989551405</v>
      </c>
      <c r="AR140" s="67">
        <f t="shared" si="56"/>
        <v>-42023.446956192725</v>
      </c>
      <c r="AS140" s="67">
        <f t="shared" si="57"/>
        <v>-66378.99258161163</v>
      </c>
      <c r="AT140" s="68">
        <v>6500</v>
      </c>
      <c r="AU140" s="68"/>
      <c r="AV140" s="68"/>
      <c r="AW140" s="68">
        <v>126</v>
      </c>
      <c r="AX140" s="68">
        <v>19224.839529169312</v>
      </c>
      <c r="AY140" s="68">
        <v>-4586.1113690448392</v>
      </c>
      <c r="AZ140" s="68">
        <v>5978.0495677631125</v>
      </c>
      <c r="BA140" s="299"/>
      <c r="BB140" s="67"/>
      <c r="BC140" s="67"/>
      <c r="BD140" s="67"/>
      <c r="BE140" s="67"/>
      <c r="BF140" s="67"/>
      <c r="BG140" s="67"/>
      <c r="BH140" s="67"/>
      <c r="BN140" s="299"/>
      <c r="BO140" s="67">
        <v>39482290.617390767</v>
      </c>
      <c r="BP140" s="67">
        <v>53196960.129999988</v>
      </c>
      <c r="BQ140" s="67">
        <v>57706000</v>
      </c>
      <c r="BR140" s="67">
        <v>1378582.6099999999</v>
      </c>
      <c r="BS140" s="67">
        <v>1468000</v>
      </c>
      <c r="BT140" s="428">
        <v>0.57343703926148171</v>
      </c>
      <c r="BU140" s="428">
        <v>0.33464287704132478</v>
      </c>
      <c r="BV140" s="67">
        <f t="shared" si="58"/>
        <v>29199765.000388071</v>
      </c>
      <c r="BW140" s="299"/>
      <c r="BX140" s="67">
        <v>95786700</v>
      </c>
      <c r="BY140" s="67">
        <v>39482290.617390767</v>
      </c>
      <c r="BZ140" s="67">
        <v>54758299.871296547</v>
      </c>
      <c r="CA140" s="67">
        <v>26230928.56439577</v>
      </c>
      <c r="CB140" s="67">
        <f t="shared" si="59"/>
        <v>1125949.2749613763</v>
      </c>
      <c r="CC140" s="67">
        <f t="shared" si="60"/>
        <v>-16.085679143547196</v>
      </c>
      <c r="CD140" s="67">
        <f t="shared" si="61"/>
        <v>123.5068508950983</v>
      </c>
      <c r="CE140" s="67">
        <f t="shared" si="62"/>
        <v>139.59253003864549</v>
      </c>
      <c r="CF140" s="67">
        <f t="shared" si="63"/>
        <v>-124.59253003864549</v>
      </c>
      <c r="CG140" s="67">
        <f t="shared" si="64"/>
        <v>-109.59253003864549</v>
      </c>
      <c r="CH140" s="67">
        <f t="shared" si="65"/>
        <v>-94.592530038645492</v>
      </c>
      <c r="CI140" s="67">
        <f t="shared" si="66"/>
        <v>-79.592530038645492</v>
      </c>
      <c r="CJ140" s="67">
        <f t="shared" si="67"/>
        <v>-1756630.0810148627</v>
      </c>
      <c r="CK140" s="67">
        <f t="shared" si="68"/>
        <v>-1545145.0810148627</v>
      </c>
      <c r="CL140" s="67">
        <f t="shared" si="69"/>
        <v>-1333660.0810148627</v>
      </c>
      <c r="CM140" s="67">
        <f t="shared" si="70"/>
        <v>-1122175.0810148627</v>
      </c>
      <c r="CN140" s="299"/>
      <c r="CO140" s="430">
        <v>48476.316066321939</v>
      </c>
      <c r="CP140" s="430">
        <v>3833.4044874864794</v>
      </c>
      <c r="CQ140" s="430">
        <v>3132.895</v>
      </c>
      <c r="CR140" s="430">
        <v>35061108.631456599</v>
      </c>
      <c r="CS140" s="430">
        <v>11993235.160108302</v>
      </c>
      <c r="CT140" s="430">
        <v>8491101.9244900998</v>
      </c>
      <c r="CU140" s="430">
        <v>2545954.3857871434</v>
      </c>
      <c r="CV140" s="430">
        <v>236434</v>
      </c>
      <c r="CW140" s="430">
        <v>129263.40502452815</v>
      </c>
      <c r="CX140" s="430">
        <v>2825.3</v>
      </c>
      <c r="CY140" s="430">
        <v>40654017.322988726</v>
      </c>
      <c r="CZ140" s="519"/>
      <c r="DA140" s="524">
        <v>49233.578950000003</v>
      </c>
      <c r="DB140" s="524">
        <v>3803.4282132942576</v>
      </c>
      <c r="DC140" s="520">
        <f t="shared" si="71"/>
        <v>-1</v>
      </c>
      <c r="DD140" s="440">
        <v>14203</v>
      </c>
      <c r="DE140" s="450">
        <v>39482290.617390767</v>
      </c>
      <c r="DF140" s="440">
        <v>20766599.516095772</v>
      </c>
      <c r="DG140" s="440">
        <v>3169554.6444999999</v>
      </c>
      <c r="DH140" s="440">
        <v>2294774.4038</v>
      </c>
      <c r="DI140" s="440">
        <v>11970810.148409577</v>
      </c>
      <c r="DJ140" s="440">
        <v>2560044.3750837445</v>
      </c>
      <c r="DK140" s="440">
        <v>1127635.3236815659</v>
      </c>
      <c r="DL140" s="440">
        <v>149401</v>
      </c>
      <c r="DM140" s="440">
        <v>-339000</v>
      </c>
      <c r="DN140" s="440">
        <v>126454.20783666601</v>
      </c>
      <c r="DO140" s="457">
        <f t="shared" si="72"/>
        <v>2343983.0020165592</v>
      </c>
      <c r="DP140" s="459">
        <f t="shared" si="73"/>
        <v>165.03435908023371</v>
      </c>
      <c r="DQ140" s="440"/>
      <c r="DR140" s="450">
        <v>95786700</v>
      </c>
      <c r="DS140" s="440">
        <v>48146583.621096544</v>
      </c>
      <c r="DT140" s="440">
        <v>3442161.6056999997</v>
      </c>
      <c r="DU140" s="440">
        <v>35038727.221456602</v>
      </c>
      <c r="DV140" s="440">
        <v>8538093.942846857</v>
      </c>
      <c r="DW140" s="440">
        <v>2979955.6444999999</v>
      </c>
      <c r="DX140" s="457">
        <f t="shared" si="74"/>
        <v>2358822.0356000066</v>
      </c>
      <c r="DY140" s="459">
        <f t="shared" si="75"/>
        <v>166.07914071675046</v>
      </c>
      <c r="DZ140" s="440"/>
      <c r="EA140" s="457">
        <f t="shared" si="76"/>
        <v>-14839.033583447337</v>
      </c>
      <c r="EB140" s="459">
        <f t="shared" si="77"/>
        <v>-1.0447816365167455</v>
      </c>
      <c r="ED140" s="457">
        <v>74004.681623711949</v>
      </c>
      <c r="EE140" s="458">
        <v>40762.041202587985</v>
      </c>
      <c r="EF140" s="458">
        <v>25299.709070969464</v>
      </c>
      <c r="EG140" s="458">
        <v>8394.7446675151405</v>
      </c>
      <c r="EH140" s="459">
        <v>-5470.2119563213491</v>
      </c>
    </row>
    <row r="141" spans="1:138" x14ac:dyDescent="0.2">
      <c r="A141" s="67">
        <v>410</v>
      </c>
      <c r="B141" s="67" t="s">
        <v>262</v>
      </c>
      <c r="C141" s="67">
        <v>13</v>
      </c>
      <c r="D141" s="67">
        <v>18775</v>
      </c>
      <c r="E141" s="82">
        <v>57378773.763304219</v>
      </c>
      <c r="F141" s="67">
        <v>28757744.227209859</v>
      </c>
      <c r="G141" s="67">
        <v>6145623</v>
      </c>
      <c r="H141" s="67">
        <v>2646974.1891761455</v>
      </c>
      <c r="I141" s="67">
        <v>21234214.924980529</v>
      </c>
      <c r="J141" s="67">
        <v>2718648.2973175347</v>
      </c>
      <c r="K141" s="67">
        <v>-3199093.3276624191</v>
      </c>
      <c r="L141" s="67">
        <v>-1171434</v>
      </c>
      <c r="M141" s="68">
        <v>495681.02</v>
      </c>
      <c r="N141" s="68">
        <v>180355.94066662903</v>
      </c>
      <c r="O141" s="68">
        <v>-546415.70443797496</v>
      </c>
      <c r="P141" s="168">
        <f t="shared" si="43"/>
        <v>-116475.19605391112</v>
      </c>
      <c r="Q141" s="169">
        <f t="shared" si="44"/>
        <v>-6.2037388044693005</v>
      </c>
      <c r="R141" s="67"/>
      <c r="S141" s="82">
        <v>128196135.40000001</v>
      </c>
      <c r="T141" s="67">
        <v>68001883.727680326</v>
      </c>
      <c r="U141" s="67">
        <v>3978275.8729713745</v>
      </c>
      <c r="V141" s="67">
        <v>38792287.275181606</v>
      </c>
      <c r="W141" s="67">
        <v>9067059.4564590249</v>
      </c>
      <c r="X141" s="67">
        <v>5469870.0199999996</v>
      </c>
      <c r="Y141" s="168">
        <f t="shared" si="45"/>
        <v>-2886759.0477076769</v>
      </c>
      <c r="Z141" s="169">
        <f t="shared" si="46"/>
        <v>-153.75547524408398</v>
      </c>
      <c r="AA141" s="67"/>
      <c r="AB141" s="77">
        <f t="shared" si="47"/>
        <v>2770283.8516537659</v>
      </c>
      <c r="AC141" s="123">
        <f t="shared" si="48"/>
        <v>147.5517364396147</v>
      </c>
      <c r="AE141" s="170"/>
      <c r="AF141" s="177">
        <v>-2467102.7671592962</v>
      </c>
      <c r="AG141" s="177">
        <v>-2234400.2839135802</v>
      </c>
      <c r="AH141" s="177">
        <v>-1981369.5734498131</v>
      </c>
      <c r="AI141" s="178">
        <v>-1732177.7509175227</v>
      </c>
      <c r="AK141" s="67">
        <f t="shared" si="49"/>
        <v>39244139.500470467</v>
      </c>
      <c r="AL141" s="67">
        <f t="shared" si="50"/>
        <v>1331301.6837952291</v>
      </c>
      <c r="AM141" s="67">
        <f t="shared" si="51"/>
        <v>17558072.350201078</v>
      </c>
      <c r="AN141" s="67">
        <f t="shared" si="52"/>
        <v>70817361.636695787</v>
      </c>
      <c r="AO141" s="67">
        <f t="shared" si="53"/>
        <v>0</v>
      </c>
      <c r="AP141" s="67">
        <f t="shared" si="54"/>
        <v>-2467102.7671592962</v>
      </c>
      <c r="AQ141" s="67">
        <f t="shared" si="55"/>
        <v>-2234400.2839135802</v>
      </c>
      <c r="AR141" s="67">
        <f t="shared" si="56"/>
        <v>-1981369.5734498131</v>
      </c>
      <c r="AS141" s="67">
        <f t="shared" si="57"/>
        <v>-1732177.7509175227</v>
      </c>
      <c r="AT141" s="68">
        <v>6776</v>
      </c>
      <c r="AU141" s="68"/>
      <c r="AV141" s="68"/>
      <c r="AW141" s="68">
        <v>5</v>
      </c>
      <c r="AX141" s="68">
        <v>13550.076702970933</v>
      </c>
      <c r="AY141" s="68">
        <v>-4645.5506137756493</v>
      </c>
      <c r="AZ141" s="68">
        <v>6386.9208506630357</v>
      </c>
      <c r="BA141" s="299"/>
      <c r="BB141" s="67"/>
      <c r="BC141" s="67"/>
      <c r="BD141" s="67"/>
      <c r="BE141" s="67"/>
      <c r="BF141" s="67"/>
      <c r="BG141" s="67"/>
      <c r="BH141" s="67"/>
      <c r="BN141" s="299"/>
      <c r="BO141" s="67">
        <v>56238165.655374743</v>
      </c>
      <c r="BP141" s="67">
        <v>63602871.339999989</v>
      </c>
      <c r="BQ141" s="67">
        <v>69791000</v>
      </c>
      <c r="BR141" s="67">
        <v>1799044.2399999998</v>
      </c>
      <c r="BS141" s="67">
        <v>1788000</v>
      </c>
      <c r="BT141" s="428">
        <v>0.57710371167991703</v>
      </c>
      <c r="BU141" s="428">
        <v>0.33464287704132489</v>
      </c>
      <c r="BV141" s="67">
        <f t="shared" si="58"/>
        <v>20707390.181680147</v>
      </c>
      <c r="BW141" s="299"/>
      <c r="BX141" s="67">
        <v>122966160</v>
      </c>
      <c r="BY141" s="67">
        <v>56238165.655374743</v>
      </c>
      <c r="BZ141" s="67">
        <v>76959749.688714102</v>
      </c>
      <c r="CA141" s="67">
        <v>37443017.493294977</v>
      </c>
      <c r="CB141" s="67">
        <f t="shared" si="59"/>
        <v>-1690329.2810455849</v>
      </c>
      <c r="CC141" s="67">
        <f t="shared" si="60"/>
        <v>-153.7554752440841</v>
      </c>
      <c r="CD141" s="67">
        <f t="shared" si="61"/>
        <v>103.25989640484119</v>
      </c>
      <c r="CE141" s="67">
        <f t="shared" si="62"/>
        <v>257.01537164892528</v>
      </c>
      <c r="CF141" s="67">
        <f t="shared" si="63"/>
        <v>-242.01537164892528</v>
      </c>
      <c r="CG141" s="67">
        <f t="shared" si="64"/>
        <v>-227.01537164892528</v>
      </c>
      <c r="CH141" s="67">
        <f t="shared" si="65"/>
        <v>-212.01537164892528</v>
      </c>
      <c r="CI141" s="67">
        <f t="shared" si="66"/>
        <v>-197.01537164892528</v>
      </c>
      <c r="CJ141" s="67">
        <f t="shared" si="67"/>
        <v>-4543838.6027085725</v>
      </c>
      <c r="CK141" s="67">
        <f t="shared" si="68"/>
        <v>-4262213.6027085725</v>
      </c>
      <c r="CL141" s="67">
        <f t="shared" si="69"/>
        <v>-3980588.6027085721</v>
      </c>
      <c r="CM141" s="67">
        <f t="shared" si="70"/>
        <v>-3698963.6027085721</v>
      </c>
      <c r="CN141" s="299"/>
      <c r="CO141" s="430">
        <v>68001.883727680324</v>
      </c>
      <c r="CP141" s="430">
        <v>3978.2758729713746</v>
      </c>
      <c r="CQ141" s="430">
        <v>6145.6229999999996</v>
      </c>
      <c r="CR141" s="430">
        <v>38792287.275181606</v>
      </c>
      <c r="CS141" s="430">
        <v>21234214.924980529</v>
      </c>
      <c r="CT141" s="430">
        <v>9067059.4564590249</v>
      </c>
      <c r="CU141" s="430">
        <v>2718648.2973175347</v>
      </c>
      <c r="CV141" s="430">
        <v>-1171434</v>
      </c>
      <c r="CW141" s="430">
        <v>180355.94066662903</v>
      </c>
      <c r="CX141" s="430">
        <v>495681.02</v>
      </c>
      <c r="CY141" s="430">
        <v>57378773.763304219</v>
      </c>
      <c r="CZ141" s="519"/>
      <c r="DA141" s="524">
        <v>67970.675340000002</v>
      </c>
      <c r="DB141" s="524">
        <v>3947.1663609114416</v>
      </c>
      <c r="DC141" s="520">
        <f t="shared" si="71"/>
        <v>-1</v>
      </c>
      <c r="DD141" s="440">
        <v>18788</v>
      </c>
      <c r="DE141" s="450">
        <v>56238165.655374743</v>
      </c>
      <c r="DF141" s="440">
        <v>28821275.231494978</v>
      </c>
      <c r="DG141" s="440">
        <v>6240244.125</v>
      </c>
      <c r="DH141" s="440">
        <v>2381498.1368</v>
      </c>
      <c r="DI141" s="440">
        <v>21204418.428493313</v>
      </c>
      <c r="DJ141" s="440">
        <v>2735139.7161404258</v>
      </c>
      <c r="DK141" s="440">
        <v>-1687202.4017858221</v>
      </c>
      <c r="DL141" s="440">
        <v>-1273901</v>
      </c>
      <c r="DM141" s="440">
        <v>255000</v>
      </c>
      <c r="DN141" s="440">
        <v>175167.10573527726</v>
      </c>
      <c r="DO141" s="457">
        <f t="shared" si="72"/>
        <v>2613473.6865034327</v>
      </c>
      <c r="DP141" s="459">
        <f t="shared" si="73"/>
        <v>139.10334716326554</v>
      </c>
      <c r="DQ141" s="440"/>
      <c r="DR141" s="450">
        <v>122966160</v>
      </c>
      <c r="DS141" s="440">
        <v>67147258.3585141</v>
      </c>
      <c r="DT141" s="440">
        <v>3572247.2052000002</v>
      </c>
      <c r="DU141" s="440">
        <v>38762514.865181625</v>
      </c>
      <c r="DV141" s="440">
        <v>9122060.5668034609</v>
      </c>
      <c r="DW141" s="440">
        <v>5221343.125</v>
      </c>
      <c r="DX141" s="457">
        <f t="shared" si="74"/>
        <v>859264.12069919705</v>
      </c>
      <c r="DY141" s="459">
        <f t="shared" si="75"/>
        <v>45.734730716371999</v>
      </c>
      <c r="DZ141" s="440"/>
      <c r="EA141" s="457">
        <f t="shared" si="76"/>
        <v>1754209.5658042356</v>
      </c>
      <c r="EB141" s="459">
        <f t="shared" si="77"/>
        <v>93.368616446893526</v>
      </c>
      <c r="ED141" s="457">
        <v>-1675944.1151684644</v>
      </c>
      <c r="EE141" s="458">
        <v>-1418468.7582203443</v>
      </c>
      <c r="EF141" s="458">
        <v>-1157102.6268459058</v>
      </c>
      <c r="EG141" s="458">
        <v>-897644.83702770539</v>
      </c>
      <c r="EH141" s="459">
        <v>-634165.66678540735</v>
      </c>
    </row>
    <row r="142" spans="1:138" x14ac:dyDescent="0.2">
      <c r="A142" s="67">
        <v>416</v>
      </c>
      <c r="B142" s="67" t="s">
        <v>263</v>
      </c>
      <c r="C142" s="67">
        <v>9</v>
      </c>
      <c r="D142" s="67">
        <v>2886</v>
      </c>
      <c r="E142" s="82">
        <v>7127613.7625474092</v>
      </c>
      <c r="F142" s="67">
        <v>4549512.8114496619</v>
      </c>
      <c r="G142" s="67">
        <v>962898</v>
      </c>
      <c r="H142" s="67">
        <v>353766.42229789705</v>
      </c>
      <c r="I142" s="67">
        <v>2202624.2272827053</v>
      </c>
      <c r="J142" s="67">
        <v>522594.68104558275</v>
      </c>
      <c r="K142" s="67">
        <v>-375483.45121920179</v>
      </c>
      <c r="L142" s="67">
        <v>-621063</v>
      </c>
      <c r="M142" s="68">
        <v>-53464.68</v>
      </c>
      <c r="N142" s="68">
        <v>26777.361896359391</v>
      </c>
      <c r="O142" s="68">
        <v>-83992.31547312894</v>
      </c>
      <c r="P142" s="168">
        <f t="shared" si="43"/>
        <v>356556.29473246646</v>
      </c>
      <c r="Q142" s="169">
        <f t="shared" si="44"/>
        <v>123.54687967167929</v>
      </c>
      <c r="R142" s="67"/>
      <c r="S142" s="82">
        <v>19042060.409999996</v>
      </c>
      <c r="T142" s="67">
        <v>10395801.901971322</v>
      </c>
      <c r="U142" s="67">
        <v>531694.04834021628</v>
      </c>
      <c r="V142" s="67">
        <v>6136241.2950158538</v>
      </c>
      <c r="W142" s="67">
        <v>1742923.8821898634</v>
      </c>
      <c r="X142" s="67">
        <v>288370.32</v>
      </c>
      <c r="Y142" s="168">
        <f t="shared" si="45"/>
        <v>52971.037517257035</v>
      </c>
      <c r="Z142" s="169">
        <f t="shared" si="46"/>
        <v>18.354482854212417</v>
      </c>
      <c r="AA142" s="67"/>
      <c r="AB142" s="77">
        <f t="shared" si="47"/>
        <v>303585.25721520942</v>
      </c>
      <c r="AC142" s="123">
        <f t="shared" si="48"/>
        <v>105.19239681746689</v>
      </c>
      <c r="AE142" s="170"/>
      <c r="AF142" s="177">
        <v>-256981.76268253039</v>
      </c>
      <c r="AG142" s="177">
        <v>-221211.88962542595</v>
      </c>
      <c r="AH142" s="177">
        <v>-182317.26217411127</v>
      </c>
      <c r="AI142" s="178">
        <v>-144012.7295600932</v>
      </c>
      <c r="AK142" s="67">
        <f t="shared" si="49"/>
        <v>5846289.0905216597</v>
      </c>
      <c r="AL142" s="67">
        <f t="shared" si="50"/>
        <v>177927.62604231923</v>
      </c>
      <c r="AM142" s="67">
        <f t="shared" si="51"/>
        <v>3933617.0677331486</v>
      </c>
      <c r="AN142" s="67">
        <f t="shared" si="52"/>
        <v>11914446.647452587</v>
      </c>
      <c r="AO142" s="67">
        <f t="shared" si="53"/>
        <v>0</v>
      </c>
      <c r="AP142" s="67">
        <f t="shared" si="54"/>
        <v>-256981.76268253039</v>
      </c>
      <c r="AQ142" s="67">
        <f t="shared" si="55"/>
        <v>-221211.88962542595</v>
      </c>
      <c r="AR142" s="67">
        <f t="shared" si="56"/>
        <v>-182317.26217411127</v>
      </c>
      <c r="AS142" s="67">
        <f t="shared" si="57"/>
        <v>-144012.7295600932</v>
      </c>
      <c r="AT142" s="68">
        <v>562</v>
      </c>
      <c r="AU142" s="68"/>
      <c r="AV142" s="68"/>
      <c r="AW142" s="68">
        <v>13</v>
      </c>
      <c r="AX142" s="68">
        <v>3150.8580106246877</v>
      </c>
      <c r="AY142" s="68">
        <v>-836.02201351087399</v>
      </c>
      <c r="AZ142" s="68">
        <v>1227.5206376045121</v>
      </c>
      <c r="BA142" s="299"/>
      <c r="BB142" s="67"/>
      <c r="BC142" s="67"/>
      <c r="BD142" s="67"/>
      <c r="BE142" s="67"/>
      <c r="BF142" s="67"/>
      <c r="BG142" s="67"/>
      <c r="BH142" s="67"/>
      <c r="BN142" s="299"/>
      <c r="BO142" s="67">
        <v>7078253.2302131429</v>
      </c>
      <c r="BP142" s="67">
        <v>10934508.879999997</v>
      </c>
      <c r="BQ142" s="67">
        <v>11451000</v>
      </c>
      <c r="BR142" s="67">
        <v>320267.49</v>
      </c>
      <c r="BS142" s="67">
        <v>340000</v>
      </c>
      <c r="BT142" s="428">
        <v>0.5623701899718816</v>
      </c>
      <c r="BU142" s="428">
        <v>0.33464287704132484</v>
      </c>
      <c r="BV142" s="67">
        <f t="shared" si="58"/>
        <v>4778462.8176582269</v>
      </c>
      <c r="BW142" s="299"/>
      <c r="BX142" s="67">
        <v>18860740</v>
      </c>
      <c r="BY142" s="67">
        <v>7078253.2302131429</v>
      </c>
      <c r="BZ142" s="67">
        <v>11981512.571950458</v>
      </c>
      <c r="CA142" s="67">
        <v>5948859.571468642</v>
      </c>
      <c r="CB142" s="67">
        <f t="shared" si="59"/>
        <v>-338077.53746163688</v>
      </c>
      <c r="CC142" s="67">
        <f t="shared" si="60"/>
        <v>18.354482854212961</v>
      </c>
      <c r="CD142" s="67">
        <f t="shared" si="61"/>
        <v>165.61140816464319</v>
      </c>
      <c r="CE142" s="67">
        <f t="shared" si="62"/>
        <v>147.25692531043023</v>
      </c>
      <c r="CF142" s="67">
        <f t="shared" si="63"/>
        <v>-132.25692531043023</v>
      </c>
      <c r="CG142" s="67">
        <f t="shared" si="64"/>
        <v>-117.25692531043023</v>
      </c>
      <c r="CH142" s="67">
        <f t="shared" si="65"/>
        <v>-102.25692531043023</v>
      </c>
      <c r="CI142" s="67">
        <f t="shared" si="66"/>
        <v>-87.256925310430233</v>
      </c>
      <c r="CJ142" s="67">
        <f t="shared" si="67"/>
        <v>-381693.48644590168</v>
      </c>
      <c r="CK142" s="67">
        <f t="shared" si="68"/>
        <v>-338403.48644590168</v>
      </c>
      <c r="CL142" s="67">
        <f t="shared" si="69"/>
        <v>-295113.48644590168</v>
      </c>
      <c r="CM142" s="67">
        <f t="shared" si="70"/>
        <v>-251823.48644590165</v>
      </c>
      <c r="CN142" s="299"/>
      <c r="CO142" s="430">
        <v>10395.801901971321</v>
      </c>
      <c r="CP142" s="430">
        <v>531.69404834021623</v>
      </c>
      <c r="CQ142" s="430">
        <v>962.89800000000002</v>
      </c>
      <c r="CR142" s="430">
        <v>6136241.2950158538</v>
      </c>
      <c r="CS142" s="430">
        <v>2202624.2272827053</v>
      </c>
      <c r="CT142" s="430">
        <v>1742923.8821898634</v>
      </c>
      <c r="CU142" s="430">
        <v>522594.68104558275</v>
      </c>
      <c r="CV142" s="430">
        <v>-621063</v>
      </c>
      <c r="CW142" s="430">
        <v>26777.361896359391</v>
      </c>
      <c r="CX142" s="430">
        <v>-53464.68</v>
      </c>
      <c r="CY142" s="430">
        <v>7127613.7625474092</v>
      </c>
      <c r="CZ142" s="519"/>
      <c r="DA142" s="524">
        <v>10315.843999999999</v>
      </c>
      <c r="DB142" s="524">
        <v>527.53566003756077</v>
      </c>
      <c r="DC142" s="520">
        <f t="shared" si="71"/>
        <v>-1</v>
      </c>
      <c r="DD142" s="440">
        <v>2917</v>
      </c>
      <c r="DE142" s="450">
        <v>7078253.2302131429</v>
      </c>
      <c r="DF142" s="440">
        <v>4661530.1869686423</v>
      </c>
      <c r="DG142" s="440">
        <v>969043.6682999999</v>
      </c>
      <c r="DH142" s="440">
        <v>318285.71620000002</v>
      </c>
      <c r="DI142" s="440">
        <v>2197946.1392005491</v>
      </c>
      <c r="DJ142" s="440">
        <v>525674.34712230344</v>
      </c>
      <c r="DK142" s="440">
        <v>-338058.75406148727</v>
      </c>
      <c r="DL142" s="440">
        <v>-621063</v>
      </c>
      <c r="DM142" s="440">
        <v>-57350</v>
      </c>
      <c r="DN142" s="440">
        <v>26741.137419306488</v>
      </c>
      <c r="DO142" s="457">
        <f t="shared" si="72"/>
        <v>604496.210936171</v>
      </c>
      <c r="DP142" s="459">
        <f t="shared" si="73"/>
        <v>207.2321600741073</v>
      </c>
      <c r="DQ142" s="440"/>
      <c r="DR142" s="450">
        <v>18860740</v>
      </c>
      <c r="DS142" s="440">
        <v>10535040.329350458</v>
      </c>
      <c r="DT142" s="440">
        <v>477428.57429999998</v>
      </c>
      <c r="DU142" s="440">
        <v>6131571.13501585</v>
      </c>
      <c r="DV142" s="440">
        <v>1753194.9847268155</v>
      </c>
      <c r="DW142" s="440">
        <v>290630.6682999999</v>
      </c>
      <c r="DX142" s="457">
        <f t="shared" si="74"/>
        <v>327125.69169312343</v>
      </c>
      <c r="DY142" s="459">
        <f t="shared" si="75"/>
        <v>112.14456348752945</v>
      </c>
      <c r="DZ142" s="440"/>
      <c r="EA142" s="457">
        <f t="shared" si="76"/>
        <v>277370.51924304757</v>
      </c>
      <c r="EB142" s="459">
        <f t="shared" si="77"/>
        <v>95.087596586577845</v>
      </c>
      <c r="ED142" s="457">
        <v>-265219.12902032182</v>
      </c>
      <c r="EE142" s="458">
        <v>-225243.84606217477</v>
      </c>
      <c r="EF142" s="458">
        <v>-184664.48661895373</v>
      </c>
      <c r="EG142" s="458">
        <v>-144381.4137586338</v>
      </c>
      <c r="EH142" s="459">
        <v>-103473.98669897958</v>
      </c>
    </row>
    <row r="143" spans="1:138" x14ac:dyDescent="0.2">
      <c r="A143" s="67">
        <v>418</v>
      </c>
      <c r="B143" s="67" t="s">
        <v>264</v>
      </c>
      <c r="C143" s="67">
        <v>6</v>
      </c>
      <c r="D143" s="67">
        <v>24580</v>
      </c>
      <c r="E143" s="82">
        <v>74360652.949048072</v>
      </c>
      <c r="F143" s="67">
        <v>39751485.770081386</v>
      </c>
      <c r="G143" s="67">
        <v>6280877</v>
      </c>
      <c r="H143" s="67">
        <v>4511445.986391196</v>
      </c>
      <c r="I143" s="67">
        <v>20746183.180091776</v>
      </c>
      <c r="J143" s="67">
        <v>2834189.2429537158</v>
      </c>
      <c r="K143" s="67">
        <v>505147.090106057</v>
      </c>
      <c r="L143" s="67">
        <v>-2266907</v>
      </c>
      <c r="M143" s="68">
        <v>313662.90000000002</v>
      </c>
      <c r="N143" s="68">
        <v>288690.79527316301</v>
      </c>
      <c r="O143" s="68">
        <v>-715360.74647592148</v>
      </c>
      <c r="P143" s="168">
        <f t="shared" si="43"/>
        <v>-2111238.7306266888</v>
      </c>
      <c r="Q143" s="169">
        <f t="shared" si="44"/>
        <v>-85.892543963656991</v>
      </c>
      <c r="R143" s="67"/>
      <c r="S143" s="82">
        <v>148973981.41000003</v>
      </c>
      <c r="T143" s="67">
        <v>102430436.82599717</v>
      </c>
      <c r="U143" s="67">
        <v>6780487.9976785015</v>
      </c>
      <c r="V143" s="67">
        <v>24300484.652439509</v>
      </c>
      <c r="W143" s="67">
        <v>9452404.1237969939</v>
      </c>
      <c r="X143" s="67">
        <v>4327632.9000000004</v>
      </c>
      <c r="Y143" s="168">
        <f t="shared" si="45"/>
        <v>-1682534.9100878537</v>
      </c>
      <c r="Z143" s="169">
        <f t="shared" si="46"/>
        <v>-68.451379580465982</v>
      </c>
      <c r="AA143" s="67"/>
      <c r="AB143" s="77">
        <f t="shared" si="47"/>
        <v>-428703.82053883513</v>
      </c>
      <c r="AC143" s="123">
        <f t="shared" si="48"/>
        <v>-17.441164383191015</v>
      </c>
      <c r="AE143" s="170"/>
      <c r="AF143" s="177">
        <v>88224.782289777955</v>
      </c>
      <c r="AG143" s="177">
        <v>-35827.797866648551</v>
      </c>
      <c r="AH143" s="177">
        <v>-73263.091437918803</v>
      </c>
      <c r="AI143" s="178">
        <v>-115724.21006142377</v>
      </c>
      <c r="AK143" s="67">
        <f t="shared" si="49"/>
        <v>62678951.055915788</v>
      </c>
      <c r="AL143" s="67">
        <f t="shared" si="50"/>
        <v>2269042.0112873055</v>
      </c>
      <c r="AM143" s="67">
        <f t="shared" si="51"/>
        <v>3554301.4723477326</v>
      </c>
      <c r="AN143" s="67">
        <f t="shared" si="52"/>
        <v>74613328.460951954</v>
      </c>
      <c r="AO143" s="67">
        <f t="shared" si="53"/>
        <v>0</v>
      </c>
      <c r="AP143" s="67">
        <f t="shared" si="54"/>
        <v>88224.782289777955</v>
      </c>
      <c r="AQ143" s="67">
        <f t="shared" si="55"/>
        <v>-35827.797866648551</v>
      </c>
      <c r="AR143" s="67">
        <f t="shared" si="56"/>
        <v>-73263.091437918803</v>
      </c>
      <c r="AS143" s="67">
        <f t="shared" si="57"/>
        <v>-115724.21006142377</v>
      </c>
      <c r="AT143" s="68">
        <v>10129</v>
      </c>
      <c r="AU143" s="68"/>
      <c r="AV143" s="68"/>
      <c r="AW143" s="68">
        <v>16</v>
      </c>
      <c r="AX143" s="68">
        <v>6320.5038022799454</v>
      </c>
      <c r="AY143" s="68">
        <v>2858.1414237336448</v>
      </c>
      <c r="AZ143" s="68">
        <v>6628.2272991883601</v>
      </c>
      <c r="BA143" s="299"/>
      <c r="BB143" s="67"/>
      <c r="BC143" s="67"/>
      <c r="BD143" s="67"/>
      <c r="BE143" s="67"/>
      <c r="BF143" s="67"/>
      <c r="BG143" s="67"/>
      <c r="BH143" s="67"/>
      <c r="BN143" s="299"/>
      <c r="BO143" s="67">
        <v>67979609.662687302</v>
      </c>
      <c r="BP143" s="67">
        <v>68733657.349999994</v>
      </c>
      <c r="BQ143" s="67">
        <v>71687000</v>
      </c>
      <c r="BR143" s="67">
        <v>1941409</v>
      </c>
      <c r="BS143" s="67">
        <v>1961000</v>
      </c>
      <c r="BT143" s="428">
        <v>0.61191724840919226</v>
      </c>
      <c r="BU143" s="428">
        <v>0.33464287704132484</v>
      </c>
      <c r="BV143" s="67">
        <f t="shared" si="58"/>
        <v>10677663.443297068</v>
      </c>
      <c r="BW143" s="299"/>
      <c r="BX143" s="67">
        <v>139393600</v>
      </c>
      <c r="BY143" s="67">
        <v>67979609.662687302</v>
      </c>
      <c r="BZ143" s="67">
        <v>110433739.76063107</v>
      </c>
      <c r="CA143" s="67">
        <v>48878206.900564425</v>
      </c>
      <c r="CB143" s="67">
        <f t="shared" si="59"/>
        <v>-40333.586250978231</v>
      </c>
      <c r="CC143" s="67">
        <f t="shared" si="60"/>
        <v>-68.45137958046567</v>
      </c>
      <c r="CD143" s="67">
        <f t="shared" si="61"/>
        <v>-78.98123110284034</v>
      </c>
      <c r="CE143" s="67">
        <f t="shared" si="62"/>
        <v>-10.52985152237467</v>
      </c>
      <c r="CF143" s="67">
        <f t="shared" si="63"/>
        <v>0</v>
      </c>
      <c r="CG143" s="67">
        <f t="shared" si="64"/>
        <v>0</v>
      </c>
      <c r="CH143" s="67">
        <f t="shared" si="65"/>
        <v>0</v>
      </c>
      <c r="CI143" s="67">
        <f t="shared" si="66"/>
        <v>0</v>
      </c>
      <c r="CJ143" s="67">
        <f t="shared" si="67"/>
        <v>0</v>
      </c>
      <c r="CK143" s="67">
        <f t="shared" si="68"/>
        <v>0</v>
      </c>
      <c r="CL143" s="67">
        <f t="shared" si="69"/>
        <v>0</v>
      </c>
      <c r="CM143" s="67">
        <f t="shared" si="70"/>
        <v>0</v>
      </c>
      <c r="CN143" s="299"/>
      <c r="CO143" s="430">
        <v>102430.43682599717</v>
      </c>
      <c r="CP143" s="430">
        <v>6780.4879976785014</v>
      </c>
      <c r="CQ143" s="430">
        <v>6280.8770000000004</v>
      </c>
      <c r="CR143" s="430">
        <v>24300484.652439509</v>
      </c>
      <c r="CS143" s="430">
        <v>20746183.180091776</v>
      </c>
      <c r="CT143" s="430">
        <v>9452404.1237969939</v>
      </c>
      <c r="CU143" s="430">
        <v>2834189.2429537158</v>
      </c>
      <c r="CV143" s="430">
        <v>-2266907</v>
      </c>
      <c r="CW143" s="430">
        <v>288690.79527316301</v>
      </c>
      <c r="CX143" s="430">
        <v>313662.90000000002</v>
      </c>
      <c r="CY143" s="430">
        <v>74360652.949048072</v>
      </c>
      <c r="CZ143" s="519"/>
      <c r="DA143" s="524">
        <v>103212.45779</v>
      </c>
      <c r="DB143" s="524">
        <v>6727.4702705194895</v>
      </c>
      <c r="DC143" s="520">
        <f t="shared" si="71"/>
        <v>-1</v>
      </c>
      <c r="DD143" s="440">
        <v>24164</v>
      </c>
      <c r="DE143" s="450">
        <v>67979609.662687302</v>
      </c>
      <c r="DF143" s="440">
        <v>38604728.221464425</v>
      </c>
      <c r="DG143" s="440">
        <v>6214504.3774999995</v>
      </c>
      <c r="DH143" s="440">
        <v>4058974.3015999999</v>
      </c>
      <c r="DI143" s="440">
        <v>20708455.794786386</v>
      </c>
      <c r="DJ143" s="440">
        <v>2838476.9684024276</v>
      </c>
      <c r="DK143" s="440">
        <v>-30706.780717447447</v>
      </c>
      <c r="DL143" s="440">
        <v>-2245054</v>
      </c>
      <c r="DM143" s="440">
        <v>137500</v>
      </c>
      <c r="DN143" s="440">
        <v>272859.21517418791</v>
      </c>
      <c r="DO143" s="457">
        <f t="shared" si="72"/>
        <v>2580128.4355226755</v>
      </c>
      <c r="DP143" s="459">
        <f t="shared" si="73"/>
        <v>106.77571741113539</v>
      </c>
      <c r="DQ143" s="440"/>
      <c r="DR143" s="450">
        <v>139393600</v>
      </c>
      <c r="DS143" s="440">
        <v>98130773.930731073</v>
      </c>
      <c r="DT143" s="440">
        <v>6088461.4523999998</v>
      </c>
      <c r="DU143" s="440">
        <v>24262784.532439496</v>
      </c>
      <c r="DV143" s="440">
        <v>9466704.2675907873</v>
      </c>
      <c r="DW143" s="440">
        <v>4106950.3774999995</v>
      </c>
      <c r="DX143" s="457">
        <f t="shared" si="74"/>
        <v>2662074.5606613457</v>
      </c>
      <c r="DY143" s="459">
        <f t="shared" si="75"/>
        <v>110.16696576151902</v>
      </c>
      <c r="DZ143" s="440"/>
      <c r="EA143" s="457">
        <f t="shared" si="76"/>
        <v>-81946.125138670206</v>
      </c>
      <c r="EB143" s="459">
        <f t="shared" si="77"/>
        <v>-3.3912483503836373</v>
      </c>
      <c r="ED143" s="457">
        <v>182606.45881778144</v>
      </c>
      <c r="EE143" s="458">
        <v>69349.712287498129</v>
      </c>
      <c r="EF143" s="458">
        <v>43043.171864458644</v>
      </c>
      <c r="EG143" s="458">
        <v>14282.236861637391</v>
      </c>
      <c r="EH143" s="459">
        <v>-9306.6395629479048</v>
      </c>
    </row>
    <row r="144" spans="1:138" x14ac:dyDescent="0.2">
      <c r="A144" s="67">
        <v>420</v>
      </c>
      <c r="B144" s="67" t="s">
        <v>265</v>
      </c>
      <c r="C144" s="67">
        <v>11</v>
      </c>
      <c r="D144" s="67">
        <v>9177</v>
      </c>
      <c r="E144" s="82">
        <v>18416472.938552514</v>
      </c>
      <c r="F144" s="67">
        <v>13102196.642716862</v>
      </c>
      <c r="G144" s="67">
        <v>2779964</v>
      </c>
      <c r="H144" s="67">
        <v>2445478.2522771456</v>
      </c>
      <c r="I144" s="67">
        <v>2997786.0921220947</v>
      </c>
      <c r="J144" s="67">
        <v>1722284.7525844411</v>
      </c>
      <c r="K144" s="67">
        <v>-1590794.3760832108</v>
      </c>
      <c r="L144" s="67">
        <v>-1186772</v>
      </c>
      <c r="M144" s="68">
        <v>795342.55</v>
      </c>
      <c r="N144" s="68">
        <v>89008.82888214555</v>
      </c>
      <c r="O144" s="68">
        <v>-267081.59358867089</v>
      </c>
      <c r="P144" s="168">
        <f t="shared" si="43"/>
        <v>2470940.2103582937</v>
      </c>
      <c r="Q144" s="169">
        <f t="shared" si="44"/>
        <v>269.25359162670742</v>
      </c>
      <c r="R144" s="67"/>
      <c r="S144" s="82">
        <v>66510834.990000002</v>
      </c>
      <c r="T144" s="67">
        <v>31896931.677733112</v>
      </c>
      <c r="U144" s="67">
        <v>3675437.0967018753</v>
      </c>
      <c r="V144" s="67">
        <v>24087620.327098124</v>
      </c>
      <c r="W144" s="67">
        <v>5744052.3910518959</v>
      </c>
      <c r="X144" s="67">
        <v>2388534.5499999998</v>
      </c>
      <c r="Y144" s="168">
        <f t="shared" si="45"/>
        <v>1281741.0525849983</v>
      </c>
      <c r="Z144" s="169">
        <f t="shared" si="46"/>
        <v>139.66885175819965</v>
      </c>
      <c r="AA144" s="67"/>
      <c r="AB144" s="77">
        <f t="shared" si="47"/>
        <v>1189199.1577732954</v>
      </c>
      <c r="AC144" s="123">
        <f t="shared" si="48"/>
        <v>129.58473986850774</v>
      </c>
      <c r="AE144" s="170"/>
      <c r="AF144" s="177">
        <v>-1041007.7962603468</v>
      </c>
      <c r="AG144" s="177">
        <v>-927265.54918999074</v>
      </c>
      <c r="AH144" s="177">
        <v>-803587.10285571683</v>
      </c>
      <c r="AI144" s="178">
        <v>-681785.05995937448</v>
      </c>
      <c r="AK144" s="67">
        <f t="shared" si="49"/>
        <v>18794735.03501625</v>
      </c>
      <c r="AL144" s="67">
        <f t="shared" si="50"/>
        <v>1229958.8444247297</v>
      </c>
      <c r="AM144" s="67">
        <f t="shared" si="51"/>
        <v>21089834.234976031</v>
      </c>
      <c r="AN144" s="67">
        <f t="shared" si="52"/>
        <v>48094362.051447488</v>
      </c>
      <c r="AO144" s="67">
        <f t="shared" si="53"/>
        <v>0</v>
      </c>
      <c r="AP144" s="67">
        <f t="shared" si="54"/>
        <v>-1041007.7962603468</v>
      </c>
      <c r="AQ144" s="67">
        <f t="shared" si="55"/>
        <v>-927265.54918999074</v>
      </c>
      <c r="AR144" s="67">
        <f t="shared" si="56"/>
        <v>-803587.10285571683</v>
      </c>
      <c r="AS144" s="67">
        <f t="shared" si="57"/>
        <v>-681785.05995937448</v>
      </c>
      <c r="AT144" s="68">
        <v>3581</v>
      </c>
      <c r="AU144" s="68"/>
      <c r="AV144" s="68"/>
      <c r="AW144" s="68">
        <v>20</v>
      </c>
      <c r="AX144" s="68">
        <v>19177.467993225993</v>
      </c>
      <c r="AY144" s="68">
        <v>-2041.0358154678649</v>
      </c>
      <c r="AZ144" s="68">
        <v>4028.9343776411451</v>
      </c>
      <c r="BA144" s="299"/>
      <c r="BB144" s="67"/>
      <c r="BC144" s="67"/>
      <c r="BD144" s="67"/>
      <c r="BE144" s="67"/>
      <c r="BF144" s="67"/>
      <c r="BG144" s="67"/>
      <c r="BH144" s="67"/>
      <c r="BN144" s="299"/>
      <c r="BO144" s="67">
        <v>19527684.728156477</v>
      </c>
      <c r="BP144" s="67">
        <v>48541780.510000013</v>
      </c>
      <c r="BQ144" s="67">
        <v>43269000</v>
      </c>
      <c r="BR144" s="67">
        <v>596636.08000000007</v>
      </c>
      <c r="BS144" s="67">
        <v>624000</v>
      </c>
      <c r="BT144" s="428">
        <v>0.58923332265644357</v>
      </c>
      <c r="BU144" s="428">
        <v>0.33464287704132484</v>
      </c>
      <c r="BV144" s="67">
        <f t="shared" si="58"/>
        <v>23520807.497360274</v>
      </c>
      <c r="BW144" s="299"/>
      <c r="BX144" s="67">
        <v>66414180.509999998</v>
      </c>
      <c r="BY144" s="67">
        <v>19527684.728156477</v>
      </c>
      <c r="BZ144" s="67">
        <v>38214175.100576364</v>
      </c>
      <c r="CA144" s="67">
        <v>18318165.18119869</v>
      </c>
      <c r="CB144" s="67">
        <f t="shared" si="59"/>
        <v>-1101622.7714545983</v>
      </c>
      <c r="CC144" s="67">
        <f t="shared" si="60"/>
        <v>139.66885175820079</v>
      </c>
      <c r="CD144" s="67">
        <f t="shared" si="61"/>
        <v>351.66104484859733</v>
      </c>
      <c r="CE144" s="67">
        <f t="shared" si="62"/>
        <v>211.99219309039654</v>
      </c>
      <c r="CF144" s="67">
        <f t="shared" si="63"/>
        <v>-196.99219309039654</v>
      </c>
      <c r="CG144" s="67">
        <f t="shared" si="64"/>
        <v>-181.99219309039654</v>
      </c>
      <c r="CH144" s="67">
        <f t="shared" si="65"/>
        <v>-166.99219309039654</v>
      </c>
      <c r="CI144" s="67">
        <f t="shared" si="66"/>
        <v>-151.99219309039654</v>
      </c>
      <c r="CJ144" s="67">
        <f t="shared" si="67"/>
        <v>-1807797.3559905691</v>
      </c>
      <c r="CK144" s="67">
        <f t="shared" si="68"/>
        <v>-1670142.3559905691</v>
      </c>
      <c r="CL144" s="67">
        <f t="shared" si="69"/>
        <v>-1532487.3559905691</v>
      </c>
      <c r="CM144" s="67">
        <f t="shared" si="70"/>
        <v>-1394832.3559905691</v>
      </c>
      <c r="CN144" s="299"/>
      <c r="CO144" s="430">
        <v>31896.931677733111</v>
      </c>
      <c r="CP144" s="430">
        <v>3675.4370967018754</v>
      </c>
      <c r="CQ144" s="430">
        <v>2779.9639999999999</v>
      </c>
      <c r="CR144" s="430">
        <v>24087620.327098124</v>
      </c>
      <c r="CS144" s="430">
        <v>2997786.0921220947</v>
      </c>
      <c r="CT144" s="430">
        <v>5744052.3910518959</v>
      </c>
      <c r="CU144" s="430">
        <v>1722284.7525844411</v>
      </c>
      <c r="CV144" s="430">
        <v>-1186772</v>
      </c>
      <c r="CW144" s="430">
        <v>89008.82888214555</v>
      </c>
      <c r="CX144" s="430">
        <v>795342.55</v>
      </c>
      <c r="CY144" s="430">
        <v>18416472.938552514</v>
      </c>
      <c r="CZ144" s="519"/>
      <c r="DA144" s="524">
        <v>32174.255390000002</v>
      </c>
      <c r="DB144" s="524">
        <v>3646.694655409261</v>
      </c>
      <c r="DC144" s="520">
        <f t="shared" si="71"/>
        <v>-1</v>
      </c>
      <c r="DD144" s="440">
        <v>9280</v>
      </c>
      <c r="DE144" s="450">
        <v>19527684.728156477</v>
      </c>
      <c r="DF144" s="440">
        <v>13323688.087098692</v>
      </c>
      <c r="DG144" s="440">
        <v>2794266.0285</v>
      </c>
      <c r="DH144" s="440">
        <v>2200211.0655999999</v>
      </c>
      <c r="DI144" s="440">
        <v>2983020.8300094479</v>
      </c>
      <c r="DJ144" s="440">
        <v>1725353.8422768824</v>
      </c>
      <c r="DK144" s="440">
        <v>-1101132.1184625868</v>
      </c>
      <c r="DL144" s="440">
        <v>-991439</v>
      </c>
      <c r="DM144" s="440">
        <v>480200</v>
      </c>
      <c r="DN144" s="440">
        <v>88193.691118562652</v>
      </c>
      <c r="DO144" s="457">
        <f t="shared" si="72"/>
        <v>1974677.6979845203</v>
      </c>
      <c r="DP144" s="459">
        <f t="shared" si="73"/>
        <v>212.78854504143538</v>
      </c>
      <c r="DQ144" s="440"/>
      <c r="DR144" s="450">
        <v>66414180.509999998</v>
      </c>
      <c r="DS144" s="440">
        <v>32119592.473676369</v>
      </c>
      <c r="DT144" s="440">
        <v>3300316.5984</v>
      </c>
      <c r="DU144" s="440">
        <v>24072901.267098118</v>
      </c>
      <c r="DV144" s="440">
        <v>5754288.2199180275</v>
      </c>
      <c r="DW144" s="440">
        <v>2283027.0285</v>
      </c>
      <c r="DX144" s="457">
        <f t="shared" si="74"/>
        <v>1115945.0775925145</v>
      </c>
      <c r="DY144" s="459">
        <f t="shared" si="75"/>
        <v>120.25270232677957</v>
      </c>
      <c r="DZ144" s="440"/>
      <c r="EA144" s="457">
        <f t="shared" si="76"/>
        <v>858732.62039200589</v>
      </c>
      <c r="EB144" s="459">
        <f t="shared" si="77"/>
        <v>92.535842714655814</v>
      </c>
      <c r="ED144" s="457">
        <v>-820074.78656721895</v>
      </c>
      <c r="EE144" s="458">
        <v>-692899.39203461551</v>
      </c>
      <c r="EF144" s="458">
        <v>-563802.2183516908</v>
      </c>
      <c r="EG144" s="458">
        <v>-435647.63619750191</v>
      </c>
      <c r="EH144" s="459">
        <v>-305506.76437247929</v>
      </c>
    </row>
    <row r="145" spans="1:138" x14ac:dyDescent="0.2">
      <c r="A145" s="67">
        <v>421</v>
      </c>
      <c r="B145" s="67" t="s">
        <v>266</v>
      </c>
      <c r="C145" s="67">
        <v>16</v>
      </c>
      <c r="D145" s="67">
        <v>695</v>
      </c>
      <c r="E145" s="82">
        <v>2610874.389796563</v>
      </c>
      <c r="F145" s="67">
        <v>739057.14803044323</v>
      </c>
      <c r="G145" s="67">
        <v>283471</v>
      </c>
      <c r="H145" s="67">
        <v>382880.92776208505</v>
      </c>
      <c r="I145" s="67">
        <v>801748.79818766192</v>
      </c>
      <c r="J145" s="67">
        <v>168347.76836910687</v>
      </c>
      <c r="K145" s="67">
        <v>-242015.02502842923</v>
      </c>
      <c r="L145" s="67">
        <v>-188960</v>
      </c>
      <c r="M145" s="68">
        <v>0</v>
      </c>
      <c r="N145" s="68">
        <v>5386.4185607274703</v>
      </c>
      <c r="O145" s="68">
        <v>-20226.839658289886</v>
      </c>
      <c r="P145" s="168">
        <f t="shared" si="43"/>
        <v>-681184.19357325765</v>
      </c>
      <c r="Q145" s="169">
        <f t="shared" si="44"/>
        <v>-980.12114183202539</v>
      </c>
      <c r="R145" s="67"/>
      <c r="S145" s="82">
        <v>6389732.1999999983</v>
      </c>
      <c r="T145" s="67">
        <v>1758291.7523541234</v>
      </c>
      <c r="U145" s="67">
        <v>575451.7604914339</v>
      </c>
      <c r="V145" s="67">
        <v>2463674.7759963665</v>
      </c>
      <c r="W145" s="67">
        <v>561462.55720939999</v>
      </c>
      <c r="X145" s="67">
        <v>94511</v>
      </c>
      <c r="Y145" s="168">
        <f t="shared" si="45"/>
        <v>-936340.35394867416</v>
      </c>
      <c r="Z145" s="169">
        <f t="shared" si="46"/>
        <v>-1347.252307839819</v>
      </c>
      <c r="AA145" s="67"/>
      <c r="AB145" s="77">
        <f t="shared" si="47"/>
        <v>255156.16037541651</v>
      </c>
      <c r="AC145" s="123">
        <f t="shared" si="48"/>
        <v>367.13116600779352</v>
      </c>
      <c r="AE145" s="170"/>
      <c r="AF145" s="177">
        <v>-243933.21210784581</v>
      </c>
      <c r="AG145" s="177">
        <v>-235319.19208889655</v>
      </c>
      <c r="AH145" s="177">
        <v>-225952.67577612324</v>
      </c>
      <c r="AI145" s="178">
        <v>-216728.26476893597</v>
      </c>
      <c r="AK145" s="67">
        <f t="shared" si="49"/>
        <v>1019234.6043236802</v>
      </c>
      <c r="AL145" s="67">
        <f t="shared" si="50"/>
        <v>192570.83272934885</v>
      </c>
      <c r="AM145" s="67">
        <f t="shared" si="51"/>
        <v>1661925.9778087046</v>
      </c>
      <c r="AN145" s="67">
        <f t="shared" si="52"/>
        <v>3778857.8102034354</v>
      </c>
      <c r="AO145" s="67">
        <f t="shared" si="53"/>
        <v>0</v>
      </c>
      <c r="AP145" s="67">
        <f t="shared" si="54"/>
        <v>-243933.21210784581</v>
      </c>
      <c r="AQ145" s="67">
        <f t="shared" si="55"/>
        <v>-235319.19208889655</v>
      </c>
      <c r="AR145" s="67">
        <f t="shared" si="56"/>
        <v>-225952.67577612324</v>
      </c>
      <c r="AS145" s="67">
        <f t="shared" si="57"/>
        <v>-216728.26476893597</v>
      </c>
      <c r="AT145" s="68">
        <v>434</v>
      </c>
      <c r="AU145" s="68"/>
      <c r="AV145" s="68"/>
      <c r="AW145" s="68">
        <v>7</v>
      </c>
      <c r="AX145" s="68">
        <v>1456.7399883263838</v>
      </c>
      <c r="AY145" s="68">
        <v>-298.99879983878623</v>
      </c>
      <c r="AZ145" s="68">
        <v>394.69318713263459</v>
      </c>
      <c r="BA145" s="299"/>
      <c r="BB145" s="67"/>
      <c r="BC145" s="67"/>
      <c r="BD145" s="67"/>
      <c r="BE145" s="67"/>
      <c r="BF145" s="67"/>
      <c r="BG145" s="67"/>
      <c r="BH145" s="67"/>
      <c r="BN145" s="299"/>
      <c r="BO145" s="67">
        <v>3576438.0074096886</v>
      </c>
      <c r="BP145" s="67">
        <v>3274471.3700000006</v>
      </c>
      <c r="BQ145" s="67">
        <v>3643000</v>
      </c>
      <c r="BR145" s="67">
        <v>159380.51</v>
      </c>
      <c r="BS145" s="67">
        <v>232000</v>
      </c>
      <c r="BT145" s="428">
        <v>0.57967319869359446</v>
      </c>
      <c r="BU145" s="428">
        <v>0.33464287704132489</v>
      </c>
      <c r="BV145" s="67">
        <f t="shared" si="58"/>
        <v>1813025.7416205686</v>
      </c>
      <c r="BW145" s="299"/>
      <c r="BX145" s="67">
        <v>6924635</v>
      </c>
      <c r="BY145" s="67">
        <v>3576438.0074096886</v>
      </c>
      <c r="BZ145" s="67">
        <v>2763585.0119003579</v>
      </c>
      <c r="CA145" s="67">
        <v>1461197.7576621159</v>
      </c>
      <c r="CB145" s="67">
        <f t="shared" si="59"/>
        <v>59360.575310123095</v>
      </c>
      <c r="CC145" s="67">
        <f t="shared" si="60"/>
        <v>-1347.252307839819</v>
      </c>
      <c r="CD145" s="67">
        <f t="shared" si="61"/>
        <v>-517.38381809556165</v>
      </c>
      <c r="CE145" s="67">
        <f t="shared" si="62"/>
        <v>829.86848974425732</v>
      </c>
      <c r="CF145" s="67">
        <f t="shared" si="63"/>
        <v>-814.86848974425732</v>
      </c>
      <c r="CG145" s="67">
        <f t="shared" si="64"/>
        <v>-799.86848974425732</v>
      </c>
      <c r="CH145" s="67">
        <f t="shared" si="65"/>
        <v>-784.86848974425732</v>
      </c>
      <c r="CI145" s="67">
        <f t="shared" si="66"/>
        <v>-769.86848974425732</v>
      </c>
      <c r="CJ145" s="67">
        <f t="shared" si="67"/>
        <v>-566333.60037225881</v>
      </c>
      <c r="CK145" s="67">
        <f t="shared" si="68"/>
        <v>-555908.60037225881</v>
      </c>
      <c r="CL145" s="67">
        <f t="shared" si="69"/>
        <v>-545483.60037225881</v>
      </c>
      <c r="CM145" s="67">
        <f t="shared" si="70"/>
        <v>-535058.60037225881</v>
      </c>
      <c r="CN145" s="299"/>
      <c r="CO145" s="430">
        <v>1758.2917523541234</v>
      </c>
      <c r="CP145" s="430">
        <v>575.4517604914339</v>
      </c>
      <c r="CQ145" s="430">
        <v>283.471</v>
      </c>
      <c r="CR145" s="430">
        <v>2463674.7759963665</v>
      </c>
      <c r="CS145" s="430">
        <v>801748.79818766192</v>
      </c>
      <c r="CT145" s="430">
        <v>561462.55720939999</v>
      </c>
      <c r="CU145" s="430">
        <v>168347.76836910687</v>
      </c>
      <c r="CV145" s="430">
        <v>-188960</v>
      </c>
      <c r="CW145" s="430">
        <v>5386.4185607274703</v>
      </c>
      <c r="CX145" s="430">
        <v>0</v>
      </c>
      <c r="CY145" s="430">
        <v>2610874.389796563</v>
      </c>
      <c r="CZ145" s="519"/>
      <c r="DA145" s="524">
        <v>1895.6502800000001</v>
      </c>
      <c r="DB145" s="524">
        <v>570.95146113047019</v>
      </c>
      <c r="DC145" s="520">
        <f t="shared" si="71"/>
        <v>-1</v>
      </c>
      <c r="DD145" s="440">
        <v>719</v>
      </c>
      <c r="DE145" s="450">
        <v>3576438.0074096886</v>
      </c>
      <c r="DF145" s="440">
        <v>831020.06486211566</v>
      </c>
      <c r="DG145" s="440">
        <v>285697.48600000003</v>
      </c>
      <c r="DH145" s="440">
        <v>344480.20679999999</v>
      </c>
      <c r="DI145" s="440">
        <v>800615.46592198033</v>
      </c>
      <c r="DJ145" s="440">
        <v>169023.70282300352</v>
      </c>
      <c r="DK145" s="440">
        <v>59124.580471354551</v>
      </c>
      <c r="DL145" s="440">
        <v>-188960</v>
      </c>
      <c r="DM145" s="440">
        <v>-45800</v>
      </c>
      <c r="DN145" s="440">
        <v>5773.1343964183761</v>
      </c>
      <c r="DO145" s="457">
        <f t="shared" si="72"/>
        <v>-1315463.3661348158</v>
      </c>
      <c r="DP145" s="459">
        <f t="shared" si="73"/>
        <v>-1829.5735273085061</v>
      </c>
      <c r="DQ145" s="440"/>
      <c r="DR145" s="450">
        <v>6924635</v>
      </c>
      <c r="DS145" s="440">
        <v>1961167.2157003579</v>
      </c>
      <c r="DT145" s="440">
        <v>516720.31020000001</v>
      </c>
      <c r="DU145" s="440">
        <v>2462545.175996366</v>
      </c>
      <c r="DV145" s="440">
        <v>563716.88995563809</v>
      </c>
      <c r="DW145" s="440">
        <v>50937.486000000034</v>
      </c>
      <c r="DX145" s="457">
        <f t="shared" si="74"/>
        <v>-1369547.9221476382</v>
      </c>
      <c r="DY145" s="459">
        <f t="shared" si="75"/>
        <v>-1904.7954410954633</v>
      </c>
      <c r="DZ145" s="440"/>
      <c r="EA145" s="457">
        <f t="shared" si="76"/>
        <v>54084.556012822315</v>
      </c>
      <c r="EB145" s="459">
        <f t="shared" si="77"/>
        <v>75.221913786957316</v>
      </c>
      <c r="ED145" s="457">
        <v>-51089.407034372576</v>
      </c>
      <c r="EE145" s="458">
        <v>-41236.054807115914</v>
      </c>
      <c r="EF145" s="458">
        <v>-31233.806113363444</v>
      </c>
      <c r="EG145" s="458">
        <v>-21304.587948615408</v>
      </c>
      <c r="EH145" s="459">
        <v>-11221.475142344792</v>
      </c>
    </row>
    <row r="146" spans="1:138" x14ac:dyDescent="0.2">
      <c r="A146" s="67">
        <v>422</v>
      </c>
      <c r="B146" s="67" t="s">
        <v>267</v>
      </c>
      <c r="C146" s="67">
        <v>12</v>
      </c>
      <c r="D146" s="67">
        <v>10372</v>
      </c>
      <c r="E146" s="82">
        <v>25221703.069415554</v>
      </c>
      <c r="F146" s="67">
        <v>12960553.035137592</v>
      </c>
      <c r="G146" s="67">
        <v>3411225</v>
      </c>
      <c r="H146" s="67">
        <v>3717475.8838304142</v>
      </c>
      <c r="I146" s="67">
        <v>3961043.5502648246</v>
      </c>
      <c r="J146" s="67">
        <v>2050201.4227373954</v>
      </c>
      <c r="K146" s="67">
        <v>-653435.19046852773</v>
      </c>
      <c r="L146" s="67">
        <v>-426638</v>
      </c>
      <c r="M146" s="68">
        <v>762531.98</v>
      </c>
      <c r="N146" s="68">
        <v>90656.020094611027</v>
      </c>
      <c r="O146" s="68">
        <v>-301860.11645436363</v>
      </c>
      <c r="P146" s="168">
        <f t="shared" si="43"/>
        <v>350050.51572639419</v>
      </c>
      <c r="Q146" s="169">
        <f t="shared" si="44"/>
        <v>33.749567655842093</v>
      </c>
      <c r="R146" s="67"/>
      <c r="S146" s="82">
        <v>83407906.799999997</v>
      </c>
      <c r="T146" s="67">
        <v>31486109.566457126</v>
      </c>
      <c r="U146" s="67">
        <v>5587188.8277076483</v>
      </c>
      <c r="V146" s="67">
        <v>35943929.611101776</v>
      </c>
      <c r="W146" s="67">
        <v>6837698.7990755327</v>
      </c>
      <c r="X146" s="67">
        <v>3747118.98</v>
      </c>
      <c r="Y146" s="168">
        <f t="shared" si="45"/>
        <v>194138.98434208333</v>
      </c>
      <c r="Z146" s="169">
        <f t="shared" si="46"/>
        <v>18.717603580995309</v>
      </c>
      <c r="AA146" s="67"/>
      <c r="AB146" s="77">
        <f t="shared" si="47"/>
        <v>155911.53138431086</v>
      </c>
      <c r="AC146" s="123">
        <f t="shared" si="48"/>
        <v>15.031964074846785</v>
      </c>
      <c r="AE146" s="170"/>
      <c r="AF146" s="177">
        <v>11576.841898067818</v>
      </c>
      <c r="AG146" s="177">
        <v>-15118.222924039004</v>
      </c>
      <c r="AH146" s="177">
        <v>-30914.759332550602</v>
      </c>
      <c r="AI146" s="178">
        <v>-48832.038517375404</v>
      </c>
      <c r="AK146" s="67">
        <f t="shared" si="49"/>
        <v>18525556.531319536</v>
      </c>
      <c r="AL146" s="67">
        <f t="shared" si="50"/>
        <v>1869712.9438772341</v>
      </c>
      <c r="AM146" s="67">
        <f t="shared" si="51"/>
        <v>31982886.060836952</v>
      </c>
      <c r="AN146" s="67">
        <f t="shared" si="52"/>
        <v>58186203.730584443</v>
      </c>
      <c r="AO146" s="67">
        <f t="shared" si="53"/>
        <v>0</v>
      </c>
      <c r="AP146" s="67">
        <f t="shared" si="54"/>
        <v>11576.841898067818</v>
      </c>
      <c r="AQ146" s="67">
        <f t="shared" si="55"/>
        <v>-15118.222924039004</v>
      </c>
      <c r="AR146" s="67">
        <f t="shared" si="56"/>
        <v>-30914.759332550602</v>
      </c>
      <c r="AS146" s="67">
        <f t="shared" si="57"/>
        <v>-48832.038517375404</v>
      </c>
      <c r="AT146" s="68">
        <v>4003</v>
      </c>
      <c r="AU146" s="68"/>
      <c r="AV146" s="68"/>
      <c r="AW146" s="68">
        <v>0</v>
      </c>
      <c r="AX146" s="68">
        <v>28220.664979477748</v>
      </c>
      <c r="AY146" s="68">
        <v>-3482.5091524311711</v>
      </c>
      <c r="AZ146" s="68">
        <v>4794.4676466328192</v>
      </c>
      <c r="BA146" s="299"/>
      <c r="BB146" s="67"/>
      <c r="BC146" s="67"/>
      <c r="BD146" s="67"/>
      <c r="BE146" s="67"/>
      <c r="BF146" s="67"/>
      <c r="BG146" s="67"/>
      <c r="BH146" s="67"/>
      <c r="BN146" s="299"/>
      <c r="BO146" s="67">
        <v>23381609.390801221</v>
      </c>
      <c r="BP146" s="67">
        <v>52626929.759999998</v>
      </c>
      <c r="BQ146" s="67">
        <v>57693000</v>
      </c>
      <c r="BR146" s="67">
        <v>1081647.08</v>
      </c>
      <c r="BS146" s="67">
        <v>1149000</v>
      </c>
      <c r="BT146" s="428">
        <v>0.58837235804626797</v>
      </c>
      <c r="BU146" s="428">
        <v>0.33464287704132478</v>
      </c>
      <c r="BV146" s="67">
        <f t="shared" si="58"/>
        <v>36116948.24670656</v>
      </c>
      <c r="BW146" s="299"/>
      <c r="BX146" s="67">
        <v>78219295</v>
      </c>
      <c r="BY146" s="67">
        <v>23381609.390801221</v>
      </c>
      <c r="BZ146" s="67">
        <v>41984753.451312043</v>
      </c>
      <c r="CA146" s="67">
        <v>20654923.836504757</v>
      </c>
      <c r="CB146" s="67">
        <f t="shared" si="59"/>
        <v>1736777.919070815</v>
      </c>
      <c r="CC146" s="67">
        <f t="shared" si="60"/>
        <v>18.717603580995263</v>
      </c>
      <c r="CD146" s="67">
        <f t="shared" si="61"/>
        <v>293.30155627845141</v>
      </c>
      <c r="CE146" s="67">
        <f t="shared" si="62"/>
        <v>274.58395269745614</v>
      </c>
      <c r="CF146" s="67">
        <f t="shared" si="63"/>
        <v>-259.58395269745614</v>
      </c>
      <c r="CG146" s="67">
        <f t="shared" si="64"/>
        <v>-244.58395269745614</v>
      </c>
      <c r="CH146" s="67">
        <f t="shared" si="65"/>
        <v>-229.58395269745614</v>
      </c>
      <c r="CI146" s="67">
        <f t="shared" si="66"/>
        <v>-214.58395269745614</v>
      </c>
      <c r="CJ146" s="67">
        <f t="shared" si="67"/>
        <v>-2692404.7573780152</v>
      </c>
      <c r="CK146" s="67">
        <f t="shared" si="68"/>
        <v>-2536824.7573780152</v>
      </c>
      <c r="CL146" s="67">
        <f t="shared" si="69"/>
        <v>-2381244.7573780152</v>
      </c>
      <c r="CM146" s="67">
        <f t="shared" si="70"/>
        <v>-2225664.7573780152</v>
      </c>
      <c r="CN146" s="299"/>
      <c r="CO146" s="430">
        <v>31486.109566457126</v>
      </c>
      <c r="CP146" s="430">
        <v>5587.1888277076487</v>
      </c>
      <c r="CQ146" s="430">
        <v>3411.2249999999999</v>
      </c>
      <c r="CR146" s="430">
        <v>35943929.611101776</v>
      </c>
      <c r="CS146" s="430">
        <v>3961043.5502648246</v>
      </c>
      <c r="CT146" s="430">
        <v>6837698.7990755327</v>
      </c>
      <c r="CU146" s="430">
        <v>2050201.4227373954</v>
      </c>
      <c r="CV146" s="430">
        <v>-426638</v>
      </c>
      <c r="CW146" s="430">
        <v>90656.020094611027</v>
      </c>
      <c r="CX146" s="430">
        <v>762531.98</v>
      </c>
      <c r="CY146" s="430">
        <v>25221703.069415554</v>
      </c>
      <c r="CZ146" s="519"/>
      <c r="DA146" s="524">
        <v>32468.291719999997</v>
      </c>
      <c r="DB146" s="524">
        <v>5543.4942843565914</v>
      </c>
      <c r="DC146" s="520">
        <f t="shared" si="71"/>
        <v>-1</v>
      </c>
      <c r="DD146" s="440">
        <v>10543</v>
      </c>
      <c r="DE146" s="450">
        <v>23381609.390801221</v>
      </c>
      <c r="DF146" s="440">
        <v>13874490.711304758</v>
      </c>
      <c r="DG146" s="440">
        <v>3435798.3618000001</v>
      </c>
      <c r="DH146" s="440">
        <v>3344634.7634000001</v>
      </c>
      <c r="DI146" s="440">
        <v>3944265.7760815518</v>
      </c>
      <c r="DJ146" s="440">
        <v>2053186.3764515584</v>
      </c>
      <c r="DK146" s="440">
        <v>1734438.7487365038</v>
      </c>
      <c r="DL146" s="440">
        <v>-426638</v>
      </c>
      <c r="DM146" s="440">
        <v>435200</v>
      </c>
      <c r="DN146" s="440">
        <v>94549.430377381141</v>
      </c>
      <c r="DO146" s="457">
        <f t="shared" si="72"/>
        <v>5108316.77735053</v>
      </c>
      <c r="DP146" s="459">
        <f t="shared" si="73"/>
        <v>484.52212627814947</v>
      </c>
      <c r="DQ146" s="440"/>
      <c r="DR146" s="450">
        <v>78219295</v>
      </c>
      <c r="DS146" s="440">
        <v>33532002.944412041</v>
      </c>
      <c r="DT146" s="440">
        <v>5016952.1451000003</v>
      </c>
      <c r="DU146" s="440">
        <v>35927220.151101768</v>
      </c>
      <c r="DV146" s="440">
        <v>6847654.0230843779</v>
      </c>
      <c r="DW146" s="440">
        <v>3444360.3618000001</v>
      </c>
      <c r="DX146" s="457">
        <f t="shared" si="74"/>
        <v>6548894.6254981905</v>
      </c>
      <c r="DY146" s="459">
        <f t="shared" si="75"/>
        <v>621.16045010890548</v>
      </c>
      <c r="DZ146" s="440"/>
      <c r="EA146" s="457">
        <f t="shared" si="76"/>
        <v>-1440577.8481476605</v>
      </c>
      <c r="EB146" s="459">
        <f t="shared" si="77"/>
        <v>-136.63832383075601</v>
      </c>
      <c r="ED146" s="457">
        <v>1484496.9798302788</v>
      </c>
      <c r="EE146" s="458">
        <v>1312690.8359248086</v>
      </c>
      <c r="EF146" s="458">
        <v>1143068.0236553124</v>
      </c>
      <c r="EG146" s="458">
        <v>972374.33396259835</v>
      </c>
      <c r="EH146" s="459">
        <v>803937.26625260001</v>
      </c>
    </row>
    <row r="147" spans="1:138" x14ac:dyDescent="0.2">
      <c r="A147" s="67">
        <v>423</v>
      </c>
      <c r="B147" s="67" t="s">
        <v>268</v>
      </c>
      <c r="C147" s="67">
        <v>2</v>
      </c>
      <c r="D147" s="67">
        <v>20497</v>
      </c>
      <c r="E147" s="82">
        <v>49252455.552626684</v>
      </c>
      <c r="F147" s="67">
        <v>29318222.148688089</v>
      </c>
      <c r="G147" s="67">
        <v>4675221</v>
      </c>
      <c r="H147" s="67">
        <v>3933404.7580519533</v>
      </c>
      <c r="I147" s="67">
        <v>13444048.216048447</v>
      </c>
      <c r="J147" s="67">
        <v>2500431.4661001489</v>
      </c>
      <c r="K147" s="67">
        <v>3102132.6518469034</v>
      </c>
      <c r="L147" s="67">
        <v>-1650190</v>
      </c>
      <c r="M147" s="68">
        <v>-479408.66</v>
      </c>
      <c r="N147" s="68">
        <v>242374.3625103471</v>
      </c>
      <c r="O147" s="68">
        <v>-596531.70140427025</v>
      </c>
      <c r="P147" s="168">
        <f t="shared" si="43"/>
        <v>5237248.6892149337</v>
      </c>
      <c r="Q147" s="169">
        <f t="shared" si="44"/>
        <v>255.51293795262399</v>
      </c>
      <c r="R147" s="67"/>
      <c r="S147" s="82">
        <v>112514736.20999999</v>
      </c>
      <c r="T147" s="67">
        <v>81867895.964440301</v>
      </c>
      <c r="U147" s="67">
        <v>5911719.6199254552</v>
      </c>
      <c r="V147" s="67">
        <v>20320996.241685383</v>
      </c>
      <c r="W147" s="67">
        <v>8339276.8355880678</v>
      </c>
      <c r="X147" s="67">
        <v>2545622.34</v>
      </c>
      <c r="Y147" s="168">
        <f t="shared" si="45"/>
        <v>6470774.7916392237</v>
      </c>
      <c r="Z147" s="169">
        <f t="shared" si="46"/>
        <v>315.69374989702021</v>
      </c>
      <c r="AA147" s="67"/>
      <c r="AB147" s="77">
        <f t="shared" si="47"/>
        <v>-1233526.10242429</v>
      </c>
      <c r="AC147" s="123">
        <f t="shared" si="48"/>
        <v>-60.180811944396254</v>
      </c>
      <c r="AE147" s="170"/>
      <c r="AF147" s="177">
        <v>949604.26161912351</v>
      </c>
      <c r="AG147" s="177">
        <v>588739.68367437972</v>
      </c>
      <c r="AH147" s="177">
        <v>250067.79139080257</v>
      </c>
      <c r="AI147" s="178">
        <v>-92795.082833199951</v>
      </c>
      <c r="AK147" s="67">
        <f t="shared" si="49"/>
        <v>52549673.815752208</v>
      </c>
      <c r="AL147" s="67">
        <f t="shared" si="50"/>
        <v>1978314.8618735019</v>
      </c>
      <c r="AM147" s="67">
        <f t="shared" si="51"/>
        <v>6876948.0256369356</v>
      </c>
      <c r="AN147" s="67">
        <f t="shared" si="52"/>
        <v>63262280.657373309</v>
      </c>
      <c r="AO147" s="67">
        <f t="shared" si="53"/>
        <v>0</v>
      </c>
      <c r="AP147" s="67">
        <f t="shared" si="54"/>
        <v>949604.26161912351</v>
      </c>
      <c r="AQ147" s="67">
        <f t="shared" si="55"/>
        <v>588739.68367437972</v>
      </c>
      <c r="AR147" s="67">
        <f t="shared" si="56"/>
        <v>250067.79139080257</v>
      </c>
      <c r="AS147" s="67">
        <f t="shared" si="57"/>
        <v>-92795.082833199951</v>
      </c>
      <c r="AT147" s="68">
        <v>6542</v>
      </c>
      <c r="AU147" s="68"/>
      <c r="AV147" s="68"/>
      <c r="AW147" s="68">
        <v>15</v>
      </c>
      <c r="AX147" s="68">
        <v>10186.950277730153</v>
      </c>
      <c r="AY147" s="68">
        <v>2475.439919952848</v>
      </c>
      <c r="AZ147" s="68">
        <v>5866.0762595710821</v>
      </c>
      <c r="BA147" s="299"/>
      <c r="BB147" s="67"/>
      <c r="BC147" s="67"/>
      <c r="BD147" s="67"/>
      <c r="BE147" s="67"/>
      <c r="BF147" s="67"/>
      <c r="BG147" s="67"/>
      <c r="BH147" s="67"/>
      <c r="BN147" s="299"/>
      <c r="BO147" s="67">
        <v>50952061.411391772</v>
      </c>
      <c r="BP147" s="67">
        <v>58039767.820000015</v>
      </c>
      <c r="BQ147" s="67">
        <v>61287000</v>
      </c>
      <c r="BR147" s="67">
        <v>1499908.97</v>
      </c>
      <c r="BS147" s="67">
        <v>1541000</v>
      </c>
      <c r="BT147" s="428">
        <v>0.64188377136963926</v>
      </c>
      <c r="BU147" s="428">
        <v>0.33464287704132489</v>
      </c>
      <c r="BV147" s="67">
        <f t="shared" si="58"/>
        <v>15817926.046971757</v>
      </c>
      <c r="BW147" s="299"/>
      <c r="BX147" s="67">
        <v>114353731</v>
      </c>
      <c r="BY147" s="67">
        <v>50952061.411391772</v>
      </c>
      <c r="BZ147" s="67">
        <v>89557241.77537781</v>
      </c>
      <c r="CA147" s="67">
        <v>37046448.795651868</v>
      </c>
      <c r="CB147" s="67">
        <f t="shared" si="59"/>
        <v>1461265.8055145929</v>
      </c>
      <c r="CC147" s="67">
        <f t="shared" si="60"/>
        <v>315.6937498970197</v>
      </c>
      <c r="CD147" s="67">
        <f t="shared" si="61"/>
        <v>204.56230396091598</v>
      </c>
      <c r="CE147" s="67">
        <f t="shared" si="62"/>
        <v>-111.13144593610372</v>
      </c>
      <c r="CF147" s="67">
        <f t="shared" si="63"/>
        <v>96.131445936103717</v>
      </c>
      <c r="CG147" s="67">
        <f t="shared" si="64"/>
        <v>81.131445936103717</v>
      </c>
      <c r="CH147" s="67">
        <f t="shared" si="65"/>
        <v>66.131445936103717</v>
      </c>
      <c r="CI147" s="67">
        <f t="shared" si="66"/>
        <v>51.131445936103717</v>
      </c>
      <c r="CJ147" s="67">
        <f t="shared" si="67"/>
        <v>1970406.2473523179</v>
      </c>
      <c r="CK147" s="67">
        <f t="shared" si="68"/>
        <v>1662951.2473523179</v>
      </c>
      <c r="CL147" s="67">
        <f t="shared" si="69"/>
        <v>1355496.2473523179</v>
      </c>
      <c r="CM147" s="67">
        <f t="shared" si="70"/>
        <v>1048041.2473523179</v>
      </c>
      <c r="CN147" s="299"/>
      <c r="CO147" s="430">
        <v>81867.895964440308</v>
      </c>
      <c r="CP147" s="430">
        <v>5911.7196199254549</v>
      </c>
      <c r="CQ147" s="430">
        <v>4675.2209999999995</v>
      </c>
      <c r="CR147" s="430">
        <v>20320996.241685383</v>
      </c>
      <c r="CS147" s="430">
        <v>13444048.216048447</v>
      </c>
      <c r="CT147" s="430">
        <v>8339276.8355880678</v>
      </c>
      <c r="CU147" s="430">
        <v>2500431.4661001489</v>
      </c>
      <c r="CV147" s="430">
        <v>-1650190</v>
      </c>
      <c r="CW147" s="430">
        <v>242374.3625103471</v>
      </c>
      <c r="CX147" s="430">
        <v>-479408.66</v>
      </c>
      <c r="CY147" s="430">
        <v>49252455.552626684</v>
      </c>
      <c r="CZ147" s="519"/>
      <c r="DA147" s="524">
        <v>81838.454689999999</v>
      </c>
      <c r="DB147" s="524">
        <v>5865.493387311687</v>
      </c>
      <c r="DC147" s="520">
        <f t="shared" si="71"/>
        <v>-1</v>
      </c>
      <c r="DD147" s="440">
        <v>20291</v>
      </c>
      <c r="DE147" s="450">
        <v>50952061.411391772</v>
      </c>
      <c r="DF147" s="440">
        <v>28898511.79775187</v>
      </c>
      <c r="DG147" s="440">
        <v>4609029.7652999992</v>
      </c>
      <c r="DH147" s="440">
        <v>3538907.2325999998</v>
      </c>
      <c r="DI147" s="440">
        <v>13412231.387511538</v>
      </c>
      <c r="DJ147" s="440">
        <v>2512092.842640399</v>
      </c>
      <c r="DK147" s="440">
        <v>1467114.1862799476</v>
      </c>
      <c r="DL147" s="440">
        <v>-1547743</v>
      </c>
      <c r="DM147" s="440">
        <v>-391213</v>
      </c>
      <c r="DN147" s="440">
        <v>232766.30214856632</v>
      </c>
      <c r="DO147" s="457">
        <f t="shared" si="72"/>
        <v>1779636.1028405502</v>
      </c>
      <c r="DP147" s="459">
        <f t="shared" si="73"/>
        <v>87.705687390495797</v>
      </c>
      <c r="DQ147" s="440"/>
      <c r="DR147" s="450">
        <v>114353731</v>
      </c>
      <c r="DS147" s="440">
        <v>79639851.161177799</v>
      </c>
      <c r="DT147" s="440">
        <v>5308360.8488999996</v>
      </c>
      <c r="DU147" s="440">
        <v>20289225.381685372</v>
      </c>
      <c r="DV147" s="440">
        <v>8378169.102211481</v>
      </c>
      <c r="DW147" s="440">
        <v>2670073.7652999992</v>
      </c>
      <c r="DX147" s="457">
        <f t="shared" si="74"/>
        <v>1931949.2592746615</v>
      </c>
      <c r="DY147" s="459">
        <f t="shared" si="75"/>
        <v>95.212126522825955</v>
      </c>
      <c r="DZ147" s="440"/>
      <c r="EA147" s="457">
        <f t="shared" si="76"/>
        <v>-152313.1564341113</v>
      </c>
      <c r="EB147" s="459">
        <f t="shared" si="77"/>
        <v>-7.5064391323301614</v>
      </c>
      <c r="ED147" s="457">
        <v>236839.67649217398</v>
      </c>
      <c r="EE147" s="458">
        <v>58234.357392220852</v>
      </c>
      <c r="EF147" s="458">
        <v>36144.222823279684</v>
      </c>
      <c r="EG147" s="458">
        <v>11993.083436495792</v>
      </c>
      <c r="EH147" s="459">
        <v>-7814.973653855981</v>
      </c>
    </row>
    <row r="148" spans="1:138" x14ac:dyDescent="0.2">
      <c r="A148" s="67">
        <v>425</v>
      </c>
      <c r="B148" s="67" t="s">
        <v>269</v>
      </c>
      <c r="C148" s="67">
        <v>17</v>
      </c>
      <c r="D148" s="67">
        <v>10258</v>
      </c>
      <c r="E148" s="82">
        <v>38393983.355947614</v>
      </c>
      <c r="F148" s="67">
        <v>15316769.383472187</v>
      </c>
      <c r="G148" s="67">
        <v>1573560</v>
      </c>
      <c r="H148" s="67">
        <v>934463.76877407357</v>
      </c>
      <c r="I148" s="67">
        <v>21571078.876020968</v>
      </c>
      <c r="J148" s="67">
        <v>1201284.9136626851</v>
      </c>
      <c r="K148" s="67">
        <v>-877994.57764340285</v>
      </c>
      <c r="L148" s="67">
        <v>590543</v>
      </c>
      <c r="M148" s="68">
        <v>-110695.07</v>
      </c>
      <c r="N148" s="68">
        <v>95682.184970494156</v>
      </c>
      <c r="O148" s="68">
        <v>-298542.33268307574</v>
      </c>
      <c r="P148" s="168">
        <f t="shared" ref="P148:P211" si="78">N148+M148+L148+K148+J148+I148+H148+G148+F148-E148+O148</f>
        <v>1602166.7906263131</v>
      </c>
      <c r="Q148" s="169">
        <f t="shared" ref="Q148:Q211" si="79">P148/D148</f>
        <v>156.18705309283612</v>
      </c>
      <c r="R148" s="67"/>
      <c r="S148" s="82">
        <v>68634901.479999989</v>
      </c>
      <c r="T148" s="67">
        <v>36372805.819652379</v>
      </c>
      <c r="U148" s="67">
        <v>1404454.4448832967</v>
      </c>
      <c r="V148" s="67">
        <v>24643640.897452414</v>
      </c>
      <c r="W148" s="67">
        <v>4006447.5228641997</v>
      </c>
      <c r="X148" s="67">
        <v>2053407.93</v>
      </c>
      <c r="Y148" s="168">
        <f t="shared" ref="Y148:Y211" si="80">X148+W148+V148+U148+T148-S148</f>
        <v>-154144.86514769495</v>
      </c>
      <c r="Z148" s="169">
        <f t="shared" ref="Z148:Z211" si="81">Y148/D148</f>
        <v>-15.026795198644468</v>
      </c>
      <c r="AA148" s="67"/>
      <c r="AB148" s="77">
        <f t="shared" ref="AB148:AB211" si="82">P148-Y148</f>
        <v>1756311.655774008</v>
      </c>
      <c r="AC148" s="123">
        <f t="shared" ref="AC148:AC211" si="83">AB148/D148</f>
        <v>171.21384829148062</v>
      </c>
      <c r="AE148" s="170"/>
      <c r="AF148" s="177">
        <v>-1590664.1689700584</v>
      </c>
      <c r="AG148" s="177">
        <v>-1463523.7123450488</v>
      </c>
      <c r="AH148" s="177">
        <v>-1325276.6269688932</v>
      </c>
      <c r="AI148" s="178">
        <v>-1189126.9750095732</v>
      </c>
      <c r="AK148" s="67">
        <f t="shared" ref="AK148:AK211" si="84">T148-F148</f>
        <v>21056036.436180189</v>
      </c>
      <c r="AL148" s="67">
        <f t="shared" ref="AL148:AL211" si="85">U148-H148</f>
        <v>469990.67610922316</v>
      </c>
      <c r="AM148" s="67">
        <f t="shared" ref="AM148:AM211" si="86">V148-I148</f>
        <v>3072562.0214314461</v>
      </c>
      <c r="AN148" s="67">
        <f t="shared" ref="AN148:AN211" si="87">S148-E148</f>
        <v>30240918.124052376</v>
      </c>
      <c r="AO148" s="67">
        <f t="shared" ref="AO148:AO211" si="88">AE148</f>
        <v>0</v>
      </c>
      <c r="AP148" s="67">
        <f t="shared" ref="AP148:AP211" si="89">AF148</f>
        <v>-1590664.1689700584</v>
      </c>
      <c r="AQ148" s="67">
        <f t="shared" ref="AQ148:AQ211" si="90">AG148</f>
        <v>-1463523.7123450488</v>
      </c>
      <c r="AR148" s="67">
        <f t="shared" ref="AR148:AR211" si="91">AH148</f>
        <v>-1325276.6269688932</v>
      </c>
      <c r="AS148" s="67">
        <f t="shared" ref="AS148:AS211" si="92">AI148</f>
        <v>-1189126.9750095732</v>
      </c>
      <c r="AT148" s="68">
        <v>3921</v>
      </c>
      <c r="AU148" s="68"/>
      <c r="AV148" s="68"/>
      <c r="AW148" s="68">
        <v>52</v>
      </c>
      <c r="AX148" s="68">
        <v>1021.0145395303741</v>
      </c>
      <c r="AY148" s="68">
        <v>-3222.5294192461711</v>
      </c>
      <c r="AZ148" s="68">
        <v>2818.1921506629642</v>
      </c>
      <c r="BA148" s="299"/>
      <c r="BB148" s="67"/>
      <c r="BC148" s="67"/>
      <c r="BD148" s="67"/>
      <c r="BE148" s="67"/>
      <c r="BF148" s="67"/>
      <c r="BG148" s="67"/>
      <c r="BH148" s="67"/>
      <c r="BN148" s="299"/>
      <c r="BO148" s="67">
        <v>35986280.624911681</v>
      </c>
      <c r="BP148" s="67">
        <v>27224070.440000005</v>
      </c>
      <c r="BQ148" s="67">
        <v>29777000</v>
      </c>
      <c r="BR148" s="67">
        <v>772566.7</v>
      </c>
      <c r="BS148" s="67">
        <v>721000</v>
      </c>
      <c r="BT148" s="428">
        <v>0.57889502780133406</v>
      </c>
      <c r="BU148" s="428">
        <v>0.33464287704132484</v>
      </c>
      <c r="BV148" s="67">
        <f t="shared" ref="BV148:BV211" si="93">(V148+W148)-(I148+J148)+K148</f>
        <v>4999730.0529895565</v>
      </c>
      <c r="BW148" s="299"/>
      <c r="BX148" s="67">
        <v>65762088</v>
      </c>
      <c r="BY148" s="67">
        <v>35986280.624911681</v>
      </c>
      <c r="BZ148" s="67">
        <v>38065367.019715868</v>
      </c>
      <c r="CA148" s="67">
        <v>17448890.437442619</v>
      </c>
      <c r="CB148" s="67">
        <f t="shared" ref="CB148:CB211" si="94">((BY148-BX148)-N148+(BZ148-CA148)+AX148*1000+AZ148*1000-AY148*1000-$BY$8)*0.6+(D148*-0.260310389757568)</f>
        <v>-1318636.3849857664</v>
      </c>
      <c r="CC148" s="67">
        <f t="shared" ref="CC148:CC211" si="95">(-S148+T148+U148+V148+W148+X148)/D148</f>
        <v>-15.026795198644853</v>
      </c>
      <c r="CD148" s="67">
        <f t="shared" ref="CD148:CD211" si="96">(-E148+F148+G148+H148+I148+J148+L148+CB148+M148+N148)/D148</f>
        <v>142.33450145905925</v>
      </c>
      <c r="CE148" s="67">
        <f t="shared" ref="CE148:CE211" si="97">CD148-CC148</f>
        <v>157.36129665770412</v>
      </c>
      <c r="CF148" s="67">
        <f t="shared" ref="CF148:CF211" si="98">(IF(CE148&lt;-15,-CE148-15,IF(CE148&gt;15,15-CE148,0)))-$BJ$24</f>
        <v>-142.36129665770412</v>
      </c>
      <c r="CG148" s="67">
        <f t="shared" ref="CG148:CG211" si="99">(IF(CE148&lt;-30,-CE148-30,IF(CE148&gt;30,30-CE148,0)))-$BK$24</f>
        <v>-127.36129665770412</v>
      </c>
      <c r="CH148" s="67">
        <f t="shared" ref="CH148:CH211" si="100">(IF(CE148&lt;-45,-CE148-45,IF(CE148&gt;45,45-CE148,0)))-$BL$24</f>
        <v>-112.36129665770412</v>
      </c>
      <c r="CI148" s="67">
        <f t="shared" ref="CI148:CI211" si="101">(IF(CE148&lt;-60,-CE148-60,IF(CE148&gt;60,60-CE148,0)))-$BM$24</f>
        <v>-97.361296657704116</v>
      </c>
      <c r="CJ148" s="67">
        <f t="shared" ref="CJ148:CJ211" si="102">CF148*$D148</f>
        <v>-1460342.1811147288</v>
      </c>
      <c r="CK148" s="67">
        <f t="shared" ref="CK148:CK211" si="103">CG148*$D148</f>
        <v>-1306472.1811147288</v>
      </c>
      <c r="CL148" s="67">
        <f t="shared" ref="CL148:CL211" si="104">CH148*$D148</f>
        <v>-1152602.1811147288</v>
      </c>
      <c r="CM148" s="67">
        <f t="shared" ref="CM148:CM211" si="105">CI148*$D148</f>
        <v>-998732.1811147288</v>
      </c>
      <c r="CN148" s="299"/>
      <c r="CO148" s="430">
        <v>36372.805819652378</v>
      </c>
      <c r="CP148" s="430">
        <v>1404.4544448832967</v>
      </c>
      <c r="CQ148" s="430">
        <v>1573.56</v>
      </c>
      <c r="CR148" s="430">
        <v>24643640.897452414</v>
      </c>
      <c r="CS148" s="430">
        <v>21571078.876020968</v>
      </c>
      <c r="CT148" s="430">
        <v>4006447.5228641997</v>
      </c>
      <c r="CU148" s="430">
        <v>1201284.9136626851</v>
      </c>
      <c r="CV148" s="430">
        <v>590543</v>
      </c>
      <c r="CW148" s="430">
        <v>95682.184970494156</v>
      </c>
      <c r="CX148" s="430">
        <v>-110695.07</v>
      </c>
      <c r="CY148" s="430">
        <v>38393983.355947614</v>
      </c>
      <c r="CZ148" s="519"/>
      <c r="DA148" s="524">
        <v>36333.788630000003</v>
      </c>
      <c r="DB148" s="524">
        <v>1393.4716951200153</v>
      </c>
      <c r="DC148" s="520">
        <f t="shared" ref="DC148:DC211" si="106">(CZ148/DB148)-1</f>
        <v>-1</v>
      </c>
      <c r="DD148" s="440">
        <v>10218</v>
      </c>
      <c r="DE148" s="450">
        <v>35986280.624911681</v>
      </c>
      <c r="DF148" s="440">
        <v>15039157.16634262</v>
      </c>
      <c r="DG148" s="440">
        <v>1568990.7608999999</v>
      </c>
      <c r="DH148" s="440">
        <v>840742.51020000002</v>
      </c>
      <c r="DI148" s="440">
        <v>21554719.866378069</v>
      </c>
      <c r="DJ148" s="440">
        <v>1206864.6941496516</v>
      </c>
      <c r="DK148" s="440">
        <v>-1316064.6412269443</v>
      </c>
      <c r="DL148" s="440">
        <v>648400</v>
      </c>
      <c r="DM148" s="440">
        <v>-104000</v>
      </c>
      <c r="DN148" s="440">
        <v>91387.327158457716</v>
      </c>
      <c r="DO148" s="457">
        <f t="shared" ref="DO148:DO211" si="107">DN148+DM148+DL148+DK148+DJ148+DI148+DH148+DG148+DF148-DE148</f>
        <v>3543917.058990173</v>
      </c>
      <c r="DP148" s="459">
        <f t="shared" ref="DP148:DP211" si="108">DO148/DD148</f>
        <v>346.83079457723363</v>
      </c>
      <c r="DQ148" s="440"/>
      <c r="DR148" s="450">
        <v>65762088</v>
      </c>
      <c r="DS148" s="440">
        <v>35235262.493515871</v>
      </c>
      <c r="DT148" s="440">
        <v>1261113.7653000001</v>
      </c>
      <c r="DU148" s="440">
        <v>24627252.387452416</v>
      </c>
      <c r="DV148" s="440">
        <v>4025056.8448126158</v>
      </c>
      <c r="DW148" s="440">
        <v>2113390.7609000001</v>
      </c>
      <c r="DX148" s="457">
        <f t="shared" ref="DX148:DX211" si="109">DW148+DV148+DU148+DT148+DS148-DR148</f>
        <v>1499988.2519809008</v>
      </c>
      <c r="DY148" s="459">
        <f t="shared" ref="DY148:DY211" si="110">DX148/DD148</f>
        <v>146.79861538274622</v>
      </c>
      <c r="DZ148" s="440"/>
      <c r="EA148" s="457">
        <f t="shared" ref="EA148:EA211" si="111">DO148-DX148</f>
        <v>2043928.8070092723</v>
      </c>
      <c r="EB148" s="459">
        <f t="shared" ref="EB148:EB211" si="112">EA148/DD148</f>
        <v>200.03217919448741</v>
      </c>
      <c r="ED148" s="457">
        <v>-2001363.532653481</v>
      </c>
      <c r="EE148" s="458">
        <v>-1861333.5562166122</v>
      </c>
      <c r="EF148" s="458">
        <v>-1719187.551831685</v>
      </c>
      <c r="EG148" s="458">
        <v>-1578079.4138519973</v>
      </c>
      <c r="EH148" s="459">
        <v>-1434784.2168360401</v>
      </c>
    </row>
    <row r="149" spans="1:138" x14ac:dyDescent="0.2">
      <c r="A149" s="67">
        <v>426</v>
      </c>
      <c r="B149" s="67" t="s">
        <v>270</v>
      </c>
      <c r="C149" s="67">
        <v>12</v>
      </c>
      <c r="D149" s="67">
        <v>11962</v>
      </c>
      <c r="E149" s="82">
        <v>33859046.416206747</v>
      </c>
      <c r="F149" s="67">
        <v>17227771.893718995</v>
      </c>
      <c r="G149" s="67">
        <v>2932753</v>
      </c>
      <c r="H149" s="67">
        <v>1426503.9781749891</v>
      </c>
      <c r="I149" s="67">
        <v>10923939.823208392</v>
      </c>
      <c r="J149" s="67">
        <v>2103553.7127240766</v>
      </c>
      <c r="K149" s="67">
        <v>-1641384.3675753432</v>
      </c>
      <c r="L149" s="67">
        <v>-2732252</v>
      </c>
      <c r="M149" s="68">
        <v>79791.850000000006</v>
      </c>
      <c r="N149" s="68">
        <v>105712.06842906926</v>
      </c>
      <c r="O149" s="68">
        <v>-348134.46905390447</v>
      </c>
      <c r="P149" s="168">
        <f t="shared" si="78"/>
        <v>-3780790.9265804728</v>
      </c>
      <c r="Q149" s="169">
        <f t="shared" si="79"/>
        <v>-316.06678871262937</v>
      </c>
      <c r="R149" s="67"/>
      <c r="S149" s="82">
        <v>82115584.680000007</v>
      </c>
      <c r="T149" s="67">
        <v>40292801.02477213</v>
      </c>
      <c r="U149" s="67">
        <v>2143967.3957824125</v>
      </c>
      <c r="V149" s="67">
        <v>27332922.629205883</v>
      </c>
      <c r="W149" s="67">
        <v>7015635.8959500305</v>
      </c>
      <c r="X149" s="67">
        <v>280292.84999999998</v>
      </c>
      <c r="Y149" s="168">
        <f t="shared" si="80"/>
        <v>-5049964.8842895627</v>
      </c>
      <c r="Z149" s="169">
        <f t="shared" si="81"/>
        <v>-422.16727004594236</v>
      </c>
      <c r="AA149" s="67"/>
      <c r="AB149" s="77">
        <f t="shared" si="82"/>
        <v>1269173.9577090899</v>
      </c>
      <c r="AC149" s="123">
        <f t="shared" si="83"/>
        <v>106.10048133331298</v>
      </c>
      <c r="AE149" s="170"/>
      <c r="AF149" s="177">
        <v>-1076010.0624908151</v>
      </c>
      <c r="AG149" s="177">
        <v>-927749.76397761924</v>
      </c>
      <c r="AH149" s="177">
        <v>-766537.86738280777</v>
      </c>
      <c r="AI149" s="178">
        <v>-607771.81778859964</v>
      </c>
      <c r="AK149" s="67">
        <f t="shared" si="84"/>
        <v>23065029.131053135</v>
      </c>
      <c r="AL149" s="67">
        <f t="shared" si="85"/>
        <v>717463.41760742338</v>
      </c>
      <c r="AM149" s="67">
        <f t="shared" si="86"/>
        <v>16408982.805997491</v>
      </c>
      <c r="AN149" s="67">
        <f t="shared" si="87"/>
        <v>48256538.26379326</v>
      </c>
      <c r="AO149" s="67">
        <f t="shared" si="88"/>
        <v>0</v>
      </c>
      <c r="AP149" s="67">
        <f t="shared" si="89"/>
        <v>-1076010.0624908151</v>
      </c>
      <c r="AQ149" s="67">
        <f t="shared" si="90"/>
        <v>-927749.76397761924</v>
      </c>
      <c r="AR149" s="67">
        <f t="shared" si="91"/>
        <v>-766537.86738280777</v>
      </c>
      <c r="AS149" s="67">
        <f t="shared" si="92"/>
        <v>-607771.81778859964</v>
      </c>
      <c r="AT149" s="68">
        <v>3286</v>
      </c>
      <c r="AU149" s="68"/>
      <c r="AV149" s="68"/>
      <c r="AW149" s="68">
        <v>0</v>
      </c>
      <c r="AX149" s="68">
        <v>12270.767167036933</v>
      </c>
      <c r="AY149" s="68">
        <v>-4313.1333516194318</v>
      </c>
      <c r="AZ149" s="68">
        <v>4949.6355730366422</v>
      </c>
      <c r="BA149" s="299"/>
      <c r="BB149" s="67"/>
      <c r="BC149" s="67"/>
      <c r="BD149" s="67"/>
      <c r="BE149" s="67"/>
      <c r="BF149" s="67"/>
      <c r="BG149" s="67"/>
      <c r="BH149" s="67"/>
      <c r="BN149" s="299"/>
      <c r="BO149" s="67">
        <v>31009399.458034486</v>
      </c>
      <c r="BP149" s="67">
        <v>42935200.019999996</v>
      </c>
      <c r="BQ149" s="67">
        <v>48247000</v>
      </c>
      <c r="BR149" s="67">
        <v>1030425.2</v>
      </c>
      <c r="BS149" s="67">
        <v>1130000</v>
      </c>
      <c r="BT149" s="428">
        <v>0.57243548585447535</v>
      </c>
      <c r="BU149" s="428">
        <v>0.33464287704132489</v>
      </c>
      <c r="BV149" s="67">
        <f t="shared" si="93"/>
        <v>19679680.621648107</v>
      </c>
      <c r="BW149" s="299"/>
      <c r="BX149" s="67">
        <v>76206337.159999996</v>
      </c>
      <c r="BY149" s="67">
        <v>31009399.458034486</v>
      </c>
      <c r="BZ149" s="67">
        <v>44812301.501579374</v>
      </c>
      <c r="CA149" s="67">
        <v>21558842.782533366</v>
      </c>
      <c r="CB149" s="67">
        <f t="shared" si="94"/>
        <v>-312506.80867561919</v>
      </c>
      <c r="CC149" s="67">
        <f t="shared" si="95"/>
        <v>-422.16727004594162</v>
      </c>
      <c r="CD149" s="67">
        <f t="shared" si="96"/>
        <v>-175.87183569861611</v>
      </c>
      <c r="CE149" s="67">
        <f t="shared" si="97"/>
        <v>246.29543434732551</v>
      </c>
      <c r="CF149" s="67">
        <f t="shared" si="98"/>
        <v>-231.29543434732551</v>
      </c>
      <c r="CG149" s="67">
        <f t="shared" si="99"/>
        <v>-216.29543434732551</v>
      </c>
      <c r="CH149" s="67">
        <f t="shared" si="100"/>
        <v>-201.29543434732551</v>
      </c>
      <c r="CI149" s="67">
        <f t="shared" si="101"/>
        <v>-186.29543434732551</v>
      </c>
      <c r="CJ149" s="67">
        <f t="shared" si="102"/>
        <v>-2766755.9856627076</v>
      </c>
      <c r="CK149" s="67">
        <f t="shared" si="103"/>
        <v>-2587325.9856627076</v>
      </c>
      <c r="CL149" s="67">
        <f t="shared" si="104"/>
        <v>-2407895.9856627076</v>
      </c>
      <c r="CM149" s="67">
        <f t="shared" si="105"/>
        <v>-2228465.9856627076</v>
      </c>
      <c r="CN149" s="299"/>
      <c r="CO149" s="430">
        <v>40292.801024772132</v>
      </c>
      <c r="CP149" s="430">
        <v>2143.9673957824125</v>
      </c>
      <c r="CQ149" s="430">
        <v>2932.7530000000002</v>
      </c>
      <c r="CR149" s="430">
        <v>27332922.629205883</v>
      </c>
      <c r="CS149" s="430">
        <v>10923939.823208392</v>
      </c>
      <c r="CT149" s="430">
        <v>7015635.8959500305</v>
      </c>
      <c r="CU149" s="430">
        <v>2103553.7127240766</v>
      </c>
      <c r="CV149" s="430">
        <v>-2732252</v>
      </c>
      <c r="CW149" s="430">
        <v>105712.06842906926</v>
      </c>
      <c r="CX149" s="430">
        <v>79791.850000000006</v>
      </c>
      <c r="CY149" s="430">
        <v>33859046.416206747</v>
      </c>
      <c r="CZ149" s="519"/>
      <c r="DA149" s="524">
        <v>40397.569109999997</v>
      </c>
      <c r="DB149" s="524">
        <v>2127.2030938299522</v>
      </c>
      <c r="DC149" s="520">
        <f t="shared" si="106"/>
        <v>-1</v>
      </c>
      <c r="DD149" s="440">
        <v>11979</v>
      </c>
      <c r="DE149" s="450">
        <v>31009399.458034486</v>
      </c>
      <c r="DF149" s="440">
        <v>17347772.702833366</v>
      </c>
      <c r="DG149" s="440">
        <v>2927636.1195</v>
      </c>
      <c r="DH149" s="440">
        <v>1283433.9602000001</v>
      </c>
      <c r="DI149" s="440">
        <v>10905022.60926909</v>
      </c>
      <c r="DJ149" s="440">
        <v>2119635.6041939361</v>
      </c>
      <c r="DK149" s="440">
        <v>-310907.9001552905</v>
      </c>
      <c r="DL149" s="440">
        <v>-2735730</v>
      </c>
      <c r="DM149" s="440">
        <v>-100000</v>
      </c>
      <c r="DN149" s="440">
        <v>103076.36375414203</v>
      </c>
      <c r="DO149" s="457">
        <f t="shared" si="107"/>
        <v>530540.0015607588</v>
      </c>
      <c r="DP149" s="459">
        <f t="shared" si="108"/>
        <v>44.28917284921603</v>
      </c>
      <c r="DQ149" s="440"/>
      <c r="DR149" s="450">
        <v>76206337.159999996</v>
      </c>
      <c r="DS149" s="440">
        <v>39959514.441779375</v>
      </c>
      <c r="DT149" s="440">
        <v>1925150.9402999999</v>
      </c>
      <c r="DU149" s="440">
        <v>27314039.799205869</v>
      </c>
      <c r="DV149" s="440">
        <v>7069271.1772305779</v>
      </c>
      <c r="DW149" s="440">
        <v>91906.11950000003</v>
      </c>
      <c r="DX149" s="457">
        <f t="shared" si="109"/>
        <v>153545.31801582873</v>
      </c>
      <c r="DY149" s="459">
        <f t="shared" si="110"/>
        <v>12.817874448270199</v>
      </c>
      <c r="DZ149" s="440"/>
      <c r="EA149" s="457">
        <f t="shared" si="111"/>
        <v>376994.68354493007</v>
      </c>
      <c r="EB149" s="459">
        <f t="shared" si="112"/>
        <v>31.471298400945827</v>
      </c>
      <c r="ED149" s="457">
        <v>-327093.58533511078</v>
      </c>
      <c r="EE149" s="458">
        <v>-162930.43327626845</v>
      </c>
      <c r="EF149" s="458">
        <v>3713.4291749983076</v>
      </c>
      <c r="EG149" s="458">
        <v>7080.2398346943519</v>
      </c>
      <c r="EH149" s="459">
        <v>-4613.6498644493022</v>
      </c>
    </row>
    <row r="150" spans="1:138" x14ac:dyDescent="0.2">
      <c r="A150" s="67">
        <v>444</v>
      </c>
      <c r="B150" s="67" t="s">
        <v>271</v>
      </c>
      <c r="C150" s="67">
        <v>33</v>
      </c>
      <c r="D150" s="67">
        <v>45811</v>
      </c>
      <c r="E150" s="82">
        <v>113903604.87639171</v>
      </c>
      <c r="F150" s="67">
        <v>72288452.375768438</v>
      </c>
      <c r="G150" s="67">
        <v>14215039</v>
      </c>
      <c r="H150" s="67">
        <v>8207943.5313500036</v>
      </c>
      <c r="I150" s="67">
        <v>19979054.915244233</v>
      </c>
      <c r="J150" s="67">
        <v>7119001.3747097366</v>
      </c>
      <c r="K150" s="67">
        <v>1884661.4536771185</v>
      </c>
      <c r="L150" s="67">
        <v>-575417</v>
      </c>
      <c r="M150" s="68">
        <v>100339.22</v>
      </c>
      <c r="N150" s="68">
        <v>520069.13923463837</v>
      </c>
      <c r="O150" s="68">
        <v>-1333254.3188286589</v>
      </c>
      <c r="P150" s="168">
        <f t="shared" si="78"/>
        <v>8502284.8147637974</v>
      </c>
      <c r="Q150" s="169">
        <f t="shared" si="79"/>
        <v>185.5948312580777</v>
      </c>
      <c r="R150" s="67"/>
      <c r="S150" s="82">
        <v>289393379.02999997</v>
      </c>
      <c r="T150" s="67">
        <v>185162409.32189816</v>
      </c>
      <c r="U150" s="67">
        <v>12336147.383304998</v>
      </c>
      <c r="V150" s="67">
        <v>66756953.542353585</v>
      </c>
      <c r="W150" s="67">
        <v>23742831.611869782</v>
      </c>
      <c r="X150" s="67">
        <v>13739961.220000001</v>
      </c>
      <c r="Y150" s="168">
        <f t="shared" si="80"/>
        <v>12344924.049426556</v>
      </c>
      <c r="Z150" s="169">
        <f t="shared" si="81"/>
        <v>269.47510531153119</v>
      </c>
      <c r="AA150" s="67"/>
      <c r="AB150" s="77">
        <f t="shared" si="82"/>
        <v>-3842639.2346627582</v>
      </c>
      <c r="AC150" s="123">
        <f t="shared" si="83"/>
        <v>-83.880274053453505</v>
      </c>
      <c r="AE150" s="170"/>
      <c r="AF150" s="177">
        <v>3208071.0808292539</v>
      </c>
      <c r="AG150" s="177">
        <v>2401535.1399488007</v>
      </c>
      <c r="AH150" s="177">
        <v>1644600.073480393</v>
      </c>
      <c r="AI150" s="178">
        <v>878298.12045918114</v>
      </c>
      <c r="AK150" s="67">
        <f t="shared" si="84"/>
        <v>112873956.94612972</v>
      </c>
      <c r="AL150" s="67">
        <f t="shared" si="85"/>
        <v>4128203.8519549947</v>
      </c>
      <c r="AM150" s="67">
        <f t="shared" si="86"/>
        <v>46777898.627109349</v>
      </c>
      <c r="AN150" s="67">
        <f t="shared" si="87"/>
        <v>175489774.15360826</v>
      </c>
      <c r="AO150" s="67">
        <f t="shared" si="88"/>
        <v>0</v>
      </c>
      <c r="AP150" s="67">
        <f t="shared" si="89"/>
        <v>3208071.0808292539</v>
      </c>
      <c r="AQ150" s="67">
        <f t="shared" si="90"/>
        <v>2401535.1399488007</v>
      </c>
      <c r="AR150" s="67">
        <f t="shared" si="91"/>
        <v>1644600.073480393</v>
      </c>
      <c r="AS150" s="67">
        <f t="shared" si="92"/>
        <v>878298.12045918114</v>
      </c>
      <c r="AT150" s="68">
        <v>15789</v>
      </c>
      <c r="AU150" s="68"/>
      <c r="AV150" s="68"/>
      <c r="AW150" s="68">
        <v>329</v>
      </c>
      <c r="AX150" s="68">
        <v>47202.068429020059</v>
      </c>
      <c r="AY150" s="68">
        <v>3010.3680674553339</v>
      </c>
      <c r="AZ150" s="68">
        <v>16463.740829601426</v>
      </c>
      <c r="BA150" s="299"/>
      <c r="BB150" s="67"/>
      <c r="BC150" s="67"/>
      <c r="BD150" s="67"/>
      <c r="BE150" s="67"/>
      <c r="BF150" s="67"/>
      <c r="BG150" s="67"/>
      <c r="BH150" s="67"/>
      <c r="BN150" s="299"/>
      <c r="BO150" s="67">
        <v>118661981.20151147</v>
      </c>
      <c r="BP150" s="67">
        <v>161120640.93999997</v>
      </c>
      <c r="BQ150" s="67">
        <v>171999000</v>
      </c>
      <c r="BR150" s="67">
        <v>3059303.92</v>
      </c>
      <c r="BS150" s="67">
        <v>3275000</v>
      </c>
      <c r="BT150" s="428">
        <v>0.60959434131094303</v>
      </c>
      <c r="BU150" s="428">
        <v>0.33464287704132478</v>
      </c>
      <c r="BV150" s="67">
        <f t="shared" si="93"/>
        <v>65286390.317946516</v>
      </c>
      <c r="BW150" s="299"/>
      <c r="BX150" s="67">
        <v>292045775</v>
      </c>
      <c r="BY150" s="67">
        <v>118661981.20151147</v>
      </c>
      <c r="BZ150" s="67">
        <v>211184291.35728911</v>
      </c>
      <c r="CA150" s="67">
        <v>95018798.279060543</v>
      </c>
      <c r="CB150" s="67">
        <f t="shared" si="94"/>
        <v>1738317.7197377505</v>
      </c>
      <c r="CC150" s="67">
        <f t="shared" si="95"/>
        <v>269.47510531153125</v>
      </c>
      <c r="CD150" s="67">
        <f t="shared" si="96"/>
        <v>211.5036868798561</v>
      </c>
      <c r="CE150" s="67">
        <f t="shared" si="97"/>
        <v>-57.971418431675147</v>
      </c>
      <c r="CF150" s="67">
        <f t="shared" si="98"/>
        <v>42.971418431675147</v>
      </c>
      <c r="CG150" s="67">
        <f t="shared" si="99"/>
        <v>27.971418431675147</v>
      </c>
      <c r="CH150" s="67">
        <f t="shared" si="100"/>
        <v>12.971418431675147</v>
      </c>
      <c r="CI150" s="67">
        <f t="shared" si="101"/>
        <v>0</v>
      </c>
      <c r="CJ150" s="67">
        <f t="shared" si="102"/>
        <v>1968563.6497734701</v>
      </c>
      <c r="CK150" s="67">
        <f t="shared" si="103"/>
        <v>1281398.6497734701</v>
      </c>
      <c r="CL150" s="67">
        <f t="shared" si="104"/>
        <v>594233.64977347013</v>
      </c>
      <c r="CM150" s="67">
        <f t="shared" si="105"/>
        <v>0</v>
      </c>
      <c r="CN150" s="299"/>
      <c r="CO150" s="430">
        <v>185162.40932189816</v>
      </c>
      <c r="CP150" s="430">
        <v>12336.147383304999</v>
      </c>
      <c r="CQ150" s="430">
        <v>14215.039000000001</v>
      </c>
      <c r="CR150" s="430">
        <v>66756953.542353585</v>
      </c>
      <c r="CS150" s="430">
        <v>19979054.915244233</v>
      </c>
      <c r="CT150" s="430">
        <v>23742831.611869782</v>
      </c>
      <c r="CU150" s="430">
        <v>7119001.3747097366</v>
      </c>
      <c r="CV150" s="430">
        <v>-575417</v>
      </c>
      <c r="CW150" s="430">
        <v>520069.13923463837</v>
      </c>
      <c r="CX150" s="430">
        <v>100339.22</v>
      </c>
      <c r="CY150" s="430">
        <v>113903604.87639171</v>
      </c>
      <c r="CZ150" s="519"/>
      <c r="DA150" s="524">
        <v>186966.00569999998</v>
      </c>
      <c r="DB150" s="524">
        <v>12239.670491163124</v>
      </c>
      <c r="DC150" s="520">
        <f t="shared" si="106"/>
        <v>-1</v>
      </c>
      <c r="DD150" s="440">
        <v>45988</v>
      </c>
      <c r="DE150" s="450">
        <v>118661981.20151147</v>
      </c>
      <c r="DF150" s="440">
        <v>73361791.643160537</v>
      </c>
      <c r="DG150" s="440">
        <v>14272271.904900001</v>
      </c>
      <c r="DH150" s="440">
        <v>7384734.7309999997</v>
      </c>
      <c r="DI150" s="440">
        <v>19906843.125912614</v>
      </c>
      <c r="DJ150" s="440">
        <v>7050444.5682321042</v>
      </c>
      <c r="DK150" s="440">
        <v>1741465.0762853224</v>
      </c>
      <c r="DL150" s="440">
        <v>-660072</v>
      </c>
      <c r="DM150" s="440">
        <v>272000</v>
      </c>
      <c r="DN150" s="440">
        <v>514930.56430368277</v>
      </c>
      <c r="DO150" s="457">
        <f t="shared" si="107"/>
        <v>5182428.4122827947</v>
      </c>
      <c r="DP150" s="459">
        <f t="shared" si="108"/>
        <v>112.69088484567267</v>
      </c>
      <c r="DQ150" s="440"/>
      <c r="DR150" s="450">
        <v>292045775</v>
      </c>
      <c r="DS150" s="440">
        <v>185834917.35588908</v>
      </c>
      <c r="DT150" s="440">
        <v>11077102.0965</v>
      </c>
      <c r="DU150" s="440">
        <v>66684919.002353534</v>
      </c>
      <c r="DV150" s="440">
        <v>23514185.39783353</v>
      </c>
      <c r="DW150" s="440">
        <v>13884199.904900001</v>
      </c>
      <c r="DX150" s="457">
        <f t="shared" si="109"/>
        <v>8949548.757476151</v>
      </c>
      <c r="DY150" s="459">
        <f t="shared" si="110"/>
        <v>194.60617459937703</v>
      </c>
      <c r="DZ150" s="440"/>
      <c r="EA150" s="457">
        <f t="shared" si="111"/>
        <v>-3767120.3451933563</v>
      </c>
      <c r="EB150" s="459">
        <f t="shared" si="112"/>
        <v>-81.915289753704357</v>
      </c>
      <c r="ED150" s="457">
        <v>3958693.2397983605</v>
      </c>
      <c r="EE150" s="458">
        <v>3209284.0634799739</v>
      </c>
      <c r="EF150" s="458">
        <v>2469398.4625457432</v>
      </c>
      <c r="EG150" s="458">
        <v>1724841.7517813938</v>
      </c>
      <c r="EH150" s="459">
        <v>990128.30495910312</v>
      </c>
    </row>
    <row r="151" spans="1:138" x14ac:dyDescent="0.2">
      <c r="A151" s="67">
        <v>430</v>
      </c>
      <c r="B151" s="67" t="s">
        <v>272</v>
      </c>
      <c r="C151" s="67">
        <v>2</v>
      </c>
      <c r="D151" s="67">
        <v>15392</v>
      </c>
      <c r="E151" s="82">
        <v>37270796.467904732</v>
      </c>
      <c r="F151" s="67">
        <v>20786383.81035576</v>
      </c>
      <c r="G151" s="67">
        <v>4332258</v>
      </c>
      <c r="H151" s="67">
        <v>3629278.7773357239</v>
      </c>
      <c r="I151" s="67">
        <v>7391699.3494977131</v>
      </c>
      <c r="J151" s="67">
        <v>3074547.2846662533</v>
      </c>
      <c r="K151" s="67">
        <v>626564.92325518245</v>
      </c>
      <c r="L151" s="67">
        <v>-1730805</v>
      </c>
      <c r="M151" s="68">
        <v>85685.54</v>
      </c>
      <c r="N151" s="68">
        <v>138516.34751455783</v>
      </c>
      <c r="O151" s="68">
        <v>-447959.01585668768</v>
      </c>
      <c r="P151" s="168">
        <f t="shared" si="78"/>
        <v>615373.5488637716</v>
      </c>
      <c r="Q151" s="169">
        <f t="shared" si="79"/>
        <v>39.980090232833398</v>
      </c>
      <c r="R151" s="67"/>
      <c r="S151" s="82">
        <v>107916065.78999999</v>
      </c>
      <c r="T151" s="67">
        <v>50123640.197831966</v>
      </c>
      <c r="U151" s="67">
        <v>5454632.7860701894</v>
      </c>
      <c r="V151" s="67">
        <v>40251589.121175207</v>
      </c>
      <c r="W151" s="67">
        <v>10254030.673724752</v>
      </c>
      <c r="X151" s="67">
        <v>2687138.54</v>
      </c>
      <c r="Y151" s="168">
        <f t="shared" si="80"/>
        <v>854965.52880212665</v>
      </c>
      <c r="Z151" s="169">
        <f t="shared" si="81"/>
        <v>55.546097245460409</v>
      </c>
      <c r="AA151" s="67"/>
      <c r="AB151" s="77">
        <f t="shared" si="82"/>
        <v>-239591.97993835504</v>
      </c>
      <c r="AC151" s="123">
        <f t="shared" si="83"/>
        <v>-15.566007012627017</v>
      </c>
      <c r="AE151" s="170"/>
      <c r="AF151" s="177">
        <v>26383.950779307394</v>
      </c>
      <c r="AG151" s="177">
        <v>-22435.372854493671</v>
      </c>
      <c r="AH151" s="177">
        <v>-45877.359780815546</v>
      </c>
      <c r="AI151" s="178">
        <v>-72466.519172719069</v>
      </c>
      <c r="AK151" s="67">
        <f t="shared" si="84"/>
        <v>29337256.387476206</v>
      </c>
      <c r="AL151" s="67">
        <f t="shared" si="85"/>
        <v>1825354.0087344656</v>
      </c>
      <c r="AM151" s="67">
        <f t="shared" si="86"/>
        <v>32859889.771677494</v>
      </c>
      <c r="AN151" s="67">
        <f t="shared" si="87"/>
        <v>70645269.32209526</v>
      </c>
      <c r="AO151" s="67">
        <f t="shared" si="88"/>
        <v>0</v>
      </c>
      <c r="AP151" s="67">
        <f t="shared" si="89"/>
        <v>26383.950779307394</v>
      </c>
      <c r="AQ151" s="67">
        <f t="shared" si="90"/>
        <v>-22435.372854493671</v>
      </c>
      <c r="AR151" s="67">
        <f t="shared" si="91"/>
        <v>-45877.359780815546</v>
      </c>
      <c r="AS151" s="67">
        <f t="shared" si="92"/>
        <v>-72466.519172719069</v>
      </c>
      <c r="AT151" s="68">
        <v>4413</v>
      </c>
      <c r="AU151" s="68"/>
      <c r="AV151" s="68"/>
      <c r="AW151" s="68">
        <v>28</v>
      </c>
      <c r="AX151" s="68">
        <v>27962.492921022571</v>
      </c>
      <c r="AY151" s="68">
        <v>-5075.5148195533893</v>
      </c>
      <c r="AZ151" s="68">
        <v>7196.5405416531758</v>
      </c>
      <c r="BA151" s="299"/>
      <c r="BB151" s="67"/>
      <c r="BC151" s="67"/>
      <c r="BD151" s="67"/>
      <c r="BE151" s="67"/>
      <c r="BF151" s="67"/>
      <c r="BG151" s="67"/>
      <c r="BH151" s="67"/>
      <c r="BN151" s="299"/>
      <c r="BO151" s="67">
        <v>35089385.35473156</v>
      </c>
      <c r="BP151" s="67">
        <v>65635287.299999997</v>
      </c>
      <c r="BQ151" s="67">
        <v>68777000</v>
      </c>
      <c r="BR151" s="67">
        <v>1200326.47</v>
      </c>
      <c r="BS151" s="67">
        <v>1039000</v>
      </c>
      <c r="BT151" s="428">
        <v>0.58529780103132156</v>
      </c>
      <c r="BU151" s="428">
        <v>0.33464287704132484</v>
      </c>
      <c r="BV151" s="67">
        <f t="shared" si="93"/>
        <v>40665938.08399117</v>
      </c>
      <c r="BW151" s="299"/>
      <c r="BX151" s="67">
        <v>105683349</v>
      </c>
      <c r="BY151" s="67">
        <v>35089385.35473156</v>
      </c>
      <c r="BZ151" s="67">
        <v>60418843.897745408</v>
      </c>
      <c r="CA151" s="67">
        <v>29036343.166607648</v>
      </c>
      <c r="CB151" s="67">
        <f t="shared" si="94"/>
        <v>526734.7148311924</v>
      </c>
      <c r="CC151" s="67">
        <f t="shared" si="95"/>
        <v>55.546097245460231</v>
      </c>
      <c r="CD151" s="67">
        <f t="shared" si="96"/>
        <v>62.597606308242526</v>
      </c>
      <c r="CE151" s="67">
        <f t="shared" si="97"/>
        <v>7.0515090627822943</v>
      </c>
      <c r="CF151" s="67">
        <f t="shared" si="98"/>
        <v>0</v>
      </c>
      <c r="CG151" s="67">
        <f t="shared" si="99"/>
        <v>0</v>
      </c>
      <c r="CH151" s="67">
        <f t="shared" si="100"/>
        <v>0</v>
      </c>
      <c r="CI151" s="67">
        <f t="shared" si="101"/>
        <v>0</v>
      </c>
      <c r="CJ151" s="67">
        <f t="shared" si="102"/>
        <v>0</v>
      </c>
      <c r="CK151" s="67">
        <f t="shared" si="103"/>
        <v>0</v>
      </c>
      <c r="CL151" s="67">
        <f t="shared" si="104"/>
        <v>0</v>
      </c>
      <c r="CM151" s="67">
        <f t="shared" si="105"/>
        <v>0</v>
      </c>
      <c r="CN151" s="299"/>
      <c r="CO151" s="430">
        <v>50123.640197831963</v>
      </c>
      <c r="CP151" s="430">
        <v>5454.6327860701895</v>
      </c>
      <c r="CQ151" s="430">
        <v>4332.2579999999998</v>
      </c>
      <c r="CR151" s="430">
        <v>40251589.121175207</v>
      </c>
      <c r="CS151" s="430">
        <v>7391699.3494977131</v>
      </c>
      <c r="CT151" s="430">
        <v>10254030.673724752</v>
      </c>
      <c r="CU151" s="430">
        <v>3074547.2846662533</v>
      </c>
      <c r="CV151" s="430">
        <v>-1730805</v>
      </c>
      <c r="CW151" s="430">
        <v>138516.34751455783</v>
      </c>
      <c r="CX151" s="430">
        <v>85685.54</v>
      </c>
      <c r="CY151" s="430">
        <v>37270796.467904732</v>
      </c>
      <c r="CZ151" s="519"/>
      <c r="DA151" s="524">
        <v>51045.36045</v>
      </c>
      <c r="DB151" s="524">
        <v>5411.9788908543778</v>
      </c>
      <c r="DC151" s="520">
        <f t="shared" si="106"/>
        <v>-1</v>
      </c>
      <c r="DD151" s="440">
        <v>15628</v>
      </c>
      <c r="DE151" s="450">
        <v>35089385.35473156</v>
      </c>
      <c r="DF151" s="440">
        <v>21458670.703507651</v>
      </c>
      <c r="DG151" s="440">
        <v>4312389.1514999997</v>
      </c>
      <c r="DH151" s="440">
        <v>3265283.3115999997</v>
      </c>
      <c r="DI151" s="440">
        <v>7366939.7952515651</v>
      </c>
      <c r="DJ151" s="440">
        <v>3081851.8523283331</v>
      </c>
      <c r="DK151" s="440">
        <v>526365.95899723028</v>
      </c>
      <c r="DL151" s="440">
        <v>-1735378</v>
      </c>
      <c r="DM151" s="440">
        <v>1400</v>
      </c>
      <c r="DN151" s="440">
        <v>139110.23301784732</v>
      </c>
      <c r="DO151" s="457">
        <f t="shared" si="107"/>
        <v>3327247.6514710635</v>
      </c>
      <c r="DP151" s="459">
        <f t="shared" si="108"/>
        <v>212.90297232346197</v>
      </c>
      <c r="DQ151" s="440"/>
      <c r="DR151" s="450">
        <v>105683349</v>
      </c>
      <c r="DS151" s="440">
        <v>51208529.778845407</v>
      </c>
      <c r="DT151" s="440">
        <v>4897924.9673999995</v>
      </c>
      <c r="DU151" s="440">
        <v>40226909.63117519</v>
      </c>
      <c r="DV151" s="440">
        <v>10278392.393981509</v>
      </c>
      <c r="DW151" s="440">
        <v>2578411.1514999997</v>
      </c>
      <c r="DX151" s="457">
        <f t="shared" si="109"/>
        <v>3506818.9229021072</v>
      </c>
      <c r="DY151" s="459">
        <f t="shared" si="110"/>
        <v>224.39332754684588</v>
      </c>
      <c r="DZ151" s="440"/>
      <c r="EA151" s="457">
        <f t="shared" si="111"/>
        <v>-179571.27143104374</v>
      </c>
      <c r="EB151" s="459">
        <f t="shared" si="112"/>
        <v>-11.49035522338391</v>
      </c>
      <c r="ED151" s="457">
        <v>244673.06313513618</v>
      </c>
      <c r="EE151" s="458">
        <v>44851.734134622617</v>
      </c>
      <c r="EF151" s="458">
        <v>27838.052056685963</v>
      </c>
      <c r="EG151" s="458">
        <v>9236.9970896237846</v>
      </c>
      <c r="EH151" s="459">
        <v>-6019.0433326332495</v>
      </c>
    </row>
    <row r="152" spans="1:138" x14ac:dyDescent="0.2">
      <c r="A152" s="67">
        <v>433</v>
      </c>
      <c r="B152" s="67" t="s">
        <v>273</v>
      </c>
      <c r="C152" s="67">
        <v>5</v>
      </c>
      <c r="D152" s="67">
        <v>7749</v>
      </c>
      <c r="E152" s="82">
        <v>22232408.156647999</v>
      </c>
      <c r="F152" s="67">
        <v>12154376.78722376</v>
      </c>
      <c r="G152" s="67">
        <v>2131769</v>
      </c>
      <c r="H152" s="67">
        <v>1678928.9144800359</v>
      </c>
      <c r="I152" s="67">
        <v>4679255.410982375</v>
      </c>
      <c r="J152" s="67">
        <v>1470353.0501399366</v>
      </c>
      <c r="K152" s="67">
        <v>392881.46313038148</v>
      </c>
      <c r="L152" s="67">
        <v>-633271</v>
      </c>
      <c r="M152" s="68">
        <v>-166941</v>
      </c>
      <c r="N152" s="68">
        <v>76461.798801396668</v>
      </c>
      <c r="O152" s="68">
        <v>-225521.98634832853</v>
      </c>
      <c r="P152" s="168">
        <f t="shared" si="78"/>
        <v>-674115.71823844069</v>
      </c>
      <c r="Q152" s="169">
        <f t="shared" si="79"/>
        <v>-86.993898340229791</v>
      </c>
      <c r="R152" s="67"/>
      <c r="S152" s="82">
        <v>52029967.000000007</v>
      </c>
      <c r="T152" s="67">
        <v>28511890.962009795</v>
      </c>
      <c r="U152" s="67">
        <v>2523350.0274473093</v>
      </c>
      <c r="V152" s="67">
        <v>14444019.427632414</v>
      </c>
      <c r="W152" s="67">
        <v>4903826.1185748177</v>
      </c>
      <c r="X152" s="67">
        <v>1331557</v>
      </c>
      <c r="Y152" s="168">
        <f t="shared" si="80"/>
        <v>-315323.46433567256</v>
      </c>
      <c r="Z152" s="169">
        <f t="shared" si="81"/>
        <v>-40.692149223857605</v>
      </c>
      <c r="AA152" s="67"/>
      <c r="AB152" s="77">
        <f t="shared" si="82"/>
        <v>-358792.25390276813</v>
      </c>
      <c r="AC152" s="123">
        <f t="shared" si="83"/>
        <v>-46.301749116372193</v>
      </c>
      <c r="AE152" s="170"/>
      <c r="AF152" s="177">
        <v>251454.09005444511</v>
      </c>
      <c r="AG152" s="177">
        <v>115027.31469737728</v>
      </c>
      <c r="AH152" s="177">
        <v>-13009.397665672879</v>
      </c>
      <c r="AI152" s="178">
        <v>-36482.786971764559</v>
      </c>
      <c r="AK152" s="67">
        <f t="shared" si="84"/>
        <v>16357514.174786035</v>
      </c>
      <c r="AL152" s="67">
        <f t="shared" si="85"/>
        <v>844421.11296727345</v>
      </c>
      <c r="AM152" s="67">
        <f t="shared" si="86"/>
        <v>9764764.0166500397</v>
      </c>
      <c r="AN152" s="67">
        <f t="shared" si="87"/>
        <v>29797558.843352009</v>
      </c>
      <c r="AO152" s="67">
        <f t="shared" si="88"/>
        <v>0</v>
      </c>
      <c r="AP152" s="67">
        <f t="shared" si="89"/>
        <v>251454.09005444511</v>
      </c>
      <c r="AQ152" s="67">
        <f t="shared" si="90"/>
        <v>115027.31469737728</v>
      </c>
      <c r="AR152" s="67">
        <f t="shared" si="91"/>
        <v>-13009.397665672879</v>
      </c>
      <c r="AS152" s="67">
        <f t="shared" si="92"/>
        <v>-36482.786971764559</v>
      </c>
      <c r="AT152" s="68">
        <v>2282</v>
      </c>
      <c r="AU152" s="68"/>
      <c r="AV152" s="68"/>
      <c r="AW152" s="68">
        <v>121</v>
      </c>
      <c r="AX152" s="68">
        <v>7979.6639074920113</v>
      </c>
      <c r="AY152" s="68">
        <v>-1688.2288306755222</v>
      </c>
      <c r="AZ152" s="68">
        <v>3424.8166506553121</v>
      </c>
      <c r="BA152" s="299"/>
      <c r="BB152" s="67"/>
      <c r="BC152" s="67"/>
      <c r="BD152" s="67"/>
      <c r="BE152" s="67"/>
      <c r="BF152" s="67"/>
      <c r="BG152" s="67"/>
      <c r="BH152" s="67"/>
      <c r="BN152" s="299"/>
      <c r="BO152" s="67">
        <v>20751178.752973355</v>
      </c>
      <c r="BP152" s="67">
        <v>27268583.149999999</v>
      </c>
      <c r="BQ152" s="67">
        <v>29385000</v>
      </c>
      <c r="BR152" s="67">
        <v>472769.06</v>
      </c>
      <c r="BS152" s="67">
        <v>512000</v>
      </c>
      <c r="BT152" s="428">
        <v>0.57370849925672551</v>
      </c>
      <c r="BU152" s="428">
        <v>0.33464287704132478</v>
      </c>
      <c r="BV152" s="67">
        <f t="shared" si="93"/>
        <v>13591118.5482153</v>
      </c>
      <c r="BW152" s="299"/>
      <c r="BX152" s="67">
        <v>49434500</v>
      </c>
      <c r="BY152" s="67">
        <v>20751178.752973355</v>
      </c>
      <c r="BZ152" s="67">
        <v>32384162.813419241</v>
      </c>
      <c r="CA152" s="67">
        <v>15757481.062318703</v>
      </c>
      <c r="CB152" s="67">
        <f t="shared" si="94"/>
        <v>573747.71124697407</v>
      </c>
      <c r="CC152" s="67">
        <f t="shared" si="95"/>
        <v>-40.692149223857484</v>
      </c>
      <c r="CD152" s="67">
        <f t="shared" si="96"/>
        <v>-34.549939833981192</v>
      </c>
      <c r="CE152" s="67">
        <f t="shared" si="97"/>
        <v>6.1422093898762924</v>
      </c>
      <c r="CF152" s="67">
        <f t="shared" si="98"/>
        <v>0</v>
      </c>
      <c r="CG152" s="67">
        <f t="shared" si="99"/>
        <v>0</v>
      </c>
      <c r="CH152" s="67">
        <f t="shared" si="100"/>
        <v>0</v>
      </c>
      <c r="CI152" s="67">
        <f t="shared" si="101"/>
        <v>0</v>
      </c>
      <c r="CJ152" s="67">
        <f t="shared" si="102"/>
        <v>0</v>
      </c>
      <c r="CK152" s="67">
        <f t="shared" si="103"/>
        <v>0</v>
      </c>
      <c r="CL152" s="67">
        <f t="shared" si="104"/>
        <v>0</v>
      </c>
      <c r="CM152" s="67">
        <f t="shared" si="105"/>
        <v>0</v>
      </c>
      <c r="CN152" s="299"/>
      <c r="CO152" s="430">
        <v>28511.890962009795</v>
      </c>
      <c r="CP152" s="430">
        <v>2523.3500274473095</v>
      </c>
      <c r="CQ152" s="430">
        <v>2131.7689999999998</v>
      </c>
      <c r="CR152" s="430">
        <v>14444019.427632414</v>
      </c>
      <c r="CS152" s="430">
        <v>4679255.410982375</v>
      </c>
      <c r="CT152" s="430">
        <v>4903826.1185748177</v>
      </c>
      <c r="CU152" s="430">
        <v>1470353.0501399366</v>
      </c>
      <c r="CV152" s="430">
        <v>-633271</v>
      </c>
      <c r="CW152" s="430">
        <v>76461.798801396668</v>
      </c>
      <c r="CX152" s="430">
        <v>-166941</v>
      </c>
      <c r="CY152" s="430">
        <v>22232408.156647999</v>
      </c>
      <c r="CZ152" s="519"/>
      <c r="DA152" s="524">
        <v>28567.189280000002</v>
      </c>
      <c r="DB152" s="524">
        <v>2503.6177182788624</v>
      </c>
      <c r="DC152" s="520">
        <f t="shared" si="106"/>
        <v>-1</v>
      </c>
      <c r="DD152" s="440">
        <v>7799</v>
      </c>
      <c r="DE152" s="450">
        <v>20751178.752973355</v>
      </c>
      <c r="DF152" s="440">
        <v>12071055.944718704</v>
      </c>
      <c r="DG152" s="440">
        <v>2175882.9679999999</v>
      </c>
      <c r="DH152" s="440">
        <v>1510542.1495999999</v>
      </c>
      <c r="DI152" s="440">
        <v>4666887.9597741449</v>
      </c>
      <c r="DJ152" s="440">
        <v>1466646.019377856</v>
      </c>
      <c r="DK152" s="440">
        <v>575408.2609469922</v>
      </c>
      <c r="DL152" s="440">
        <v>-585101</v>
      </c>
      <c r="DM152" s="440">
        <v>-283000</v>
      </c>
      <c r="DN152" s="440">
        <v>73701.633675556077</v>
      </c>
      <c r="DO152" s="457">
        <f t="shared" si="107"/>
        <v>920845.1831198968</v>
      </c>
      <c r="DP152" s="459">
        <f t="shared" si="108"/>
        <v>118.07221222206653</v>
      </c>
      <c r="DQ152" s="440"/>
      <c r="DR152" s="450">
        <v>49434500</v>
      </c>
      <c r="DS152" s="440">
        <v>27942466.621019244</v>
      </c>
      <c r="DT152" s="440">
        <v>2265813.2244000002</v>
      </c>
      <c r="DU152" s="440">
        <v>14431679.797632411</v>
      </c>
      <c r="DV152" s="440">
        <v>4891462.670033168</v>
      </c>
      <c r="DW152" s="440">
        <v>1307781.9679999999</v>
      </c>
      <c r="DX152" s="457">
        <f t="shared" si="109"/>
        <v>1404704.2810848206</v>
      </c>
      <c r="DY152" s="459">
        <f t="shared" si="110"/>
        <v>180.11338390624704</v>
      </c>
      <c r="DZ152" s="440"/>
      <c r="EA152" s="457">
        <f t="shared" si="111"/>
        <v>-483859.09796492383</v>
      </c>
      <c r="EB152" s="459">
        <f t="shared" si="112"/>
        <v>-62.041171684180512</v>
      </c>
      <c r="ED152" s="457">
        <v>516347.50809418561</v>
      </c>
      <c r="EE152" s="458">
        <v>389256.91563295439</v>
      </c>
      <c r="EF152" s="458">
        <v>263781.40459342103</v>
      </c>
      <c r="EG152" s="458">
        <v>137513.73069477003</v>
      </c>
      <c r="EH152" s="459">
        <v>12915.353470993294</v>
      </c>
    </row>
    <row r="153" spans="1:138" x14ac:dyDescent="0.2">
      <c r="A153" s="67">
        <v>434</v>
      </c>
      <c r="B153" s="67" t="s">
        <v>274</v>
      </c>
      <c r="C153" s="67">
        <v>34</v>
      </c>
      <c r="D153" s="67">
        <v>14568</v>
      </c>
      <c r="E153" s="82">
        <v>36638275.247102171</v>
      </c>
      <c r="F153" s="67">
        <v>20289197.323134832</v>
      </c>
      <c r="G153" s="67">
        <v>4690241</v>
      </c>
      <c r="H153" s="67">
        <v>5157559.2092258176</v>
      </c>
      <c r="I153" s="67">
        <v>6179800.2356202882</v>
      </c>
      <c r="J153" s="67">
        <v>2599741.4787412304</v>
      </c>
      <c r="K153" s="67">
        <v>2421501.2594438777</v>
      </c>
      <c r="L153" s="67">
        <v>-866843</v>
      </c>
      <c r="M153" s="68">
        <v>0</v>
      </c>
      <c r="N153" s="68">
        <v>154141.95931730952</v>
      </c>
      <c r="O153" s="68">
        <v>-423977.84193088784</v>
      </c>
      <c r="P153" s="168">
        <f t="shared" si="78"/>
        <v>3563086.3764502937</v>
      </c>
      <c r="Q153" s="169">
        <f t="shared" si="79"/>
        <v>244.58308459982797</v>
      </c>
      <c r="R153" s="67"/>
      <c r="S153" s="82">
        <v>95113640.309999987</v>
      </c>
      <c r="T153" s="67">
        <v>52373161.777781069</v>
      </c>
      <c r="U153" s="67">
        <v>7751565.3342545629</v>
      </c>
      <c r="V153" s="67">
        <v>27540313.568221591</v>
      </c>
      <c r="W153" s="67">
        <v>8670489.1480180528</v>
      </c>
      <c r="X153" s="67">
        <v>3823398</v>
      </c>
      <c r="Y153" s="168">
        <f t="shared" si="80"/>
        <v>5045287.5182752907</v>
      </c>
      <c r="Z153" s="169">
        <f t="shared" si="81"/>
        <v>346.32671048018193</v>
      </c>
      <c r="AA153" s="67"/>
      <c r="AB153" s="77">
        <f t="shared" si="82"/>
        <v>-1482201.141824997</v>
      </c>
      <c r="AC153" s="123">
        <f t="shared" si="83"/>
        <v>-101.743625880354</v>
      </c>
      <c r="AE153" s="170"/>
      <c r="AF153" s="177">
        <v>1280407.0560148908</v>
      </c>
      <c r="AG153" s="177">
        <v>1023926.8310307943</v>
      </c>
      <c r="AH153" s="177">
        <v>783219.79454803339</v>
      </c>
      <c r="AI153" s="178">
        <v>539534.06728573795</v>
      </c>
      <c r="AK153" s="67">
        <f t="shared" si="84"/>
        <v>32083964.454646237</v>
      </c>
      <c r="AL153" s="67">
        <f t="shared" si="85"/>
        <v>2594006.1250287453</v>
      </c>
      <c r="AM153" s="67">
        <f t="shared" si="86"/>
        <v>21360513.332601301</v>
      </c>
      <c r="AN153" s="67">
        <f t="shared" si="87"/>
        <v>58475365.062897816</v>
      </c>
      <c r="AO153" s="67">
        <f t="shared" si="88"/>
        <v>0</v>
      </c>
      <c r="AP153" s="67">
        <f t="shared" si="89"/>
        <v>1280407.0560148908</v>
      </c>
      <c r="AQ153" s="67">
        <f t="shared" si="90"/>
        <v>1023926.8310307943</v>
      </c>
      <c r="AR153" s="67">
        <f t="shared" si="91"/>
        <v>783219.79454803339</v>
      </c>
      <c r="AS153" s="67">
        <f t="shared" si="92"/>
        <v>539534.06728573795</v>
      </c>
      <c r="AT153" s="68">
        <v>6902</v>
      </c>
      <c r="AU153" s="68"/>
      <c r="AV153" s="68"/>
      <c r="AW153" s="68">
        <v>17</v>
      </c>
      <c r="AX153" s="68">
        <v>19905.92855780126</v>
      </c>
      <c r="AY153" s="68">
        <v>-1586.7178059376542</v>
      </c>
      <c r="AZ153" s="68">
        <v>6044.9179215632203</v>
      </c>
      <c r="BA153" s="299"/>
      <c r="BB153" s="67"/>
      <c r="BC153" s="67"/>
      <c r="BD153" s="67"/>
      <c r="BE153" s="67"/>
      <c r="BF153" s="67"/>
      <c r="BG153" s="67"/>
      <c r="BH153" s="67"/>
      <c r="BN153" s="299"/>
      <c r="BO153" s="67">
        <v>42469782.643320017</v>
      </c>
      <c r="BP153" s="67">
        <v>53249940.019999996</v>
      </c>
      <c r="BQ153" s="67">
        <v>55608000</v>
      </c>
      <c r="BR153" s="67">
        <v>1994615.73</v>
      </c>
      <c r="BS153" s="67">
        <v>2252000</v>
      </c>
      <c r="BT153" s="428">
        <v>0.61260316096206402</v>
      </c>
      <c r="BU153" s="428">
        <v>0.33464287704132478</v>
      </c>
      <c r="BV153" s="67">
        <f t="shared" si="93"/>
        <v>29852762.261322007</v>
      </c>
      <c r="BW153" s="299"/>
      <c r="BX153" s="67">
        <v>100516214.59</v>
      </c>
      <c r="BY153" s="67">
        <v>42469782.643320017</v>
      </c>
      <c r="BZ153" s="67">
        <v>68262082.780914903</v>
      </c>
      <c r="CA153" s="67">
        <v>33856942.407100581</v>
      </c>
      <c r="CB153" s="67">
        <f t="shared" si="94"/>
        <v>2241486.2501135073</v>
      </c>
      <c r="CC153" s="67">
        <f t="shared" si="95"/>
        <v>346.32671048018182</v>
      </c>
      <c r="CD153" s="67">
        <f t="shared" si="96"/>
        <v>261.32957228520138</v>
      </c>
      <c r="CE153" s="67">
        <f t="shared" si="97"/>
        <v>-84.997138194980437</v>
      </c>
      <c r="CF153" s="67">
        <f t="shared" si="98"/>
        <v>69.997138194980437</v>
      </c>
      <c r="CG153" s="67">
        <f t="shared" si="99"/>
        <v>54.997138194980437</v>
      </c>
      <c r="CH153" s="67">
        <f t="shared" si="100"/>
        <v>39.997138194980437</v>
      </c>
      <c r="CI153" s="67">
        <f t="shared" si="101"/>
        <v>24.997138194980437</v>
      </c>
      <c r="CJ153" s="67">
        <f t="shared" si="102"/>
        <v>1019718.3092244751</v>
      </c>
      <c r="CK153" s="67">
        <f t="shared" si="103"/>
        <v>801198.30922447506</v>
      </c>
      <c r="CL153" s="67">
        <f t="shared" si="104"/>
        <v>582678.30922447506</v>
      </c>
      <c r="CM153" s="67">
        <f t="shared" si="105"/>
        <v>364158.309224475</v>
      </c>
      <c r="CN153" s="299"/>
      <c r="CO153" s="430">
        <v>52373.161777781068</v>
      </c>
      <c r="CP153" s="430">
        <v>7751.5653342545629</v>
      </c>
      <c r="CQ153" s="430">
        <v>4690.241</v>
      </c>
      <c r="CR153" s="430">
        <v>27540313.568221591</v>
      </c>
      <c r="CS153" s="430">
        <v>6179800.2356202882</v>
      </c>
      <c r="CT153" s="430">
        <v>8670489.1480180528</v>
      </c>
      <c r="CU153" s="430">
        <v>2599741.4787412304</v>
      </c>
      <c r="CV153" s="430">
        <v>-866843</v>
      </c>
      <c r="CW153" s="430">
        <v>154141.95931730952</v>
      </c>
      <c r="CX153" s="430">
        <v>0</v>
      </c>
      <c r="CY153" s="430">
        <v>36638275.247102171</v>
      </c>
      <c r="CZ153" s="519"/>
      <c r="DA153" s="524">
        <v>53088.89013</v>
      </c>
      <c r="DB153" s="524">
        <v>7690.9481191009063</v>
      </c>
      <c r="DC153" s="520">
        <f t="shared" si="106"/>
        <v>-1</v>
      </c>
      <c r="DD153" s="440">
        <v>14643</v>
      </c>
      <c r="DE153" s="450">
        <v>42469782.643320017</v>
      </c>
      <c r="DF153" s="440">
        <v>20657423.408500582</v>
      </c>
      <c r="DG153" s="440">
        <v>8559232.8570000008</v>
      </c>
      <c r="DH153" s="440">
        <v>4640286.1416000007</v>
      </c>
      <c r="DI153" s="440">
        <v>6156648.4485821528</v>
      </c>
      <c r="DJ153" s="440">
        <v>2588680.1284472169</v>
      </c>
      <c r="DK153" s="440">
        <v>2242491.3071369282</v>
      </c>
      <c r="DL153" s="440">
        <v>-811207</v>
      </c>
      <c r="DM153" s="440">
        <v>1764200</v>
      </c>
      <c r="DN153" s="440">
        <v>152508.78619957383</v>
      </c>
      <c r="DO153" s="457">
        <f t="shared" si="107"/>
        <v>3480481.4341464415</v>
      </c>
      <c r="DP153" s="459">
        <f t="shared" si="108"/>
        <v>237.68909609686824</v>
      </c>
      <c r="DQ153" s="440"/>
      <c r="DR153" s="450">
        <v>100516214.59</v>
      </c>
      <c r="DS153" s="440">
        <v>52742420.711514913</v>
      </c>
      <c r="DT153" s="440">
        <v>6960429.2124000005</v>
      </c>
      <c r="DU153" s="440">
        <v>27517234.568221588</v>
      </c>
      <c r="DV153" s="440">
        <v>8633598.0500104371</v>
      </c>
      <c r="DW153" s="440">
        <v>9512225.8570000008</v>
      </c>
      <c r="DX153" s="457">
        <f t="shared" si="109"/>
        <v>4849693.8091469407</v>
      </c>
      <c r="DY153" s="459">
        <f t="shared" si="110"/>
        <v>331.19537042593328</v>
      </c>
      <c r="DZ153" s="440"/>
      <c r="EA153" s="457">
        <f t="shared" si="111"/>
        <v>-1369212.3750004992</v>
      </c>
      <c r="EB153" s="459">
        <f t="shared" si="112"/>
        <v>-93.506274329065022</v>
      </c>
      <c r="ED153" s="457">
        <v>1430210.9375755377</v>
      </c>
      <c r="EE153" s="458">
        <v>1191592.1985821016</v>
      </c>
      <c r="EF153" s="458">
        <v>956005.85313372512</v>
      </c>
      <c r="EG153" s="458">
        <v>718932.18357378838</v>
      </c>
      <c r="EH153" s="459">
        <v>484992.69932096585</v>
      </c>
    </row>
    <row r="154" spans="1:138" x14ac:dyDescent="0.2">
      <c r="A154" s="67">
        <v>435</v>
      </c>
      <c r="B154" s="67" t="s">
        <v>275</v>
      </c>
      <c r="C154" s="67">
        <v>13</v>
      </c>
      <c r="D154" s="67">
        <v>692</v>
      </c>
      <c r="E154" s="82">
        <v>1968247.8340376914</v>
      </c>
      <c r="F154" s="67">
        <v>647467.27153473522</v>
      </c>
      <c r="G154" s="67">
        <v>624086</v>
      </c>
      <c r="H154" s="67">
        <v>262873.7872296432</v>
      </c>
      <c r="I154" s="67">
        <v>141997.26427714105</v>
      </c>
      <c r="J154" s="67">
        <v>150592.9042023865</v>
      </c>
      <c r="K154" s="67">
        <v>261130.137094376</v>
      </c>
      <c r="L154" s="67">
        <v>-182564</v>
      </c>
      <c r="M154" s="68">
        <v>10206.280000000001</v>
      </c>
      <c r="N154" s="68">
        <v>6449.8960338239031</v>
      </c>
      <c r="O154" s="68">
        <v>-20139.52955904547</v>
      </c>
      <c r="P154" s="168">
        <f t="shared" si="78"/>
        <v>-66147.823224631051</v>
      </c>
      <c r="Q154" s="169">
        <f t="shared" si="79"/>
        <v>-95.589339919987069</v>
      </c>
      <c r="R154" s="67"/>
      <c r="S154" s="82">
        <v>5250968.1500000004</v>
      </c>
      <c r="T154" s="67">
        <v>1966314.7791447353</v>
      </c>
      <c r="U154" s="67">
        <v>395086.7559074288</v>
      </c>
      <c r="V154" s="67">
        <v>2194604.5697020716</v>
      </c>
      <c r="W154" s="67">
        <v>502247.68590741896</v>
      </c>
      <c r="X154" s="67">
        <v>451728.28</v>
      </c>
      <c r="Y154" s="168">
        <f t="shared" si="80"/>
        <v>259013.92066165432</v>
      </c>
      <c r="Z154" s="169">
        <f t="shared" si="81"/>
        <v>374.29757321048311</v>
      </c>
      <c r="AA154" s="67"/>
      <c r="AB154" s="77">
        <f t="shared" si="82"/>
        <v>-325161.74388628535</v>
      </c>
      <c r="AC154" s="123">
        <f t="shared" si="83"/>
        <v>-469.88691313047013</v>
      </c>
      <c r="AE154" s="170"/>
      <c r="AF154" s="177">
        <v>315576.24777284556</v>
      </c>
      <c r="AG154" s="177">
        <v>303393.08497156913</v>
      </c>
      <c r="AH154" s="177">
        <v>291959.1702786758</v>
      </c>
      <c r="AI154" s="178">
        <v>280383.7636843932</v>
      </c>
      <c r="AK154" s="67">
        <f t="shared" si="84"/>
        <v>1318847.5076100002</v>
      </c>
      <c r="AL154" s="67">
        <f t="shared" si="85"/>
        <v>132212.9686777856</v>
      </c>
      <c r="AM154" s="67">
        <f t="shared" si="86"/>
        <v>2052607.3054249305</v>
      </c>
      <c r="AN154" s="67">
        <f t="shared" si="87"/>
        <v>3282720.315962309</v>
      </c>
      <c r="AO154" s="67">
        <f t="shared" si="88"/>
        <v>0</v>
      </c>
      <c r="AP154" s="67">
        <f t="shared" si="89"/>
        <v>315576.24777284556</v>
      </c>
      <c r="AQ154" s="67">
        <f t="shared" si="90"/>
        <v>303393.08497156913</v>
      </c>
      <c r="AR154" s="67">
        <f t="shared" si="91"/>
        <v>291959.1702786758</v>
      </c>
      <c r="AS154" s="67">
        <f t="shared" si="92"/>
        <v>280383.7636843932</v>
      </c>
      <c r="AT154" s="68">
        <v>222</v>
      </c>
      <c r="AU154" s="68"/>
      <c r="AV154" s="68"/>
      <c r="AW154" s="68">
        <v>0</v>
      </c>
      <c r="AX154" s="68">
        <v>1723.122910315943</v>
      </c>
      <c r="AY154" s="68">
        <v>-178.4094092856202</v>
      </c>
      <c r="AZ154" s="68">
        <v>351.30145851658</v>
      </c>
      <c r="BA154" s="299"/>
      <c r="BB154" s="67"/>
      <c r="BC154" s="67"/>
      <c r="BD154" s="67"/>
      <c r="BE154" s="67"/>
      <c r="BF154" s="67"/>
      <c r="BG154" s="67"/>
      <c r="BH154" s="67"/>
      <c r="BN154" s="299"/>
      <c r="BO154" s="67">
        <v>2072993.0435619289</v>
      </c>
      <c r="BP154" s="67">
        <v>2929825.7</v>
      </c>
      <c r="BQ154" s="67">
        <v>3297000</v>
      </c>
      <c r="BR154" s="67">
        <v>63004.38</v>
      </c>
      <c r="BS154" s="67">
        <v>60000</v>
      </c>
      <c r="BT154" s="428">
        <v>0.67072043682835136</v>
      </c>
      <c r="BU154" s="428">
        <v>0.33464287704132478</v>
      </c>
      <c r="BV154" s="67">
        <f t="shared" si="93"/>
        <v>2665392.2242243388</v>
      </c>
      <c r="BW154" s="299"/>
      <c r="BX154" s="67">
        <v>5261320</v>
      </c>
      <c r="BY154" s="67">
        <v>2072993.0435619289</v>
      </c>
      <c r="BZ154" s="67">
        <v>2913040.1865716483</v>
      </c>
      <c r="CA154" s="67">
        <v>1500995.4540728258</v>
      </c>
      <c r="CB154" s="67">
        <f t="shared" si="94"/>
        <v>281880.86009733006</v>
      </c>
      <c r="CC154" s="67">
        <f t="shared" si="95"/>
        <v>374.29757321048294</v>
      </c>
      <c r="CD154" s="67">
        <f t="shared" si="96"/>
        <v>-36.499379570276396</v>
      </c>
      <c r="CE154" s="67">
        <f t="shared" si="97"/>
        <v>-410.79695278075934</v>
      </c>
      <c r="CF154" s="67">
        <f t="shared" si="98"/>
        <v>395.79695278075934</v>
      </c>
      <c r="CG154" s="67">
        <f t="shared" si="99"/>
        <v>380.79695278075934</v>
      </c>
      <c r="CH154" s="67">
        <f t="shared" si="100"/>
        <v>365.79695278075934</v>
      </c>
      <c r="CI154" s="67">
        <f t="shared" si="101"/>
        <v>350.79695278075934</v>
      </c>
      <c r="CJ154" s="67">
        <f t="shared" si="102"/>
        <v>273891.49132428545</v>
      </c>
      <c r="CK154" s="67">
        <f t="shared" si="103"/>
        <v>263511.49132428545</v>
      </c>
      <c r="CL154" s="67">
        <f t="shared" si="104"/>
        <v>253131.49132428545</v>
      </c>
      <c r="CM154" s="67">
        <f t="shared" si="105"/>
        <v>242751.49132428545</v>
      </c>
      <c r="CN154" s="299"/>
      <c r="CO154" s="430">
        <v>1966.3147791447352</v>
      </c>
      <c r="CP154" s="430">
        <v>395.08675590742882</v>
      </c>
      <c r="CQ154" s="430">
        <v>624.08600000000001</v>
      </c>
      <c r="CR154" s="430">
        <v>2194604.5697020716</v>
      </c>
      <c r="CS154" s="430">
        <v>141997.26427714105</v>
      </c>
      <c r="CT154" s="430">
        <v>502247.68590741896</v>
      </c>
      <c r="CU154" s="430">
        <v>150592.9042023865</v>
      </c>
      <c r="CV154" s="430">
        <v>-182564</v>
      </c>
      <c r="CW154" s="430">
        <v>6449.8960338239031</v>
      </c>
      <c r="CX154" s="430">
        <v>10206.280000000001</v>
      </c>
      <c r="CY154" s="430">
        <v>1968247.8340376914</v>
      </c>
      <c r="CZ154" s="519"/>
      <c r="DA154" s="524">
        <v>2076.6131700000001</v>
      </c>
      <c r="DB154" s="524">
        <v>391.99692976471965</v>
      </c>
      <c r="DC154" s="520">
        <f t="shared" si="106"/>
        <v>-1</v>
      </c>
      <c r="DD154" s="440">
        <v>703</v>
      </c>
      <c r="DE154" s="450">
        <v>2072993.0435619289</v>
      </c>
      <c r="DF154" s="440">
        <v>638034.95447282586</v>
      </c>
      <c r="DG154" s="440">
        <v>626451.41800000006</v>
      </c>
      <c r="DH154" s="440">
        <v>236509.0816</v>
      </c>
      <c r="DI154" s="440">
        <v>140903.88575929988</v>
      </c>
      <c r="DJ154" s="440">
        <v>150441.5968184431</v>
      </c>
      <c r="DK154" s="440">
        <v>281995.3078204405</v>
      </c>
      <c r="DL154" s="440">
        <v>-182564</v>
      </c>
      <c r="DM154" s="440">
        <v>5150</v>
      </c>
      <c r="DN154" s="440">
        <v>6259.2166714947962</v>
      </c>
      <c r="DO154" s="457">
        <f t="shared" si="107"/>
        <v>-169811.58241942478</v>
      </c>
      <c r="DP154" s="459">
        <f t="shared" si="108"/>
        <v>-241.55274881852742</v>
      </c>
      <c r="DQ154" s="440"/>
      <c r="DR154" s="450">
        <v>5261320</v>
      </c>
      <c r="DS154" s="440">
        <v>1931825.1461716483</v>
      </c>
      <c r="DT154" s="440">
        <v>354763.62239999999</v>
      </c>
      <c r="DU154" s="440">
        <v>2193515.9797020713</v>
      </c>
      <c r="DV154" s="440">
        <v>501743.05533502309</v>
      </c>
      <c r="DW154" s="440">
        <v>449037.41800000006</v>
      </c>
      <c r="DX154" s="457">
        <f t="shared" si="109"/>
        <v>169565.22160874214</v>
      </c>
      <c r="DY154" s="459">
        <f t="shared" si="110"/>
        <v>241.20230669806847</v>
      </c>
      <c r="DZ154" s="440"/>
      <c r="EA154" s="457">
        <f t="shared" si="111"/>
        <v>-339376.80402816692</v>
      </c>
      <c r="EB154" s="459">
        <f t="shared" si="112"/>
        <v>-482.75505551659592</v>
      </c>
      <c r="ED154" s="457">
        <v>342305.30156898953</v>
      </c>
      <c r="EE154" s="458">
        <v>330849.38587463828</v>
      </c>
      <c r="EF154" s="458">
        <v>319539.05323445465</v>
      </c>
      <c r="EG154" s="458">
        <v>308157.31522307475</v>
      </c>
      <c r="EH154" s="459">
        <v>296926.04721585399</v>
      </c>
    </row>
    <row r="155" spans="1:138" x14ac:dyDescent="0.2">
      <c r="A155" s="67">
        <v>436</v>
      </c>
      <c r="B155" s="67" t="s">
        <v>276</v>
      </c>
      <c r="C155" s="67">
        <v>17</v>
      </c>
      <c r="D155" s="67">
        <v>1988</v>
      </c>
      <c r="E155" s="82">
        <v>7209804.0486214925</v>
      </c>
      <c r="F155" s="67">
        <v>2399745.2975716675</v>
      </c>
      <c r="G155" s="67">
        <v>306316</v>
      </c>
      <c r="H155" s="67">
        <v>175361.18735089208</v>
      </c>
      <c r="I155" s="67">
        <v>3827029.7480982337</v>
      </c>
      <c r="J155" s="67">
        <v>323735.25570308452</v>
      </c>
      <c r="K155" s="67">
        <v>-32477.348924889327</v>
      </c>
      <c r="L155" s="67">
        <v>-336778</v>
      </c>
      <c r="M155" s="68">
        <v>-40007.75</v>
      </c>
      <c r="N155" s="68">
        <v>15467.454672150778</v>
      </c>
      <c r="O155" s="68">
        <v>-57857.492432633517</v>
      </c>
      <c r="P155" s="168">
        <f t="shared" si="78"/>
        <v>-629269.69658298709</v>
      </c>
      <c r="Q155" s="169">
        <f t="shared" si="79"/>
        <v>-316.53405260713635</v>
      </c>
      <c r="R155" s="67"/>
      <c r="S155" s="82">
        <v>14201597.43</v>
      </c>
      <c r="T155" s="67">
        <v>5791325.8926440282</v>
      </c>
      <c r="U155" s="67">
        <v>263559.4950439625</v>
      </c>
      <c r="V155" s="67">
        <v>6320459.1541309021</v>
      </c>
      <c r="W155" s="67">
        <v>1079700.8257773151</v>
      </c>
      <c r="X155" s="67">
        <v>-70469.75</v>
      </c>
      <c r="Y155" s="168">
        <f t="shared" si="80"/>
        <v>-817021.81240379252</v>
      </c>
      <c r="Z155" s="169">
        <f t="shared" si="81"/>
        <v>-410.97676680271252</v>
      </c>
      <c r="AA155" s="67"/>
      <c r="AB155" s="77">
        <f t="shared" si="82"/>
        <v>187752.11582080543</v>
      </c>
      <c r="AC155" s="123">
        <f t="shared" si="83"/>
        <v>94.442714195576173</v>
      </c>
      <c r="AE155" s="170"/>
      <c r="AF155" s="177">
        <v>-155649.63933745009</v>
      </c>
      <c r="AG155" s="177">
        <v>-131009.82380123262</v>
      </c>
      <c r="AH155" s="177">
        <v>-104217.54404613437</v>
      </c>
      <c r="AI155" s="178">
        <v>-77831.746805431685</v>
      </c>
      <c r="AK155" s="67">
        <f t="shared" si="84"/>
        <v>3391580.5950723607</v>
      </c>
      <c r="AL155" s="67">
        <f t="shared" si="85"/>
        <v>88198.307693070412</v>
      </c>
      <c r="AM155" s="67">
        <f t="shared" si="86"/>
        <v>2493429.4060326684</v>
      </c>
      <c r="AN155" s="67">
        <f t="shared" si="87"/>
        <v>6991793.3813785072</v>
      </c>
      <c r="AO155" s="67">
        <f t="shared" si="88"/>
        <v>0</v>
      </c>
      <c r="AP155" s="67">
        <f t="shared" si="89"/>
        <v>-155649.63933745009</v>
      </c>
      <c r="AQ155" s="67">
        <f t="shared" si="90"/>
        <v>-131009.82380123262</v>
      </c>
      <c r="AR155" s="67">
        <f t="shared" si="91"/>
        <v>-104217.54404613437</v>
      </c>
      <c r="AS155" s="67">
        <f t="shared" si="92"/>
        <v>-77831.746805431685</v>
      </c>
      <c r="AT155" s="68">
        <v>802</v>
      </c>
      <c r="AU155" s="68"/>
      <c r="AV155" s="68"/>
      <c r="AW155" s="68">
        <v>8</v>
      </c>
      <c r="AX155" s="68">
        <v>1575.2192622415489</v>
      </c>
      <c r="AY155" s="68">
        <v>-1084.3106936620006</v>
      </c>
      <c r="AZ155" s="68">
        <v>758.71752199987702</v>
      </c>
      <c r="BA155" s="299"/>
      <c r="BB155" s="67"/>
      <c r="BC155" s="67"/>
      <c r="BD155" s="67"/>
      <c r="BE155" s="67"/>
      <c r="BF155" s="67"/>
      <c r="BG155" s="67"/>
      <c r="BH155" s="67"/>
      <c r="BN155" s="299"/>
      <c r="BO155" s="67">
        <v>6493909.0629043775</v>
      </c>
      <c r="BP155" s="67">
        <v>5886749.2199999988</v>
      </c>
      <c r="BQ155" s="67">
        <v>7362000</v>
      </c>
      <c r="BR155" s="67">
        <v>140577.12</v>
      </c>
      <c r="BS155" s="67">
        <v>135000</v>
      </c>
      <c r="BT155" s="428">
        <v>0.58563110727031376</v>
      </c>
      <c r="BU155" s="428">
        <v>0.33464287704132489</v>
      </c>
      <c r="BV155" s="67">
        <f t="shared" si="93"/>
        <v>3216917.6271820092</v>
      </c>
      <c r="BW155" s="299"/>
      <c r="BX155" s="67">
        <v>12750574</v>
      </c>
      <c r="BY155" s="67">
        <v>6493909.0629043775</v>
      </c>
      <c r="BZ155" s="67">
        <v>6334156.5653817942</v>
      </c>
      <c r="CA155" s="67">
        <v>2898759.212358051</v>
      </c>
      <c r="CB155" s="67">
        <f t="shared" si="94"/>
        <v>348389.96644080011</v>
      </c>
      <c r="CC155" s="67">
        <f t="shared" si="95"/>
        <v>-410.97676680271184</v>
      </c>
      <c r="CD155" s="67">
        <f t="shared" si="96"/>
        <v>-95.847529569750208</v>
      </c>
      <c r="CE155" s="67">
        <f t="shared" si="97"/>
        <v>315.1292372329616</v>
      </c>
      <c r="CF155" s="67">
        <f t="shared" si="98"/>
        <v>-300.1292372329616</v>
      </c>
      <c r="CG155" s="67">
        <f t="shared" si="99"/>
        <v>-285.1292372329616</v>
      </c>
      <c r="CH155" s="67">
        <f t="shared" si="100"/>
        <v>-270.1292372329616</v>
      </c>
      <c r="CI155" s="67">
        <f t="shared" si="101"/>
        <v>-255.1292372329616</v>
      </c>
      <c r="CJ155" s="67">
        <f t="shared" si="102"/>
        <v>-596656.92361912772</v>
      </c>
      <c r="CK155" s="67">
        <f t="shared" si="103"/>
        <v>-566836.92361912772</v>
      </c>
      <c r="CL155" s="67">
        <f t="shared" si="104"/>
        <v>-537016.92361912772</v>
      </c>
      <c r="CM155" s="67">
        <f t="shared" si="105"/>
        <v>-507196.92361912766</v>
      </c>
      <c r="CN155" s="299"/>
      <c r="CO155" s="430">
        <v>5791.3258926440285</v>
      </c>
      <c r="CP155" s="430">
        <v>263.5594950439625</v>
      </c>
      <c r="CQ155" s="430">
        <v>306.31599999999997</v>
      </c>
      <c r="CR155" s="430">
        <v>6320459.1541309021</v>
      </c>
      <c r="CS155" s="430">
        <v>3827029.7480982337</v>
      </c>
      <c r="CT155" s="430">
        <v>1079700.8257773151</v>
      </c>
      <c r="CU155" s="430">
        <v>323735.25570308452</v>
      </c>
      <c r="CV155" s="430">
        <v>-336778</v>
      </c>
      <c r="CW155" s="430">
        <v>15467.454672150778</v>
      </c>
      <c r="CX155" s="430">
        <v>-40007.75</v>
      </c>
      <c r="CY155" s="430">
        <v>7209804.0486214925</v>
      </c>
      <c r="CZ155" s="519"/>
      <c r="DA155" s="524">
        <v>5957.9837699999998</v>
      </c>
      <c r="DB155" s="524">
        <v>261.49874499369201</v>
      </c>
      <c r="DC155" s="520">
        <f t="shared" si="106"/>
        <v>-1</v>
      </c>
      <c r="DD155" s="440">
        <v>2018</v>
      </c>
      <c r="DE155" s="450">
        <v>6493909.0629043775</v>
      </c>
      <c r="DF155" s="440">
        <v>2414520.4874580512</v>
      </c>
      <c r="DG155" s="440">
        <v>326465.24050000001</v>
      </c>
      <c r="DH155" s="440">
        <v>157773.48440000002</v>
      </c>
      <c r="DI155" s="440">
        <v>3823791.3723076023</v>
      </c>
      <c r="DJ155" s="440">
        <v>324913.7536342073</v>
      </c>
      <c r="DK155" s="440">
        <v>348525.13529645506</v>
      </c>
      <c r="DL155" s="440">
        <v>-336778</v>
      </c>
      <c r="DM155" s="440">
        <v>-36000</v>
      </c>
      <c r="DN155" s="440">
        <v>15228.19772657113</v>
      </c>
      <c r="DO155" s="457">
        <f t="shared" si="107"/>
        <v>544530.6084185103</v>
      </c>
      <c r="DP155" s="459">
        <f t="shared" si="108"/>
        <v>269.83677325000508</v>
      </c>
      <c r="DQ155" s="440"/>
      <c r="DR155" s="450">
        <v>12750574</v>
      </c>
      <c r="DS155" s="440">
        <v>5771031.0982817942</v>
      </c>
      <c r="DT155" s="440">
        <v>236660.22659999999</v>
      </c>
      <c r="DU155" s="440">
        <v>6317219.2341309004</v>
      </c>
      <c r="DV155" s="440">
        <v>1083631.2756340844</v>
      </c>
      <c r="DW155" s="440">
        <v>-46312.759499999986</v>
      </c>
      <c r="DX155" s="457">
        <f t="shared" si="109"/>
        <v>611655.07514677942</v>
      </c>
      <c r="DY155" s="459">
        <f t="shared" si="110"/>
        <v>303.09964080613452</v>
      </c>
      <c r="DZ155" s="440"/>
      <c r="EA155" s="457">
        <f t="shared" si="111"/>
        <v>-67124.466728269123</v>
      </c>
      <c r="EB155" s="459">
        <f t="shared" si="112"/>
        <v>-33.262867556129393</v>
      </c>
      <c r="ED155" s="457">
        <v>75530.879299219538</v>
      </c>
      <c r="EE155" s="458">
        <v>42646.045912020592</v>
      </c>
      <c r="EF155" s="458">
        <v>10179.116654708318</v>
      </c>
      <c r="EG155" s="458">
        <v>1192.7476405721013</v>
      </c>
      <c r="EH155" s="459">
        <v>-777.22225782274757</v>
      </c>
    </row>
    <row r="156" spans="1:138" x14ac:dyDescent="0.2">
      <c r="A156" s="67">
        <v>440</v>
      </c>
      <c r="B156" s="67" t="s">
        <v>277</v>
      </c>
      <c r="C156" s="67">
        <v>15</v>
      </c>
      <c r="D156" s="67">
        <v>5732</v>
      </c>
      <c r="E156" s="82">
        <v>17240951.472576741</v>
      </c>
      <c r="F156" s="67">
        <v>6731264.9884558609</v>
      </c>
      <c r="G156" s="67">
        <v>1439571</v>
      </c>
      <c r="H156" s="67">
        <v>423153.30878037988</v>
      </c>
      <c r="I156" s="67">
        <v>12217892.325259862</v>
      </c>
      <c r="J156" s="67">
        <v>753119.01954361494</v>
      </c>
      <c r="K156" s="67">
        <v>-795400.50521327171</v>
      </c>
      <c r="L156" s="67">
        <v>-1244698</v>
      </c>
      <c r="M156" s="68">
        <v>1102089.43</v>
      </c>
      <c r="N156" s="68">
        <v>49829.000065913177</v>
      </c>
      <c r="O156" s="68">
        <v>-166820.49628966567</v>
      </c>
      <c r="P156" s="168">
        <f t="shared" si="78"/>
        <v>3269048.5980259525</v>
      </c>
      <c r="Q156" s="169">
        <f t="shared" si="79"/>
        <v>570.31552652232244</v>
      </c>
      <c r="R156" s="67"/>
      <c r="S156" s="82">
        <v>35212612.979999997</v>
      </c>
      <c r="T156" s="67">
        <v>17728680.629015654</v>
      </c>
      <c r="U156" s="67">
        <v>635979.22706339112</v>
      </c>
      <c r="V156" s="67">
        <v>15254212.077365723</v>
      </c>
      <c r="W156" s="67">
        <v>2511753.7030184357</v>
      </c>
      <c r="X156" s="67">
        <v>1296962.43</v>
      </c>
      <c r="Y156" s="168">
        <f t="shared" si="80"/>
        <v>2214975.0864632055</v>
      </c>
      <c r="Z156" s="169">
        <f t="shared" si="81"/>
        <v>386.42272966908678</v>
      </c>
      <c r="AA156" s="67"/>
      <c r="AB156" s="77">
        <f t="shared" si="82"/>
        <v>1054073.5115627469</v>
      </c>
      <c r="AC156" s="123">
        <f t="shared" si="83"/>
        <v>183.89279685323569</v>
      </c>
      <c r="AE156" s="170"/>
      <c r="AF156" s="177">
        <v>-961512.4475775382</v>
      </c>
      <c r="AG156" s="177">
        <v>-890468.47239967168</v>
      </c>
      <c r="AH156" s="177">
        <v>-813218.29757259774</v>
      </c>
      <c r="AI156" s="178">
        <v>-737140.13369749312</v>
      </c>
      <c r="AK156" s="67">
        <f t="shared" si="84"/>
        <v>10997415.640559793</v>
      </c>
      <c r="AL156" s="67">
        <f t="shared" si="85"/>
        <v>212825.91828301124</v>
      </c>
      <c r="AM156" s="67">
        <f t="shared" si="86"/>
        <v>3036319.75210586</v>
      </c>
      <c r="AN156" s="67">
        <f t="shared" si="87"/>
        <v>17971661.507423256</v>
      </c>
      <c r="AO156" s="67">
        <f t="shared" si="88"/>
        <v>0</v>
      </c>
      <c r="AP156" s="67">
        <f t="shared" si="89"/>
        <v>-961512.4475775382</v>
      </c>
      <c r="AQ156" s="67">
        <f t="shared" si="90"/>
        <v>-890468.47239967168</v>
      </c>
      <c r="AR156" s="67">
        <f t="shared" si="91"/>
        <v>-813218.29757259774</v>
      </c>
      <c r="AS156" s="67">
        <f t="shared" si="92"/>
        <v>-737140.13369749312</v>
      </c>
      <c r="AT156" s="68">
        <v>1564</v>
      </c>
      <c r="AU156" s="68"/>
      <c r="AV156" s="68"/>
      <c r="AW156" s="68">
        <v>15</v>
      </c>
      <c r="AX156" s="68">
        <v>1502.3769760510809</v>
      </c>
      <c r="AY156" s="68">
        <v>-2057.7492841420212</v>
      </c>
      <c r="AZ156" s="68">
        <v>1777.5704334890233</v>
      </c>
      <c r="BA156" s="299"/>
      <c r="BB156" s="67"/>
      <c r="BC156" s="67"/>
      <c r="BD156" s="67"/>
      <c r="BE156" s="67"/>
      <c r="BF156" s="67"/>
      <c r="BG156" s="67"/>
      <c r="BH156" s="67"/>
      <c r="BN156" s="299"/>
      <c r="BO156" s="67">
        <v>17628339.319432523</v>
      </c>
      <c r="BP156" s="67">
        <v>16950266.989999998</v>
      </c>
      <c r="BQ156" s="67">
        <v>17074000</v>
      </c>
      <c r="BR156" s="67">
        <v>368495.46</v>
      </c>
      <c r="BS156" s="67">
        <v>370000</v>
      </c>
      <c r="BT156" s="428">
        <v>0.62031777043582514</v>
      </c>
      <c r="BU156" s="428">
        <v>0.33464287704132489</v>
      </c>
      <c r="BV156" s="67">
        <f t="shared" si="93"/>
        <v>3999553.9303674083</v>
      </c>
      <c r="BW156" s="299"/>
      <c r="BX156" s="67">
        <v>35727875.380000003</v>
      </c>
      <c r="BY156" s="67">
        <v>17628339.319432523</v>
      </c>
      <c r="BZ156" s="67">
        <v>18975207.504382256</v>
      </c>
      <c r="CA156" s="67">
        <v>8374755.5723475944</v>
      </c>
      <c r="CB156" s="67">
        <f t="shared" si="94"/>
        <v>-1328221.9601040529</v>
      </c>
      <c r="CC156" s="67">
        <f t="shared" si="95"/>
        <v>386.42272966908712</v>
      </c>
      <c r="CD156" s="67">
        <f t="shared" si="96"/>
        <v>506.46330066727802</v>
      </c>
      <c r="CE156" s="67">
        <f t="shared" si="97"/>
        <v>120.0405709981909</v>
      </c>
      <c r="CF156" s="67">
        <f t="shared" si="98"/>
        <v>-105.0405709981909</v>
      </c>
      <c r="CG156" s="67">
        <f t="shared" si="99"/>
        <v>-90.040570998190901</v>
      </c>
      <c r="CH156" s="67">
        <f t="shared" si="100"/>
        <v>-75.040570998190901</v>
      </c>
      <c r="CI156" s="67">
        <f t="shared" si="101"/>
        <v>-60.040570998190901</v>
      </c>
      <c r="CJ156" s="67">
        <f t="shared" si="102"/>
        <v>-602092.55296163028</v>
      </c>
      <c r="CK156" s="67">
        <f t="shared" si="103"/>
        <v>-516112.55296163022</v>
      </c>
      <c r="CL156" s="67">
        <f t="shared" si="104"/>
        <v>-430132.55296163022</v>
      </c>
      <c r="CM156" s="67">
        <f t="shared" si="105"/>
        <v>-344152.55296163022</v>
      </c>
      <c r="CN156" s="299"/>
      <c r="CO156" s="430">
        <v>17728.680629015653</v>
      </c>
      <c r="CP156" s="430">
        <v>635.97922706339114</v>
      </c>
      <c r="CQ156" s="430">
        <v>1439.5709999999999</v>
      </c>
      <c r="CR156" s="430">
        <v>15254212.077365723</v>
      </c>
      <c r="CS156" s="430">
        <v>12217892.325259862</v>
      </c>
      <c r="CT156" s="430">
        <v>2511753.7030184357</v>
      </c>
      <c r="CU156" s="430">
        <v>753119.01954361494</v>
      </c>
      <c r="CV156" s="430">
        <v>-1244698</v>
      </c>
      <c r="CW156" s="430">
        <v>49829.000065913177</v>
      </c>
      <c r="CX156" s="430">
        <v>1102089.43</v>
      </c>
      <c r="CY156" s="430">
        <v>17240951.472576741</v>
      </c>
      <c r="CZ156" s="519"/>
      <c r="DA156" s="524">
        <v>17497.52391</v>
      </c>
      <c r="DB156" s="524">
        <v>631.00604551052868</v>
      </c>
      <c r="DC156" s="520">
        <f t="shared" si="106"/>
        <v>-1</v>
      </c>
      <c r="DD156" s="440">
        <v>5622</v>
      </c>
      <c r="DE156" s="450">
        <v>17628339.319432523</v>
      </c>
      <c r="DF156" s="440">
        <v>6536128.2511475943</v>
      </c>
      <c r="DG156" s="440">
        <v>1457913.818</v>
      </c>
      <c r="DH156" s="440">
        <v>380713.50319999998</v>
      </c>
      <c r="DI156" s="440">
        <v>12209097.331659555</v>
      </c>
      <c r="DJ156" s="440">
        <v>761228.07915618038</v>
      </c>
      <c r="DK156" s="440">
        <v>-1326489.8967506385</v>
      </c>
      <c r="DL156" s="440">
        <v>-1244698</v>
      </c>
      <c r="DM156" s="440">
        <v>327875</v>
      </c>
      <c r="DN156" s="440">
        <v>46988.96850169434</v>
      </c>
      <c r="DO156" s="457">
        <f t="shared" si="107"/>
        <v>1520417.735481862</v>
      </c>
      <c r="DP156" s="459">
        <f t="shared" si="108"/>
        <v>270.4407213592782</v>
      </c>
      <c r="DQ156" s="440"/>
      <c r="DR156" s="450">
        <v>35727875.380000003</v>
      </c>
      <c r="DS156" s="440">
        <v>16946223.431582257</v>
      </c>
      <c r="DT156" s="440">
        <v>571070.2548</v>
      </c>
      <c r="DU156" s="440">
        <v>15245414.517365728</v>
      </c>
      <c r="DV156" s="440">
        <v>2538798.5126452036</v>
      </c>
      <c r="DW156" s="440">
        <v>541090.81799999997</v>
      </c>
      <c r="DX156" s="457">
        <f t="shared" si="109"/>
        <v>114722.15439318866</v>
      </c>
      <c r="DY156" s="459">
        <f t="shared" si="110"/>
        <v>20.405932834078381</v>
      </c>
      <c r="DZ156" s="440"/>
      <c r="EA156" s="457">
        <f t="shared" si="111"/>
        <v>1405695.5810886733</v>
      </c>
      <c r="EB156" s="459">
        <f t="shared" si="112"/>
        <v>250.03478852519982</v>
      </c>
      <c r="ED156" s="457">
        <v>-1382275.9321918034</v>
      </c>
      <c r="EE156" s="458">
        <v>-1305230.6662368146</v>
      </c>
      <c r="EF156" s="458">
        <v>-1227021.1500250255</v>
      </c>
      <c r="EG156" s="458">
        <v>-1149382.6736380805</v>
      </c>
      <c r="EH156" s="459">
        <v>-1070540.8652975333</v>
      </c>
    </row>
    <row r="157" spans="1:138" x14ac:dyDescent="0.2">
      <c r="A157" s="67">
        <v>441</v>
      </c>
      <c r="B157" s="67" t="s">
        <v>278</v>
      </c>
      <c r="C157" s="67">
        <v>9</v>
      </c>
      <c r="D157" s="67">
        <v>4421</v>
      </c>
      <c r="E157" s="82">
        <v>11907532.315090153</v>
      </c>
      <c r="F157" s="67">
        <v>5941099.7671291232</v>
      </c>
      <c r="G157" s="67">
        <v>1654282</v>
      </c>
      <c r="H157" s="67">
        <v>1513499.8836195811</v>
      </c>
      <c r="I157" s="67">
        <v>1076224.7995170408</v>
      </c>
      <c r="J157" s="67">
        <v>903950.5741007952</v>
      </c>
      <c r="K157" s="67">
        <v>-783616.46493395884</v>
      </c>
      <c r="L157" s="67">
        <v>-422447</v>
      </c>
      <c r="M157" s="68">
        <v>418201.58</v>
      </c>
      <c r="N157" s="68">
        <v>41093.298952683719</v>
      </c>
      <c r="O157" s="68">
        <v>-128665.98291985552</v>
      </c>
      <c r="P157" s="168">
        <f t="shared" si="78"/>
        <v>-1693909.8596247439</v>
      </c>
      <c r="Q157" s="169">
        <f t="shared" si="79"/>
        <v>-383.1508390917765</v>
      </c>
      <c r="R157" s="67"/>
      <c r="S157" s="82">
        <v>34642207.68</v>
      </c>
      <c r="T157" s="67">
        <v>14424815.376825642</v>
      </c>
      <c r="U157" s="67">
        <v>2274718.0895718518</v>
      </c>
      <c r="V157" s="67">
        <v>11299341.010956787</v>
      </c>
      <c r="W157" s="67">
        <v>3014797.3201091406</v>
      </c>
      <c r="X157" s="67">
        <v>1650036.58</v>
      </c>
      <c r="Y157" s="168">
        <f t="shared" si="80"/>
        <v>-1978499.3025365807</v>
      </c>
      <c r="Z157" s="169">
        <f t="shared" si="81"/>
        <v>-447.52302703835801</v>
      </c>
      <c r="AA157" s="67"/>
      <c r="AB157" s="77">
        <f t="shared" si="82"/>
        <v>284589.44291183678</v>
      </c>
      <c r="AC157" s="123">
        <f t="shared" si="83"/>
        <v>64.372187946581491</v>
      </c>
      <c r="AE157" s="170"/>
      <c r="AF157" s="177">
        <v>-213198.57342847617</v>
      </c>
      <c r="AG157" s="177">
        <v>-158403.49068923199</v>
      </c>
      <c r="AH157" s="177">
        <v>-98821.665338482824</v>
      </c>
      <c r="AI157" s="178">
        <v>-40143.793305712912</v>
      </c>
      <c r="AK157" s="67">
        <f t="shared" si="84"/>
        <v>8483715.6096965186</v>
      </c>
      <c r="AL157" s="67">
        <f t="shared" si="85"/>
        <v>761218.20595227065</v>
      </c>
      <c r="AM157" s="67">
        <f t="shared" si="86"/>
        <v>10223116.211439746</v>
      </c>
      <c r="AN157" s="67">
        <f t="shared" si="87"/>
        <v>22734675.364909846</v>
      </c>
      <c r="AO157" s="67">
        <f t="shared" si="88"/>
        <v>0</v>
      </c>
      <c r="AP157" s="67">
        <f t="shared" si="89"/>
        <v>-213198.57342847617</v>
      </c>
      <c r="AQ157" s="67">
        <f t="shared" si="90"/>
        <v>-158403.49068923199</v>
      </c>
      <c r="AR157" s="67">
        <f t="shared" si="91"/>
        <v>-98821.665338482824</v>
      </c>
      <c r="AS157" s="67">
        <f t="shared" si="92"/>
        <v>-40143.793305712912</v>
      </c>
      <c r="AT157" s="68">
        <v>1910</v>
      </c>
      <c r="AU157" s="68"/>
      <c r="AV157" s="68"/>
      <c r="AW157" s="68">
        <v>0</v>
      </c>
      <c r="AX157" s="68">
        <v>8856.3789014063404</v>
      </c>
      <c r="AY157" s="68">
        <v>-1128.9157763226085</v>
      </c>
      <c r="AZ157" s="68">
        <v>2112.3513155792944</v>
      </c>
      <c r="BA157" s="299"/>
      <c r="BB157" s="67"/>
      <c r="BC157" s="67"/>
      <c r="BD157" s="67"/>
      <c r="BE157" s="67"/>
      <c r="BF157" s="67"/>
      <c r="BG157" s="67"/>
      <c r="BH157" s="67"/>
      <c r="BN157" s="299"/>
      <c r="BO157" s="67">
        <v>12513850.605619404</v>
      </c>
      <c r="BP157" s="67">
        <v>20720122.270000003</v>
      </c>
      <c r="BQ157" s="67">
        <v>22213000</v>
      </c>
      <c r="BR157" s="67">
        <v>524495.97</v>
      </c>
      <c r="BS157" s="67">
        <v>518000</v>
      </c>
      <c r="BT157" s="428">
        <v>0.5881333929116439</v>
      </c>
      <c r="BU157" s="428">
        <v>0.33464287704132489</v>
      </c>
      <c r="BV157" s="67">
        <f t="shared" si="93"/>
        <v>11550346.492514133</v>
      </c>
      <c r="BW157" s="299"/>
      <c r="BX157" s="67">
        <v>35105300</v>
      </c>
      <c r="BY157" s="67">
        <v>12513850.605619404</v>
      </c>
      <c r="BZ157" s="67">
        <v>18635097.453488749</v>
      </c>
      <c r="CA157" s="67">
        <v>9228635.6726541016</v>
      </c>
      <c r="CB157" s="67">
        <f t="shared" si="94"/>
        <v>-678211.78374735184</v>
      </c>
      <c r="CC157" s="67">
        <f t="shared" si="95"/>
        <v>-447.5230270383575</v>
      </c>
      <c r="CD157" s="67">
        <f t="shared" si="96"/>
        <v>-330.20565381548988</v>
      </c>
      <c r="CE157" s="67">
        <f t="shared" si="97"/>
        <v>117.31737322286762</v>
      </c>
      <c r="CF157" s="67">
        <f t="shared" si="98"/>
        <v>-102.31737322286762</v>
      </c>
      <c r="CG157" s="67">
        <f t="shared" si="99"/>
        <v>-87.317373222867616</v>
      </c>
      <c r="CH157" s="67">
        <f t="shared" si="100"/>
        <v>-72.317373222867616</v>
      </c>
      <c r="CI157" s="67">
        <f t="shared" si="101"/>
        <v>-57.317373222867616</v>
      </c>
      <c r="CJ157" s="67">
        <f t="shared" si="102"/>
        <v>-452345.10701829771</v>
      </c>
      <c r="CK157" s="67">
        <f t="shared" si="103"/>
        <v>-386030.10701829771</v>
      </c>
      <c r="CL157" s="67">
        <f t="shared" si="104"/>
        <v>-319715.10701829771</v>
      </c>
      <c r="CM157" s="67">
        <f t="shared" si="105"/>
        <v>-253400.10701829774</v>
      </c>
      <c r="CN157" s="299"/>
      <c r="CO157" s="430">
        <v>14424.815376825642</v>
      </c>
      <c r="CP157" s="430">
        <v>2274.7180895718516</v>
      </c>
      <c r="CQ157" s="430">
        <v>1654.2819999999999</v>
      </c>
      <c r="CR157" s="430">
        <v>11299341.010956787</v>
      </c>
      <c r="CS157" s="430">
        <v>1076224.7995170408</v>
      </c>
      <c r="CT157" s="430">
        <v>3014797.3201091406</v>
      </c>
      <c r="CU157" s="430">
        <v>903950.5741007952</v>
      </c>
      <c r="CV157" s="430">
        <v>-422447</v>
      </c>
      <c r="CW157" s="430">
        <v>41093.298952683719</v>
      </c>
      <c r="CX157" s="430">
        <v>418201.58</v>
      </c>
      <c r="CY157" s="430">
        <v>11907532.315090153</v>
      </c>
      <c r="CZ157" s="519"/>
      <c r="DA157" s="524">
        <v>14494.58339</v>
      </c>
      <c r="DB157" s="524">
        <v>2256.9288932704849</v>
      </c>
      <c r="DC157" s="520">
        <f t="shared" si="106"/>
        <v>-1</v>
      </c>
      <c r="DD157" s="440">
        <v>4473</v>
      </c>
      <c r="DE157" s="450">
        <v>12513850.605619404</v>
      </c>
      <c r="DF157" s="440">
        <v>6215419.9647541009</v>
      </c>
      <c r="DG157" s="440">
        <v>1651511.0234999999</v>
      </c>
      <c r="DH157" s="440">
        <v>1361704.6844000001</v>
      </c>
      <c r="DI157" s="440">
        <v>1069096.4923236372</v>
      </c>
      <c r="DJ157" s="440">
        <v>904594.89208835689</v>
      </c>
      <c r="DK157" s="440">
        <v>-678572.22119244223</v>
      </c>
      <c r="DL157" s="440">
        <v>-553468</v>
      </c>
      <c r="DM157" s="440">
        <v>757000</v>
      </c>
      <c r="DN157" s="440">
        <v>41696.329474057893</v>
      </c>
      <c r="DO157" s="457">
        <f t="shared" si="107"/>
        <v>-1744867.4402716942</v>
      </c>
      <c r="DP157" s="459">
        <f t="shared" si="108"/>
        <v>-390.08885317945322</v>
      </c>
      <c r="DQ157" s="440"/>
      <c r="DR157" s="450">
        <v>35105300</v>
      </c>
      <c r="DS157" s="440">
        <v>14941029.403388748</v>
      </c>
      <c r="DT157" s="440">
        <v>2042557.0266</v>
      </c>
      <c r="DU157" s="440">
        <v>11292237.070956783</v>
      </c>
      <c r="DV157" s="440">
        <v>3016946.2076676511</v>
      </c>
      <c r="DW157" s="440">
        <v>1855043.0234999999</v>
      </c>
      <c r="DX157" s="457">
        <f t="shared" si="109"/>
        <v>-1957487.2678868175</v>
      </c>
      <c r="DY157" s="459">
        <f t="shared" si="110"/>
        <v>-437.62290809005532</v>
      </c>
      <c r="DZ157" s="440"/>
      <c r="EA157" s="457">
        <f t="shared" si="111"/>
        <v>212619.82761512324</v>
      </c>
      <c r="EB157" s="459">
        <f t="shared" si="112"/>
        <v>47.534054910602109</v>
      </c>
      <c r="ED157" s="457">
        <v>-193986.5850829838</v>
      </c>
      <c r="EE157" s="458">
        <v>-132687.49674846491</v>
      </c>
      <c r="EF157" s="458">
        <v>-70462.102579960352</v>
      </c>
      <c r="EG157" s="458">
        <v>-8691.0415912010158</v>
      </c>
      <c r="EH157" s="459">
        <v>-1722.7528043811444</v>
      </c>
    </row>
    <row r="158" spans="1:138" x14ac:dyDescent="0.2">
      <c r="A158" s="67">
        <v>475</v>
      </c>
      <c r="B158" s="67" t="s">
        <v>280</v>
      </c>
      <c r="C158" s="67">
        <v>15</v>
      </c>
      <c r="D158" s="67">
        <v>5479</v>
      </c>
      <c r="E158" s="82">
        <v>16558384.368773345</v>
      </c>
      <c r="F158" s="67">
        <v>8332580.3327830946</v>
      </c>
      <c r="G158" s="67">
        <v>2084200</v>
      </c>
      <c r="H158" s="67">
        <v>1211735.9864923407</v>
      </c>
      <c r="I158" s="67">
        <v>6588617.2126064654</v>
      </c>
      <c r="J158" s="67">
        <v>1117749.6629083124</v>
      </c>
      <c r="K158" s="67">
        <v>-1059104.0087166179</v>
      </c>
      <c r="L158" s="67">
        <v>-19113</v>
      </c>
      <c r="M158" s="68">
        <v>-42358.01</v>
      </c>
      <c r="N158" s="68">
        <v>52131.063823815522</v>
      </c>
      <c r="O158" s="68">
        <v>-159457.34458671985</v>
      </c>
      <c r="P158" s="168">
        <f t="shared" si="78"/>
        <v>1548597.5265373467</v>
      </c>
      <c r="Q158" s="169">
        <f t="shared" si="79"/>
        <v>282.6423665883093</v>
      </c>
      <c r="R158" s="67"/>
      <c r="S158" s="82">
        <v>42016014.759999998</v>
      </c>
      <c r="T158" s="67">
        <v>19451281.574293479</v>
      </c>
      <c r="U158" s="67">
        <v>1821181.3546145814</v>
      </c>
      <c r="V158" s="67">
        <v>15681405.174741337</v>
      </c>
      <c r="W158" s="67">
        <v>3727846.1730509689</v>
      </c>
      <c r="X158" s="67">
        <v>2022728.99</v>
      </c>
      <c r="Y158" s="168">
        <f t="shared" si="80"/>
        <v>688428.50670037419</v>
      </c>
      <c r="Z158" s="169">
        <f t="shared" si="81"/>
        <v>125.64856847971787</v>
      </c>
      <c r="AA158" s="67"/>
      <c r="AB158" s="77">
        <f t="shared" si="82"/>
        <v>860169.01983697247</v>
      </c>
      <c r="AC158" s="123">
        <f t="shared" si="83"/>
        <v>156.99379810859142</v>
      </c>
      <c r="AE158" s="170"/>
      <c r="AF158" s="177">
        <v>-771693.43198370142</v>
      </c>
      <c r="AG158" s="177">
        <v>-703785.20797820063</v>
      </c>
      <c r="AH158" s="177">
        <v>-629944.71462901391</v>
      </c>
      <c r="AI158" s="178">
        <v>-557224.50181120203</v>
      </c>
      <c r="AK158" s="67">
        <f t="shared" si="84"/>
        <v>11118701.241510384</v>
      </c>
      <c r="AL158" s="67">
        <f t="shared" si="85"/>
        <v>609445.36812224076</v>
      </c>
      <c r="AM158" s="67">
        <f t="shared" si="86"/>
        <v>9092787.9621348716</v>
      </c>
      <c r="AN158" s="67">
        <f t="shared" si="87"/>
        <v>25457630.391226653</v>
      </c>
      <c r="AO158" s="67">
        <f t="shared" si="88"/>
        <v>0</v>
      </c>
      <c r="AP158" s="67">
        <f t="shared" si="89"/>
        <v>-771693.43198370142</v>
      </c>
      <c r="AQ158" s="67">
        <f t="shared" si="90"/>
        <v>-703785.20797820063</v>
      </c>
      <c r="AR158" s="67">
        <f t="shared" si="91"/>
        <v>-629944.71462901391</v>
      </c>
      <c r="AS158" s="67">
        <f t="shared" si="92"/>
        <v>-557224.50181120203</v>
      </c>
      <c r="AT158" s="68">
        <v>2347</v>
      </c>
      <c r="AU158" s="68"/>
      <c r="AV158" s="68"/>
      <c r="AW158" s="68">
        <v>96</v>
      </c>
      <c r="AX158" s="68">
        <v>7755.7505811733063</v>
      </c>
      <c r="AY158" s="68">
        <v>-1491.1370616541385</v>
      </c>
      <c r="AZ158" s="68">
        <v>2626.1280137632261</v>
      </c>
      <c r="BA158" s="299"/>
      <c r="BB158" s="67"/>
      <c r="BC158" s="67"/>
      <c r="BD158" s="67"/>
      <c r="BE158" s="67"/>
      <c r="BF158" s="67"/>
      <c r="BG158" s="67"/>
      <c r="BH158" s="67"/>
      <c r="BN158" s="299"/>
      <c r="BO158" s="67">
        <v>15969482.253531128</v>
      </c>
      <c r="BP158" s="67">
        <v>23697425.999999996</v>
      </c>
      <c r="BQ158" s="67">
        <v>24700000</v>
      </c>
      <c r="BR158" s="67">
        <v>446053.97</v>
      </c>
      <c r="BS158" s="67">
        <v>400000</v>
      </c>
      <c r="BT158" s="428">
        <v>0.57161792651260013</v>
      </c>
      <c r="BU158" s="428">
        <v>0.33464287704132484</v>
      </c>
      <c r="BV158" s="67">
        <f t="shared" si="93"/>
        <v>10643780.463560909</v>
      </c>
      <c r="BW158" s="299"/>
      <c r="BX158" s="67">
        <v>41116000</v>
      </c>
      <c r="BY158" s="67">
        <v>15969482.253531128</v>
      </c>
      <c r="BZ158" s="67">
        <v>22709717.733139277</v>
      </c>
      <c r="CA158" s="67">
        <v>11418533.835393313</v>
      </c>
      <c r="CB158" s="67">
        <f t="shared" si="94"/>
        <v>-1222095.7941991135</v>
      </c>
      <c r="CC158" s="67">
        <f t="shared" si="95"/>
        <v>125.64856847971697</v>
      </c>
      <c r="CD158" s="67">
        <f t="shared" si="96"/>
        <v>281.99727790501368</v>
      </c>
      <c r="CE158" s="67">
        <f t="shared" si="97"/>
        <v>156.3487094252967</v>
      </c>
      <c r="CF158" s="67">
        <f t="shared" si="98"/>
        <v>-141.3487094252967</v>
      </c>
      <c r="CG158" s="67">
        <f t="shared" si="99"/>
        <v>-126.3487094252967</v>
      </c>
      <c r="CH158" s="67">
        <f t="shared" si="100"/>
        <v>-111.3487094252967</v>
      </c>
      <c r="CI158" s="67">
        <f t="shared" si="101"/>
        <v>-96.348709425296704</v>
      </c>
      <c r="CJ158" s="67">
        <f t="shared" si="102"/>
        <v>-774449.57894120063</v>
      </c>
      <c r="CK158" s="67">
        <f t="shared" si="103"/>
        <v>-692264.57894120063</v>
      </c>
      <c r="CL158" s="67">
        <f t="shared" si="104"/>
        <v>-610079.57894120063</v>
      </c>
      <c r="CM158" s="67">
        <f t="shared" si="105"/>
        <v>-527894.57894120063</v>
      </c>
      <c r="CN158" s="299"/>
      <c r="CO158" s="430">
        <v>19451.28157429348</v>
      </c>
      <c r="CP158" s="430">
        <v>1821.1813546145816</v>
      </c>
      <c r="CQ158" s="430">
        <v>2084.1999999999998</v>
      </c>
      <c r="CR158" s="430">
        <v>15681405.174741337</v>
      </c>
      <c r="CS158" s="430">
        <v>6588617.2126064654</v>
      </c>
      <c r="CT158" s="430">
        <v>3727846.1730509689</v>
      </c>
      <c r="CU158" s="430">
        <v>1117749.6629083124</v>
      </c>
      <c r="CV158" s="430">
        <v>-19113</v>
      </c>
      <c r="CW158" s="430">
        <v>52131.063823815522</v>
      </c>
      <c r="CX158" s="430">
        <v>-42358.01</v>
      </c>
      <c r="CY158" s="430">
        <v>16558384.368773345</v>
      </c>
      <c r="CZ158" s="519"/>
      <c r="DA158" s="524">
        <v>19541.07634</v>
      </c>
      <c r="DB158" s="524">
        <v>1806.9394204673579</v>
      </c>
      <c r="DC158" s="520">
        <f t="shared" si="106"/>
        <v>-1</v>
      </c>
      <c r="DD158" s="440">
        <v>5487</v>
      </c>
      <c r="DE158" s="450">
        <v>15969482.253531128</v>
      </c>
      <c r="DF158" s="440">
        <v>8266226.7115933122</v>
      </c>
      <c r="DG158" s="440">
        <v>2062101.18</v>
      </c>
      <c r="DH158" s="440">
        <v>1090205.9438</v>
      </c>
      <c r="DI158" s="440">
        <v>6580044.5042459946</v>
      </c>
      <c r="DJ158" s="440">
        <v>1124615.005893976</v>
      </c>
      <c r="DK158" s="440">
        <v>-1220835.1691205476</v>
      </c>
      <c r="DL158" s="440">
        <v>15935</v>
      </c>
      <c r="DM158" s="440">
        <v>-50000</v>
      </c>
      <c r="DN158" s="440">
        <v>50050.798581017385</v>
      </c>
      <c r="DO158" s="457">
        <f t="shared" si="107"/>
        <v>1948861.721462626</v>
      </c>
      <c r="DP158" s="459">
        <f t="shared" si="108"/>
        <v>355.17800646302641</v>
      </c>
      <c r="DQ158" s="440"/>
      <c r="DR158" s="450">
        <v>41116000</v>
      </c>
      <c r="DS158" s="440">
        <v>19012307.637439277</v>
      </c>
      <c r="DT158" s="440">
        <v>1635308.9157</v>
      </c>
      <c r="DU158" s="440">
        <v>15672855.964741338</v>
      </c>
      <c r="DV158" s="440">
        <v>3750743.0196572021</v>
      </c>
      <c r="DW158" s="440">
        <v>2028036.18</v>
      </c>
      <c r="DX158" s="457">
        <f t="shared" si="109"/>
        <v>983251.71753782034</v>
      </c>
      <c r="DY158" s="459">
        <f t="shared" si="110"/>
        <v>179.19659514084569</v>
      </c>
      <c r="DZ158" s="440"/>
      <c r="EA158" s="457">
        <f t="shared" si="111"/>
        <v>965610.00392480567</v>
      </c>
      <c r="EB158" s="459">
        <f t="shared" si="112"/>
        <v>175.98141132218072</v>
      </c>
      <c r="ED158" s="457">
        <v>-942752.72653293004</v>
      </c>
      <c r="EE158" s="458">
        <v>-867557.53366650804</v>
      </c>
      <c r="EF158" s="458">
        <v>-791226.04745980457</v>
      </c>
      <c r="EG158" s="458">
        <v>-715451.88880893879</v>
      </c>
      <c r="EH158" s="459">
        <v>-638503.29358222545</v>
      </c>
    </row>
    <row r="159" spans="1:138" x14ac:dyDescent="0.2">
      <c r="A159" s="67">
        <v>480</v>
      </c>
      <c r="B159" s="67" t="s">
        <v>281</v>
      </c>
      <c r="C159" s="67">
        <v>2</v>
      </c>
      <c r="D159" s="67">
        <v>1978</v>
      </c>
      <c r="E159" s="82">
        <v>5253962.8143054079</v>
      </c>
      <c r="F159" s="67">
        <v>2671302.5702963178</v>
      </c>
      <c r="G159" s="67">
        <v>544696</v>
      </c>
      <c r="H159" s="67">
        <v>280798.45291462343</v>
      </c>
      <c r="I159" s="67">
        <v>1348466.0133018647</v>
      </c>
      <c r="J159" s="67">
        <v>411394.23761871096</v>
      </c>
      <c r="K159" s="67">
        <v>248751.01016083293</v>
      </c>
      <c r="L159" s="67">
        <v>-475710</v>
      </c>
      <c r="M159" s="68">
        <v>15115.88</v>
      </c>
      <c r="N159" s="68">
        <v>17914.953309940978</v>
      </c>
      <c r="O159" s="68">
        <v>-57566.458768485463</v>
      </c>
      <c r="P159" s="168">
        <f t="shared" si="78"/>
        <v>-248800.1554716028</v>
      </c>
      <c r="Q159" s="169">
        <f t="shared" si="79"/>
        <v>-125.78369841840384</v>
      </c>
      <c r="R159" s="67"/>
      <c r="S159" s="82">
        <v>12976084.779999999</v>
      </c>
      <c r="T159" s="67">
        <v>6560477.4058111561</v>
      </c>
      <c r="U159" s="67">
        <v>422026.67293315136</v>
      </c>
      <c r="V159" s="67">
        <v>4345774.235937125</v>
      </c>
      <c r="W159" s="67">
        <v>1372055.3762742963</v>
      </c>
      <c r="X159" s="67">
        <v>84101.88</v>
      </c>
      <c r="Y159" s="168">
        <f t="shared" si="80"/>
        <v>-191649.20904427022</v>
      </c>
      <c r="Z159" s="169">
        <f t="shared" si="81"/>
        <v>-96.890398910146729</v>
      </c>
      <c r="AA159" s="67"/>
      <c r="AB159" s="77">
        <f t="shared" si="82"/>
        <v>-57150.946427332587</v>
      </c>
      <c r="AC159" s="123">
        <f t="shared" si="83"/>
        <v>-28.893299508257122</v>
      </c>
      <c r="AE159" s="170"/>
      <c r="AF159" s="177">
        <v>29751.941640652589</v>
      </c>
      <c r="AG159" s="177">
        <v>-2883.1319845496673</v>
      </c>
      <c r="AH159" s="177">
        <v>-5895.6222483402516</v>
      </c>
      <c r="AI159" s="178">
        <v>-9312.5503458704734</v>
      </c>
      <c r="AK159" s="67">
        <f t="shared" si="84"/>
        <v>3889174.8355148383</v>
      </c>
      <c r="AL159" s="67">
        <f t="shared" si="85"/>
        <v>141228.22001852794</v>
      </c>
      <c r="AM159" s="67">
        <f t="shared" si="86"/>
        <v>2997308.2226352603</v>
      </c>
      <c r="AN159" s="67">
        <f t="shared" si="87"/>
        <v>7722121.9656945914</v>
      </c>
      <c r="AO159" s="67">
        <f t="shared" si="88"/>
        <v>0</v>
      </c>
      <c r="AP159" s="67">
        <f t="shared" si="89"/>
        <v>29751.941640652589</v>
      </c>
      <c r="AQ159" s="67">
        <f t="shared" si="90"/>
        <v>-2883.1319845496673</v>
      </c>
      <c r="AR159" s="67">
        <f t="shared" si="91"/>
        <v>-5895.6222483402516</v>
      </c>
      <c r="AS159" s="67">
        <f t="shared" si="92"/>
        <v>-9312.5503458704734</v>
      </c>
      <c r="AT159" s="68">
        <v>457</v>
      </c>
      <c r="AU159" s="68"/>
      <c r="AV159" s="68"/>
      <c r="AW159" s="68">
        <v>75</v>
      </c>
      <c r="AX159" s="68">
        <v>2473.1523277478786</v>
      </c>
      <c r="AY159" s="68">
        <v>-632.83895523394222</v>
      </c>
      <c r="AZ159" s="68">
        <v>961.95059821928635</v>
      </c>
      <c r="BA159" s="299"/>
      <c r="BB159" s="67"/>
      <c r="BC159" s="67"/>
      <c r="BD159" s="67"/>
      <c r="BE159" s="67"/>
      <c r="BF159" s="67"/>
      <c r="BG159" s="67"/>
      <c r="BH159" s="67"/>
      <c r="BN159" s="299"/>
      <c r="BO159" s="67">
        <v>5045415.8252700465</v>
      </c>
      <c r="BP159" s="67">
        <v>7074087.7300000004</v>
      </c>
      <c r="BQ159" s="67">
        <v>7561000</v>
      </c>
      <c r="BR159" s="67">
        <v>149930.16999999998</v>
      </c>
      <c r="BS159" s="67">
        <v>152000</v>
      </c>
      <c r="BT159" s="428">
        <v>0.59281887505166553</v>
      </c>
      <c r="BU159" s="428">
        <v>0.33464287704132473</v>
      </c>
      <c r="BV159" s="67">
        <f t="shared" si="93"/>
        <v>4206720.3714516787</v>
      </c>
      <c r="BW159" s="299"/>
      <c r="BX159" s="67">
        <v>12625740</v>
      </c>
      <c r="BY159" s="67">
        <v>5045415.8252700465</v>
      </c>
      <c r="BZ159" s="67">
        <v>7443903.798016265</v>
      </c>
      <c r="CA159" s="67">
        <v>3476901.8628881187</v>
      </c>
      <c r="CB159" s="67">
        <f t="shared" si="94"/>
        <v>261507.91902267485</v>
      </c>
      <c r="CC159" s="67">
        <f t="shared" si="95"/>
        <v>-96.890398910147013</v>
      </c>
      <c r="CD159" s="67">
        <f t="shared" si="96"/>
        <v>-90.230934196802352</v>
      </c>
      <c r="CE159" s="67">
        <f t="shared" si="97"/>
        <v>6.6594647133446614</v>
      </c>
      <c r="CF159" s="67">
        <f t="shared" si="98"/>
        <v>0</v>
      </c>
      <c r="CG159" s="67">
        <f t="shared" si="99"/>
        <v>0</v>
      </c>
      <c r="CH159" s="67">
        <f t="shared" si="100"/>
        <v>0</v>
      </c>
      <c r="CI159" s="67">
        <f t="shared" si="101"/>
        <v>0</v>
      </c>
      <c r="CJ159" s="67">
        <f t="shared" si="102"/>
        <v>0</v>
      </c>
      <c r="CK159" s="67">
        <f t="shared" si="103"/>
        <v>0</v>
      </c>
      <c r="CL159" s="67">
        <f t="shared" si="104"/>
        <v>0</v>
      </c>
      <c r="CM159" s="67">
        <f t="shared" si="105"/>
        <v>0</v>
      </c>
      <c r="CN159" s="299"/>
      <c r="CO159" s="430">
        <v>6560.4774058111561</v>
      </c>
      <c r="CP159" s="430">
        <v>422.02667293315136</v>
      </c>
      <c r="CQ159" s="430">
        <v>544.69600000000003</v>
      </c>
      <c r="CR159" s="430">
        <v>4345774.235937125</v>
      </c>
      <c r="CS159" s="430">
        <v>1348466.0133018647</v>
      </c>
      <c r="CT159" s="430">
        <v>1372055.3762742963</v>
      </c>
      <c r="CU159" s="430">
        <v>411394.23761871096</v>
      </c>
      <c r="CV159" s="430">
        <v>-475710</v>
      </c>
      <c r="CW159" s="430">
        <v>17914.953309940978</v>
      </c>
      <c r="CX159" s="430">
        <v>15115.88</v>
      </c>
      <c r="CY159" s="430">
        <v>5253962.8143054079</v>
      </c>
      <c r="CZ159" s="519"/>
      <c r="DA159" s="524">
        <v>6286.3986299999997</v>
      </c>
      <c r="DB159" s="524">
        <v>418.72628283760218</v>
      </c>
      <c r="DC159" s="520">
        <f t="shared" si="106"/>
        <v>-1</v>
      </c>
      <c r="DD159" s="440">
        <v>1990</v>
      </c>
      <c r="DE159" s="450">
        <v>5045415.8252700465</v>
      </c>
      <c r="DF159" s="440">
        <v>2681176.4268881185</v>
      </c>
      <c r="DG159" s="440">
        <v>543089.42800000007</v>
      </c>
      <c r="DH159" s="440">
        <v>252636.00799999997</v>
      </c>
      <c r="DI159" s="440">
        <v>1345316.3438367434</v>
      </c>
      <c r="DJ159" s="440">
        <v>411946.43673742667</v>
      </c>
      <c r="DK159" s="440">
        <v>261707.27360177401</v>
      </c>
      <c r="DL159" s="440">
        <v>-475710</v>
      </c>
      <c r="DM159" s="440">
        <v>-7300</v>
      </c>
      <c r="DN159" s="440">
        <v>17584.6586703137</v>
      </c>
      <c r="DO159" s="457">
        <f t="shared" si="107"/>
        <v>-14969.249535670504</v>
      </c>
      <c r="DP159" s="459">
        <f t="shared" si="108"/>
        <v>-7.522235947573118</v>
      </c>
      <c r="DQ159" s="440"/>
      <c r="DR159" s="450">
        <v>12625740</v>
      </c>
      <c r="DS159" s="440">
        <v>6521860.3580162646</v>
      </c>
      <c r="DT159" s="440">
        <v>378954.01199999999</v>
      </c>
      <c r="DU159" s="440">
        <v>4342631.3959371224</v>
      </c>
      <c r="DV159" s="440">
        <v>1373897.034956713</v>
      </c>
      <c r="DW159" s="440">
        <v>60079.428000000073</v>
      </c>
      <c r="DX159" s="457">
        <f t="shared" si="109"/>
        <v>51682.228910099715</v>
      </c>
      <c r="DY159" s="459">
        <f t="shared" si="110"/>
        <v>25.970969301557645</v>
      </c>
      <c r="DZ159" s="440"/>
      <c r="EA159" s="457">
        <f t="shared" si="111"/>
        <v>-66651.478445770219</v>
      </c>
      <c r="EB159" s="459">
        <f t="shared" si="112"/>
        <v>-33.49320524913076</v>
      </c>
      <c r="ED159" s="457">
        <v>74941.251000870005</v>
      </c>
      <c r="EE159" s="458">
        <v>42512.698750857176</v>
      </c>
      <c r="EF159" s="458">
        <v>10496.252159156767</v>
      </c>
      <c r="EG159" s="458">
        <v>1176.1981192955805</v>
      </c>
      <c r="EH159" s="459">
        <v>-766.4382027092505</v>
      </c>
    </row>
    <row r="160" spans="1:138" x14ac:dyDescent="0.2">
      <c r="A160" s="67">
        <v>481</v>
      </c>
      <c r="B160" s="67" t="s">
        <v>282</v>
      </c>
      <c r="C160" s="67">
        <v>2</v>
      </c>
      <c r="D160" s="67">
        <v>9642</v>
      </c>
      <c r="E160" s="82">
        <v>24547472.365810208</v>
      </c>
      <c r="F160" s="67">
        <v>16483164.312287195</v>
      </c>
      <c r="G160" s="67">
        <v>2150799</v>
      </c>
      <c r="H160" s="67">
        <v>1687923.756392373</v>
      </c>
      <c r="I160" s="67">
        <v>6703593.9938688232</v>
      </c>
      <c r="J160" s="67">
        <v>1285401.1698365146</v>
      </c>
      <c r="K160" s="67">
        <v>88608.866246997146</v>
      </c>
      <c r="L160" s="67">
        <v>-1856027</v>
      </c>
      <c r="M160" s="68">
        <v>-65235.9</v>
      </c>
      <c r="N160" s="68">
        <v>114519.95263745268</v>
      </c>
      <c r="O160" s="68">
        <v>-280614.65897155553</v>
      </c>
      <c r="P160" s="168">
        <f t="shared" si="78"/>
        <v>1764661.1264875904</v>
      </c>
      <c r="Q160" s="169">
        <f t="shared" si="79"/>
        <v>183.01816287985795</v>
      </c>
      <c r="R160" s="67"/>
      <c r="S160" s="82">
        <v>55025389.149999991</v>
      </c>
      <c r="T160" s="67">
        <v>41398258.852168113</v>
      </c>
      <c r="U160" s="67">
        <v>2536868.8455405752</v>
      </c>
      <c r="V160" s="67">
        <v>8264387.6836951235</v>
      </c>
      <c r="W160" s="67">
        <v>4286986.6042655669</v>
      </c>
      <c r="X160" s="67">
        <v>229536.1</v>
      </c>
      <c r="Y160" s="168">
        <f t="shared" si="80"/>
        <v>1690648.9356693923</v>
      </c>
      <c r="Z160" s="169">
        <f t="shared" si="81"/>
        <v>175.34214225984155</v>
      </c>
      <c r="AA160" s="67"/>
      <c r="AB160" s="77">
        <f t="shared" si="82"/>
        <v>74012.190818198025</v>
      </c>
      <c r="AC160" s="123">
        <f t="shared" si="83"/>
        <v>7.6760206200163896</v>
      </c>
      <c r="AE160" s="170"/>
      <c r="AF160" s="177">
        <v>11070.240569674756</v>
      </c>
      <c r="AG160" s="177">
        <v>-14054.175224988823</v>
      </c>
      <c r="AH160" s="177">
        <v>-28738.923012384581</v>
      </c>
      <c r="AI160" s="178">
        <v>-45395.151888211876</v>
      </c>
      <c r="AK160" s="67">
        <f t="shared" si="84"/>
        <v>24915094.539880916</v>
      </c>
      <c r="AL160" s="67">
        <f t="shared" si="85"/>
        <v>848945.08914820221</v>
      </c>
      <c r="AM160" s="67">
        <f t="shared" si="86"/>
        <v>1560793.6898263004</v>
      </c>
      <c r="AN160" s="67">
        <f t="shared" si="87"/>
        <v>30477916.784189783</v>
      </c>
      <c r="AO160" s="67">
        <f t="shared" si="88"/>
        <v>0</v>
      </c>
      <c r="AP160" s="67">
        <f t="shared" si="89"/>
        <v>11070.240569674756</v>
      </c>
      <c r="AQ160" s="67">
        <f t="shared" si="90"/>
        <v>-14054.175224988823</v>
      </c>
      <c r="AR160" s="67">
        <f t="shared" si="91"/>
        <v>-28738.923012384581</v>
      </c>
      <c r="AS160" s="67">
        <f t="shared" si="92"/>
        <v>-45395.151888211876</v>
      </c>
      <c r="AT160" s="68">
        <v>3294</v>
      </c>
      <c r="AU160" s="68"/>
      <c r="AV160" s="68"/>
      <c r="AW160" s="68">
        <v>32</v>
      </c>
      <c r="AX160" s="68">
        <v>2931.6682808112632</v>
      </c>
      <c r="AY160" s="68">
        <v>1237.7898226687444</v>
      </c>
      <c r="AZ160" s="68">
        <v>3023.8147155314446</v>
      </c>
      <c r="BA160" s="299"/>
      <c r="BB160" s="67"/>
      <c r="BC160" s="67"/>
      <c r="BD160" s="67"/>
      <c r="BE160" s="67"/>
      <c r="BF160" s="67"/>
      <c r="BG160" s="67"/>
      <c r="BH160" s="67"/>
      <c r="BN160" s="299"/>
      <c r="BO160" s="67">
        <v>25020397.914837413</v>
      </c>
      <c r="BP160" s="67">
        <v>27993367.719999995</v>
      </c>
      <c r="BQ160" s="67">
        <v>29520000</v>
      </c>
      <c r="BR160" s="67">
        <v>707867.58</v>
      </c>
      <c r="BS160" s="67">
        <v>732000</v>
      </c>
      <c r="BT160" s="428">
        <v>0.60183918915169687</v>
      </c>
      <c r="BU160" s="428">
        <v>0.33464287704132478</v>
      </c>
      <c r="BV160" s="67">
        <f t="shared" si="93"/>
        <v>4650987.9905023491</v>
      </c>
      <c r="BW160" s="299"/>
      <c r="BX160" s="67">
        <v>54556436</v>
      </c>
      <c r="BY160" s="67">
        <v>25020397.914837413</v>
      </c>
      <c r="BZ160" s="67">
        <v>45599823.136404194</v>
      </c>
      <c r="CA160" s="67">
        <v>20364538.319924586</v>
      </c>
      <c r="CB160" s="67">
        <f t="shared" si="94"/>
        <v>178942.0586340767</v>
      </c>
      <c r="CC160" s="67">
        <f t="shared" si="95"/>
        <v>175.34214225984113</v>
      </c>
      <c r="CD160" s="67">
        <f t="shared" si="96"/>
        <v>221.49024868764019</v>
      </c>
      <c r="CE160" s="67">
        <f t="shared" si="97"/>
        <v>46.148106427799064</v>
      </c>
      <c r="CF160" s="67">
        <f t="shared" si="98"/>
        <v>-31.148106427799064</v>
      </c>
      <c r="CG160" s="67">
        <f t="shared" si="99"/>
        <v>-16.148106427799064</v>
      </c>
      <c r="CH160" s="67">
        <f t="shared" si="100"/>
        <v>-1.148106427799064</v>
      </c>
      <c r="CI160" s="67">
        <f t="shared" si="101"/>
        <v>0</v>
      </c>
      <c r="CJ160" s="67">
        <f t="shared" si="102"/>
        <v>-300330.04217683856</v>
      </c>
      <c r="CK160" s="67">
        <f t="shared" si="103"/>
        <v>-155700.04217683859</v>
      </c>
      <c r="CL160" s="67">
        <f t="shared" si="104"/>
        <v>-11070.042176838575</v>
      </c>
      <c r="CM160" s="67">
        <f t="shared" si="105"/>
        <v>0</v>
      </c>
      <c r="CN160" s="299"/>
      <c r="CO160" s="430">
        <v>41398.25885216811</v>
      </c>
      <c r="CP160" s="430">
        <v>2536.8688455405754</v>
      </c>
      <c r="CQ160" s="430">
        <v>2150.799</v>
      </c>
      <c r="CR160" s="430">
        <v>8264387.6836951235</v>
      </c>
      <c r="CS160" s="430">
        <v>6703593.9938688232</v>
      </c>
      <c r="CT160" s="430">
        <v>4286986.6042655669</v>
      </c>
      <c r="CU160" s="430">
        <v>1285401.1698365146</v>
      </c>
      <c r="CV160" s="430">
        <v>-1856027</v>
      </c>
      <c r="CW160" s="430">
        <v>114519.95263745268</v>
      </c>
      <c r="CX160" s="430">
        <v>-65235.9</v>
      </c>
      <c r="CY160" s="430">
        <v>24547472.365810208</v>
      </c>
      <c r="CZ160" s="519"/>
      <c r="DA160" s="524">
        <v>41651.10095</v>
      </c>
      <c r="DB160" s="524">
        <v>2517.0310074263916</v>
      </c>
      <c r="DC160" s="520">
        <f t="shared" si="106"/>
        <v>-1</v>
      </c>
      <c r="DD160" s="440">
        <v>9612</v>
      </c>
      <c r="DE160" s="450">
        <v>25020397.914837413</v>
      </c>
      <c r="DF160" s="440">
        <v>16520253.890124584</v>
      </c>
      <c r="DG160" s="440">
        <v>2325649.5683999998</v>
      </c>
      <c r="DH160" s="440">
        <v>1518634.8614000001</v>
      </c>
      <c r="DI160" s="440">
        <v>6688518.9194693193</v>
      </c>
      <c r="DJ160" s="440">
        <v>1294920.6536419406</v>
      </c>
      <c r="DK160" s="440">
        <v>180558.41929749332</v>
      </c>
      <c r="DL160" s="440">
        <v>-1858795</v>
      </c>
      <c r="DM160" s="440">
        <v>73900</v>
      </c>
      <c r="DN160" s="440">
        <v>111861.26883792641</v>
      </c>
      <c r="DO160" s="457">
        <f t="shared" si="107"/>
        <v>1835104.6663338505</v>
      </c>
      <c r="DP160" s="459">
        <f t="shared" si="108"/>
        <v>190.91808846586042</v>
      </c>
      <c r="DQ160" s="440"/>
      <c r="DR160" s="450">
        <v>54556436</v>
      </c>
      <c r="DS160" s="440">
        <v>40996221.275904194</v>
      </c>
      <c r="DT160" s="440">
        <v>2277952.2921000002</v>
      </c>
      <c r="DU160" s="440">
        <v>8249332.8636951214</v>
      </c>
      <c r="DV160" s="440">
        <v>4318735.3691733852</v>
      </c>
      <c r="DW160" s="440">
        <v>540754.56839999976</v>
      </c>
      <c r="DX160" s="457">
        <f t="shared" si="109"/>
        <v>1826560.3692727014</v>
      </c>
      <c r="DY160" s="459">
        <f t="shared" si="110"/>
        <v>190.0291686717334</v>
      </c>
      <c r="DZ160" s="440"/>
      <c r="EA160" s="457">
        <f t="shared" si="111"/>
        <v>8544.2970611490309</v>
      </c>
      <c r="EB160" s="459">
        <f t="shared" si="112"/>
        <v>0.88891979412703193</v>
      </c>
      <c r="ED160" s="457">
        <v>31496.554094438645</v>
      </c>
      <c r="EE160" s="458">
        <v>27586.055061555708</v>
      </c>
      <c r="EF160" s="458">
        <v>17121.791423654049</v>
      </c>
      <c r="EG160" s="458">
        <v>5681.2142324970455</v>
      </c>
      <c r="EH160" s="459">
        <v>-3702.0120625333248</v>
      </c>
    </row>
    <row r="161" spans="1:138" x14ac:dyDescent="0.2">
      <c r="A161" s="67">
        <v>483</v>
      </c>
      <c r="B161" s="67" t="s">
        <v>283</v>
      </c>
      <c r="C161" s="67">
        <v>17</v>
      </c>
      <c r="D161" s="67">
        <v>1067</v>
      </c>
      <c r="E161" s="82">
        <v>3816914.0388872428</v>
      </c>
      <c r="F161" s="67">
        <v>1145829.0430204489</v>
      </c>
      <c r="G161" s="67">
        <v>339966</v>
      </c>
      <c r="H161" s="67">
        <v>130349.74673156095</v>
      </c>
      <c r="I161" s="67">
        <v>2083395.7286402744</v>
      </c>
      <c r="J161" s="67">
        <v>230951.94149333844</v>
      </c>
      <c r="K161" s="67">
        <v>-243882.08160656228</v>
      </c>
      <c r="L161" s="67">
        <v>-197264</v>
      </c>
      <c r="M161" s="68">
        <v>28530.84</v>
      </c>
      <c r="N161" s="68">
        <v>5844.3082585636694</v>
      </c>
      <c r="O161" s="68">
        <v>-31053.291964597567</v>
      </c>
      <c r="P161" s="168">
        <f t="shared" si="78"/>
        <v>-324245.80431421619</v>
      </c>
      <c r="Q161" s="169">
        <f t="shared" si="79"/>
        <v>-303.88547733291114</v>
      </c>
      <c r="R161" s="67"/>
      <c r="S161" s="82">
        <v>8317426.5000000019</v>
      </c>
      <c r="T161" s="67">
        <v>2395088.1667824304</v>
      </c>
      <c r="U161" s="67">
        <v>195909.44807493535</v>
      </c>
      <c r="V161" s="67">
        <v>4147485.8493449651</v>
      </c>
      <c r="W161" s="67">
        <v>770255.93460210762</v>
      </c>
      <c r="X161" s="67">
        <v>171232.84</v>
      </c>
      <c r="Y161" s="168">
        <f t="shared" si="80"/>
        <v>-637454.26119556371</v>
      </c>
      <c r="Z161" s="169">
        <f t="shared" si="81"/>
        <v>-597.426674035205</v>
      </c>
      <c r="AA161" s="67"/>
      <c r="AB161" s="77">
        <f t="shared" si="82"/>
        <v>313208.45688134752</v>
      </c>
      <c r="AC161" s="123">
        <f t="shared" si="83"/>
        <v>293.54119670229386</v>
      </c>
      <c r="AE161" s="170"/>
      <c r="AF161" s="177">
        <v>-295978.40536839882</v>
      </c>
      <c r="AG161" s="177">
        <v>-282753.71564146521</v>
      </c>
      <c r="AH161" s="177">
        <v>-268373.75462602766</v>
      </c>
      <c r="AI161" s="178">
        <v>-254211.96103657605</v>
      </c>
      <c r="AK161" s="67">
        <f t="shared" si="84"/>
        <v>1249259.1237619815</v>
      </c>
      <c r="AL161" s="67">
        <f t="shared" si="85"/>
        <v>65559.7013433744</v>
      </c>
      <c r="AM161" s="67">
        <f t="shared" si="86"/>
        <v>2064090.1207046907</v>
      </c>
      <c r="AN161" s="67">
        <f t="shared" si="87"/>
        <v>4500512.4611127591</v>
      </c>
      <c r="AO161" s="67">
        <f t="shared" si="88"/>
        <v>0</v>
      </c>
      <c r="AP161" s="67">
        <f t="shared" si="89"/>
        <v>-295978.40536839882</v>
      </c>
      <c r="AQ161" s="67">
        <f t="shared" si="90"/>
        <v>-282753.71564146521</v>
      </c>
      <c r="AR161" s="67">
        <f t="shared" si="91"/>
        <v>-268373.75462602766</v>
      </c>
      <c r="AS161" s="67">
        <f t="shared" si="92"/>
        <v>-254211.96103657605</v>
      </c>
      <c r="AT161" s="68">
        <v>391</v>
      </c>
      <c r="AU161" s="68"/>
      <c r="AV161" s="68"/>
      <c r="AW161" s="68">
        <v>2</v>
      </c>
      <c r="AX161" s="68">
        <v>1327.7942679333412</v>
      </c>
      <c r="AY161" s="68">
        <v>-886.91625524832364</v>
      </c>
      <c r="AZ161" s="68">
        <v>541.26588998967884</v>
      </c>
      <c r="BA161" s="299"/>
      <c r="BB161" s="67"/>
      <c r="BC161" s="67"/>
      <c r="BD161" s="67"/>
      <c r="BE161" s="67"/>
      <c r="BF161" s="67"/>
      <c r="BG161" s="67"/>
      <c r="BH161" s="67"/>
      <c r="BN161" s="299"/>
      <c r="BO161" s="67">
        <v>3872076.7643325822</v>
      </c>
      <c r="BP161" s="67">
        <v>4056514.65</v>
      </c>
      <c r="BQ161" s="67">
        <v>4447000</v>
      </c>
      <c r="BR161" s="67">
        <v>93826</v>
      </c>
      <c r="BS161" s="67">
        <v>108000</v>
      </c>
      <c r="BT161" s="428">
        <v>0.52159212386750697</v>
      </c>
      <c r="BU161" s="428">
        <v>0.33464287704132484</v>
      </c>
      <c r="BV161" s="67">
        <f t="shared" si="93"/>
        <v>2359512.0322068976</v>
      </c>
      <c r="BW161" s="299"/>
      <c r="BX161" s="67">
        <v>8155580</v>
      </c>
      <c r="BY161" s="67">
        <v>3872076.7643325822</v>
      </c>
      <c r="BZ161" s="67">
        <v>3084877.7282923297</v>
      </c>
      <c r="CA161" s="67">
        <v>1685407.070250523</v>
      </c>
      <c r="CB161" s="67">
        <f t="shared" si="94"/>
        <v>-80618.034813569568</v>
      </c>
      <c r="CC161" s="67">
        <f t="shared" si="95"/>
        <v>-597.42667403520511</v>
      </c>
      <c r="CD161" s="67">
        <f t="shared" si="96"/>
        <v>-121.76988337078357</v>
      </c>
      <c r="CE161" s="67">
        <f t="shared" si="97"/>
        <v>475.65679066442152</v>
      </c>
      <c r="CF161" s="67">
        <f t="shared" si="98"/>
        <v>-460.65679066442152</v>
      </c>
      <c r="CG161" s="67">
        <f t="shared" si="99"/>
        <v>-445.65679066442152</v>
      </c>
      <c r="CH161" s="67">
        <f t="shared" si="100"/>
        <v>-430.65679066442152</v>
      </c>
      <c r="CI161" s="67">
        <f t="shared" si="101"/>
        <v>-415.65679066442152</v>
      </c>
      <c r="CJ161" s="67">
        <f t="shared" si="102"/>
        <v>-491520.79563893774</v>
      </c>
      <c r="CK161" s="67">
        <f t="shared" si="103"/>
        <v>-475515.79563893774</v>
      </c>
      <c r="CL161" s="67">
        <f t="shared" si="104"/>
        <v>-459510.79563893774</v>
      </c>
      <c r="CM161" s="67">
        <f t="shared" si="105"/>
        <v>-443505.79563893774</v>
      </c>
      <c r="CN161" s="299"/>
      <c r="CO161" s="430">
        <v>2395.0881667824306</v>
      </c>
      <c r="CP161" s="430">
        <v>195.90944807493534</v>
      </c>
      <c r="CQ161" s="430">
        <v>339.96600000000001</v>
      </c>
      <c r="CR161" s="430">
        <v>4147485.8493449651</v>
      </c>
      <c r="CS161" s="430">
        <v>2083395.7286402744</v>
      </c>
      <c r="CT161" s="430">
        <v>770255.93460210762</v>
      </c>
      <c r="CU161" s="430">
        <v>230951.94149333844</v>
      </c>
      <c r="CV161" s="430">
        <v>-197264</v>
      </c>
      <c r="CW161" s="430">
        <v>5844.3082585636694</v>
      </c>
      <c r="CX161" s="430">
        <v>28530.84</v>
      </c>
      <c r="CY161" s="430">
        <v>3816914.0388872428</v>
      </c>
      <c r="CZ161" s="519"/>
      <c r="DA161" s="524">
        <v>2489.3774199999998</v>
      </c>
      <c r="DB161" s="524">
        <v>194.3773223198273</v>
      </c>
      <c r="DC161" s="520">
        <f t="shared" si="106"/>
        <v>-1</v>
      </c>
      <c r="DD161" s="440">
        <v>1076</v>
      </c>
      <c r="DE161" s="450">
        <v>3872076.7643325822</v>
      </c>
      <c r="DF161" s="440">
        <v>1234372.4423505228</v>
      </c>
      <c r="DG161" s="440">
        <v>333758.19950000005</v>
      </c>
      <c r="DH161" s="440">
        <v>117276.4284</v>
      </c>
      <c r="DI161" s="440">
        <v>2081691.4577304763</v>
      </c>
      <c r="DJ161" s="440">
        <v>231792.10566687689</v>
      </c>
      <c r="DK161" s="440">
        <v>-80834.448165230875</v>
      </c>
      <c r="DL161" s="440">
        <v>-282816</v>
      </c>
      <c r="DM161" s="440">
        <v>98120</v>
      </c>
      <c r="DN161" s="440">
        <v>6203.4791621520926</v>
      </c>
      <c r="DO161" s="457">
        <f t="shared" si="107"/>
        <v>-132513.09968778491</v>
      </c>
      <c r="DP161" s="459">
        <f t="shared" si="108"/>
        <v>-123.15343837154731</v>
      </c>
      <c r="DQ161" s="440"/>
      <c r="DR161" s="450">
        <v>8155580</v>
      </c>
      <c r="DS161" s="440">
        <v>2575204.8861923297</v>
      </c>
      <c r="DT161" s="440">
        <v>175914.64260000002</v>
      </c>
      <c r="DU161" s="440">
        <v>4145783.7393449647</v>
      </c>
      <c r="DV161" s="440">
        <v>773057.99565655575</v>
      </c>
      <c r="DW161" s="440">
        <v>149062.19950000005</v>
      </c>
      <c r="DX161" s="457">
        <f t="shared" si="109"/>
        <v>-336556.53670614958</v>
      </c>
      <c r="DY161" s="459">
        <f t="shared" si="110"/>
        <v>-312.78488541463713</v>
      </c>
      <c r="DZ161" s="440"/>
      <c r="EA161" s="457">
        <f t="shared" si="111"/>
        <v>204043.43701836467</v>
      </c>
      <c r="EB161" s="459">
        <f t="shared" si="112"/>
        <v>189.63144704308985</v>
      </c>
      <c r="ED161" s="457">
        <v>-199561.12783781774</v>
      </c>
      <c r="EE161" s="458">
        <v>-184815.360109684</v>
      </c>
      <c r="EF161" s="458">
        <v>-169846.76540248282</v>
      </c>
      <c r="EG161" s="458">
        <v>-154987.46255788073</v>
      </c>
      <c r="EH161" s="459">
        <v>-139897.85285058286</v>
      </c>
    </row>
    <row r="162" spans="1:138" x14ac:dyDescent="0.2">
      <c r="A162" s="67">
        <v>484</v>
      </c>
      <c r="B162" s="67" t="s">
        <v>284</v>
      </c>
      <c r="C162" s="67">
        <v>4</v>
      </c>
      <c r="D162" s="67">
        <v>2967</v>
      </c>
      <c r="E162" s="82">
        <v>8554484.2431461662</v>
      </c>
      <c r="F162" s="67">
        <v>3507709.4505373635</v>
      </c>
      <c r="G162" s="67">
        <v>1235387</v>
      </c>
      <c r="H162" s="67">
        <v>986228.19679071184</v>
      </c>
      <c r="I162" s="67">
        <v>977508.99191928795</v>
      </c>
      <c r="J162" s="67">
        <v>590949.96653250745</v>
      </c>
      <c r="K162" s="67">
        <v>-272832.24364521436</v>
      </c>
      <c r="L162" s="67">
        <v>165604</v>
      </c>
      <c r="M162" s="68">
        <v>142938.68</v>
      </c>
      <c r="N162" s="68">
        <v>25880.073499750906</v>
      </c>
      <c r="O162" s="68">
        <v>-86349.688152728195</v>
      </c>
      <c r="P162" s="168">
        <f t="shared" si="78"/>
        <v>-1281459.8156644865</v>
      </c>
      <c r="Q162" s="169">
        <f t="shared" si="79"/>
        <v>-431.90421828934495</v>
      </c>
      <c r="R162" s="67"/>
      <c r="S162" s="82">
        <v>24156089.919999998</v>
      </c>
      <c r="T162" s="67">
        <v>8834033.6766927205</v>
      </c>
      <c r="U162" s="67">
        <v>1482253.9096075264</v>
      </c>
      <c r="V162" s="67">
        <v>9220556.3121283893</v>
      </c>
      <c r="W162" s="67">
        <v>1970897.996489499</v>
      </c>
      <c r="X162" s="67">
        <v>1543929.68</v>
      </c>
      <c r="Y162" s="168">
        <f t="shared" si="80"/>
        <v>-1104418.3450818621</v>
      </c>
      <c r="Z162" s="169">
        <f t="shared" si="81"/>
        <v>-372.23402260932323</v>
      </c>
      <c r="AA162" s="67"/>
      <c r="AB162" s="77">
        <f t="shared" si="82"/>
        <v>-177041.47058262443</v>
      </c>
      <c r="AC162" s="123">
        <f t="shared" si="83"/>
        <v>-59.670195680021713</v>
      </c>
      <c r="AE162" s="170"/>
      <c r="AF162" s="177">
        <v>135942.96340259895</v>
      </c>
      <c r="AG162" s="177">
        <v>83706.772605796737</v>
      </c>
      <c r="AH162" s="177">
        <v>34683.037210110866</v>
      </c>
      <c r="AI162" s="178">
        <v>-13968.825518805708</v>
      </c>
      <c r="AK162" s="67">
        <f t="shared" si="84"/>
        <v>5326324.2261553574</v>
      </c>
      <c r="AL162" s="67">
        <f t="shared" si="85"/>
        <v>496025.71281681454</v>
      </c>
      <c r="AM162" s="67">
        <f t="shared" si="86"/>
        <v>8243047.3202091008</v>
      </c>
      <c r="AN162" s="67">
        <f t="shared" si="87"/>
        <v>15601605.676853832</v>
      </c>
      <c r="AO162" s="67">
        <f t="shared" si="88"/>
        <v>0</v>
      </c>
      <c r="AP162" s="67">
        <f t="shared" si="89"/>
        <v>135942.96340259895</v>
      </c>
      <c r="AQ162" s="67">
        <f t="shared" si="90"/>
        <v>83706.772605796737</v>
      </c>
      <c r="AR162" s="67">
        <f t="shared" si="91"/>
        <v>34683.037210110866</v>
      </c>
      <c r="AS162" s="67">
        <f t="shared" si="92"/>
        <v>-13968.825518805708</v>
      </c>
      <c r="AT162" s="68">
        <v>1228</v>
      </c>
      <c r="AU162" s="68"/>
      <c r="AV162" s="68"/>
      <c r="AW162" s="68">
        <v>0</v>
      </c>
      <c r="AX162" s="68">
        <v>6877.3841578610818</v>
      </c>
      <c r="AY162" s="68">
        <v>-1006.7335293352545</v>
      </c>
      <c r="AZ162" s="68">
        <v>1382.4609487224564</v>
      </c>
      <c r="BA162" s="299"/>
      <c r="BB162" s="67"/>
      <c r="BC162" s="67"/>
      <c r="BD162" s="67"/>
      <c r="BE162" s="67"/>
      <c r="BF162" s="67"/>
      <c r="BG162" s="67"/>
      <c r="BH162" s="67"/>
      <c r="BN162" s="299"/>
      <c r="BO162" s="67">
        <v>8171894.1985009033</v>
      </c>
      <c r="BP162" s="67">
        <v>14539588.550000001</v>
      </c>
      <c r="BQ162" s="67">
        <v>14928000</v>
      </c>
      <c r="BR162" s="67">
        <v>349566.1</v>
      </c>
      <c r="BS162" s="67">
        <v>361000</v>
      </c>
      <c r="BT162" s="428">
        <v>0.60293229809708204</v>
      </c>
      <c r="BU162" s="428">
        <v>0.33464287704132489</v>
      </c>
      <c r="BV162" s="67">
        <f t="shared" si="93"/>
        <v>9350163.10652088</v>
      </c>
      <c r="BW162" s="299"/>
      <c r="BX162" s="67">
        <v>23621412</v>
      </c>
      <c r="BY162" s="67">
        <v>8171894.1985009033</v>
      </c>
      <c r="BZ162" s="67">
        <v>11267652.749218777</v>
      </c>
      <c r="CA162" s="67">
        <v>5647563.3040267332</v>
      </c>
      <c r="CB162" s="67">
        <f t="shared" si="94"/>
        <v>-354010.21725921653</v>
      </c>
      <c r="CC162" s="67">
        <f t="shared" si="95"/>
        <v>-372.2340226093238</v>
      </c>
      <c r="CD162" s="67">
        <f t="shared" si="96"/>
        <v>-430.16113957727055</v>
      </c>
      <c r="CE162" s="67">
        <f t="shared" si="97"/>
        <v>-57.927116967946745</v>
      </c>
      <c r="CF162" s="67">
        <f t="shared" si="98"/>
        <v>42.927116967946745</v>
      </c>
      <c r="CG162" s="67">
        <f t="shared" si="99"/>
        <v>27.927116967946745</v>
      </c>
      <c r="CH162" s="67">
        <f t="shared" si="100"/>
        <v>12.927116967946745</v>
      </c>
      <c r="CI162" s="67">
        <f t="shared" si="101"/>
        <v>0</v>
      </c>
      <c r="CJ162" s="67">
        <f t="shared" si="102"/>
        <v>127364.75604389799</v>
      </c>
      <c r="CK162" s="67">
        <f t="shared" si="103"/>
        <v>82859.756043897985</v>
      </c>
      <c r="CL162" s="67">
        <f t="shared" si="104"/>
        <v>38354.756043897993</v>
      </c>
      <c r="CM162" s="67">
        <f t="shared" si="105"/>
        <v>0</v>
      </c>
      <c r="CN162" s="299"/>
      <c r="CO162" s="430">
        <v>8834.0336766927212</v>
      </c>
      <c r="CP162" s="430">
        <v>1482.2539096075263</v>
      </c>
      <c r="CQ162" s="430">
        <v>1235.3869999999999</v>
      </c>
      <c r="CR162" s="430">
        <v>9220556.3121283893</v>
      </c>
      <c r="CS162" s="430">
        <v>977508.99191928795</v>
      </c>
      <c r="CT162" s="430">
        <v>1970897.996489499</v>
      </c>
      <c r="CU162" s="430">
        <v>590949.96653250745</v>
      </c>
      <c r="CV162" s="430">
        <v>165604</v>
      </c>
      <c r="CW162" s="430">
        <v>25880.073499750906</v>
      </c>
      <c r="CX162" s="430">
        <v>142938.68</v>
      </c>
      <c r="CY162" s="430">
        <v>8554484.2431461662</v>
      </c>
      <c r="CZ162" s="519"/>
      <c r="DA162" s="524">
        <v>8781.7187699999995</v>
      </c>
      <c r="DB162" s="524">
        <v>1470.6595843908285</v>
      </c>
      <c r="DC162" s="520">
        <f t="shared" si="106"/>
        <v>-1</v>
      </c>
      <c r="DD162" s="440">
        <v>3055</v>
      </c>
      <c r="DE162" s="450">
        <v>8171894.1985009033</v>
      </c>
      <c r="DF162" s="440">
        <v>3497751.0846267329</v>
      </c>
      <c r="DG162" s="440">
        <v>1262496.9510000001</v>
      </c>
      <c r="DH162" s="440">
        <v>887315.26840000006</v>
      </c>
      <c r="DI162" s="440">
        <v>972701.4216291781</v>
      </c>
      <c r="DJ162" s="440">
        <v>592026.10072605289</v>
      </c>
      <c r="DK162" s="440">
        <v>-353441.73405280849</v>
      </c>
      <c r="DL162" s="440">
        <v>287052</v>
      </c>
      <c r="DM162" s="440">
        <v>91450</v>
      </c>
      <c r="DN162" s="440">
        <v>24912.353511907826</v>
      </c>
      <c r="DO162" s="457">
        <f t="shared" si="107"/>
        <v>-909630.75265984051</v>
      </c>
      <c r="DP162" s="459">
        <f t="shared" si="108"/>
        <v>-297.75147386574156</v>
      </c>
      <c r="DQ162" s="440"/>
      <c r="DR162" s="450">
        <v>23621412</v>
      </c>
      <c r="DS162" s="440">
        <v>8674182.8956187777</v>
      </c>
      <c r="DT162" s="440">
        <v>1330972.9026000001</v>
      </c>
      <c r="DU162" s="440">
        <v>9215766.3921283856</v>
      </c>
      <c r="DV162" s="440">
        <v>1974487.0494485092</v>
      </c>
      <c r="DW162" s="440">
        <v>1640998.9510000001</v>
      </c>
      <c r="DX162" s="457">
        <f t="shared" si="109"/>
        <v>-785003.80920432508</v>
      </c>
      <c r="DY162" s="459">
        <f t="shared" si="110"/>
        <v>-256.95705702269231</v>
      </c>
      <c r="DZ162" s="440"/>
      <c r="EA162" s="457">
        <f t="shared" si="111"/>
        <v>-124626.94345551543</v>
      </c>
      <c r="EB162" s="459">
        <f t="shared" si="112"/>
        <v>-40.794416843049241</v>
      </c>
      <c r="ED162" s="457">
        <v>137353.2023277909</v>
      </c>
      <c r="EE162" s="458">
        <v>87569.671109806382</v>
      </c>
      <c r="EF162" s="458">
        <v>38418.794558226109</v>
      </c>
      <c r="EG162" s="458">
        <v>1805.6709821346726</v>
      </c>
      <c r="EH162" s="459">
        <v>-1176.6174418476182</v>
      </c>
    </row>
    <row r="163" spans="1:138" x14ac:dyDescent="0.2">
      <c r="A163" s="67">
        <v>489</v>
      </c>
      <c r="B163" s="67" t="s">
        <v>285</v>
      </c>
      <c r="C163" s="67">
        <v>8</v>
      </c>
      <c r="D163" s="67">
        <v>1791</v>
      </c>
      <c r="E163" s="82">
        <v>6294289.3929458223</v>
      </c>
      <c r="F163" s="67">
        <v>2146350.2729831338</v>
      </c>
      <c r="G163" s="67">
        <v>513218</v>
      </c>
      <c r="H163" s="67">
        <v>590214.33127013315</v>
      </c>
      <c r="I163" s="67">
        <v>924804.61406807532</v>
      </c>
      <c r="J163" s="67">
        <v>422239.16431304347</v>
      </c>
      <c r="K163" s="67">
        <v>576999.10091449495</v>
      </c>
      <c r="L163" s="67">
        <v>-420682</v>
      </c>
      <c r="M163" s="68">
        <v>-11033.61</v>
      </c>
      <c r="N163" s="68">
        <v>13958.37029182092</v>
      </c>
      <c r="O163" s="68">
        <v>-52124.129248916812</v>
      </c>
      <c r="P163" s="168">
        <f t="shared" si="78"/>
        <v>-1590345.2783540373</v>
      </c>
      <c r="Q163" s="169">
        <f t="shared" si="79"/>
        <v>-887.96497953882601</v>
      </c>
      <c r="R163" s="67"/>
      <c r="S163" s="82">
        <v>15770759.349999998</v>
      </c>
      <c r="T163" s="67">
        <v>4989774.420779963</v>
      </c>
      <c r="U163" s="67">
        <v>887063.97046686593</v>
      </c>
      <c r="V163" s="67">
        <v>7132321.9398948792</v>
      </c>
      <c r="W163" s="67">
        <v>1408224.6723305294</v>
      </c>
      <c r="X163" s="67">
        <v>81502.39</v>
      </c>
      <c r="Y163" s="168">
        <f t="shared" si="80"/>
        <v>-1271871.9565277621</v>
      </c>
      <c r="Z163" s="169">
        <f t="shared" si="81"/>
        <v>-710.14626271790178</v>
      </c>
      <c r="AA163" s="67"/>
      <c r="AB163" s="77">
        <f t="shared" si="82"/>
        <v>-318473.32182627521</v>
      </c>
      <c r="AC163" s="123">
        <f t="shared" si="83"/>
        <v>-177.81871682092418</v>
      </c>
      <c r="AE163" s="170"/>
      <c r="AF163" s="177">
        <v>293664.61728990654</v>
      </c>
      <c r="AG163" s="177">
        <v>262132.76096463771</v>
      </c>
      <c r="AH163" s="177">
        <v>232540.0713476261</v>
      </c>
      <c r="AI163" s="178">
        <v>202581.17942514046</v>
      </c>
      <c r="AK163" s="67">
        <f t="shared" si="84"/>
        <v>2843424.1477968292</v>
      </c>
      <c r="AL163" s="67">
        <f t="shared" si="85"/>
        <v>296849.63919673278</v>
      </c>
      <c r="AM163" s="67">
        <f t="shared" si="86"/>
        <v>6207517.3258268042</v>
      </c>
      <c r="AN163" s="67">
        <f t="shared" si="87"/>
        <v>9476469.9570541754</v>
      </c>
      <c r="AO163" s="67">
        <f t="shared" si="88"/>
        <v>0</v>
      </c>
      <c r="AP163" s="67">
        <f t="shared" si="89"/>
        <v>293664.61728990654</v>
      </c>
      <c r="AQ163" s="67">
        <f t="shared" si="90"/>
        <v>262132.76096463771</v>
      </c>
      <c r="AR163" s="67">
        <f t="shared" si="91"/>
        <v>232540.0713476261</v>
      </c>
      <c r="AS163" s="67">
        <f t="shared" si="92"/>
        <v>202581.17942514046</v>
      </c>
      <c r="AT163" s="68">
        <v>965</v>
      </c>
      <c r="AU163" s="68"/>
      <c r="AV163" s="68"/>
      <c r="AW163" s="68">
        <v>0</v>
      </c>
      <c r="AX163" s="68">
        <v>5308.6896861638397</v>
      </c>
      <c r="AY163" s="68">
        <v>-965.02038511301907</v>
      </c>
      <c r="AZ163" s="68">
        <v>988.0496254027621</v>
      </c>
      <c r="BA163" s="299"/>
      <c r="BB163" s="67"/>
      <c r="BC163" s="67"/>
      <c r="BD163" s="67"/>
      <c r="BE163" s="67"/>
      <c r="BF163" s="67"/>
      <c r="BG163" s="67"/>
      <c r="BH163" s="67"/>
      <c r="BN163" s="299"/>
      <c r="BO163" s="67">
        <v>5081685.2522720899</v>
      </c>
      <c r="BP163" s="67">
        <v>8484335.2899999972</v>
      </c>
      <c r="BQ163" s="67">
        <v>9183000</v>
      </c>
      <c r="BR163" s="67">
        <v>303365.7</v>
      </c>
      <c r="BS163" s="67">
        <v>359000</v>
      </c>
      <c r="BT163" s="428">
        <v>0.56985023931249523</v>
      </c>
      <c r="BU163" s="428">
        <v>0.33464287704132478</v>
      </c>
      <c r="BV163" s="67">
        <f t="shared" si="93"/>
        <v>7770501.9347587861</v>
      </c>
      <c r="BW163" s="299"/>
      <c r="BX163" s="67">
        <v>14191700</v>
      </c>
      <c r="BY163" s="67">
        <v>5081685.2522720899</v>
      </c>
      <c r="BZ163" s="67">
        <v>6313136.9572282061</v>
      </c>
      <c r="CA163" s="67">
        <v>3214700.6834897744</v>
      </c>
      <c r="CB163" s="67">
        <f t="shared" si="94"/>
        <v>741267.49553093687</v>
      </c>
      <c r="CC163" s="67">
        <f t="shared" si="95"/>
        <v>-710.14626271790166</v>
      </c>
      <c r="CD163" s="67">
        <f t="shared" si="96"/>
        <v>-767.14279982617484</v>
      </c>
      <c r="CE163" s="67">
        <f t="shared" si="97"/>
        <v>-56.996537108273174</v>
      </c>
      <c r="CF163" s="67">
        <f t="shared" si="98"/>
        <v>41.996537108273174</v>
      </c>
      <c r="CG163" s="67">
        <f t="shared" si="99"/>
        <v>26.996537108273174</v>
      </c>
      <c r="CH163" s="67">
        <f t="shared" si="100"/>
        <v>11.996537108273174</v>
      </c>
      <c r="CI163" s="67">
        <f t="shared" si="101"/>
        <v>0</v>
      </c>
      <c r="CJ163" s="67">
        <f t="shared" si="102"/>
        <v>75215.797960917247</v>
      </c>
      <c r="CK163" s="67">
        <f t="shared" si="103"/>
        <v>48350.797960917254</v>
      </c>
      <c r="CL163" s="67">
        <f t="shared" si="104"/>
        <v>21485.797960917254</v>
      </c>
      <c r="CM163" s="67">
        <f t="shared" si="105"/>
        <v>0</v>
      </c>
      <c r="CN163" s="299"/>
      <c r="CO163" s="430">
        <v>4989.7744207799633</v>
      </c>
      <c r="CP163" s="430">
        <v>887.06397046686595</v>
      </c>
      <c r="CQ163" s="430">
        <v>513.21799999999996</v>
      </c>
      <c r="CR163" s="430">
        <v>7132321.9398948792</v>
      </c>
      <c r="CS163" s="430">
        <v>924804.61406807532</v>
      </c>
      <c r="CT163" s="430">
        <v>1408224.6723305294</v>
      </c>
      <c r="CU163" s="430">
        <v>422239.16431304347</v>
      </c>
      <c r="CV163" s="430">
        <v>-420682</v>
      </c>
      <c r="CW163" s="430">
        <v>13958.37029182092</v>
      </c>
      <c r="CX163" s="430">
        <v>-11033.61</v>
      </c>
      <c r="CY163" s="430">
        <v>6294289.3929458223</v>
      </c>
      <c r="CZ163" s="519"/>
      <c r="DA163" s="524">
        <v>5217.3734000000004</v>
      </c>
      <c r="DB163" s="524">
        <v>880.12631354035909</v>
      </c>
      <c r="DC163" s="520">
        <f t="shared" si="106"/>
        <v>-1</v>
      </c>
      <c r="DD163" s="440">
        <v>1835</v>
      </c>
      <c r="DE163" s="450">
        <v>5081685.2522720899</v>
      </c>
      <c r="DF163" s="440">
        <v>2178058.1941897743</v>
      </c>
      <c r="DG163" s="440">
        <v>505623.20850000001</v>
      </c>
      <c r="DH163" s="440">
        <v>531019.28080000007</v>
      </c>
      <c r="DI163" s="440">
        <v>921878.45403203438</v>
      </c>
      <c r="DJ163" s="440">
        <v>423123.10347109102</v>
      </c>
      <c r="DK163" s="440">
        <v>741397.29173486971</v>
      </c>
      <c r="DL163" s="440">
        <v>-377906</v>
      </c>
      <c r="DM163" s="440">
        <v>-11000</v>
      </c>
      <c r="DN163" s="440">
        <v>13734.539376686482</v>
      </c>
      <c r="DO163" s="457">
        <f t="shared" si="107"/>
        <v>-155757.18016763404</v>
      </c>
      <c r="DP163" s="459">
        <f t="shared" si="108"/>
        <v>-84.881297094078491</v>
      </c>
      <c r="DQ163" s="440"/>
      <c r="DR163" s="450">
        <v>14191700</v>
      </c>
      <c r="DS163" s="440">
        <v>5010984.8275282066</v>
      </c>
      <c r="DT163" s="440">
        <v>796528.9212000001</v>
      </c>
      <c r="DU163" s="440">
        <v>7129407.1898948792</v>
      </c>
      <c r="DV163" s="440">
        <v>1411172.7288738531</v>
      </c>
      <c r="DW163" s="440">
        <v>116717.20850000001</v>
      </c>
      <c r="DX163" s="457">
        <f t="shared" si="109"/>
        <v>273110.87599693798</v>
      </c>
      <c r="DY163" s="459">
        <f t="shared" si="110"/>
        <v>148.83426484846757</v>
      </c>
      <c r="DZ163" s="440"/>
      <c r="EA163" s="457">
        <f t="shared" si="111"/>
        <v>-428868.05616457202</v>
      </c>
      <c r="EB163" s="459">
        <f t="shared" si="112"/>
        <v>-233.71556194254606</v>
      </c>
      <c r="ED163" s="457">
        <v>436512.14291764144</v>
      </c>
      <c r="EE163" s="458">
        <v>406609.43267705169</v>
      </c>
      <c r="EF163" s="458">
        <v>377086.72941284557</v>
      </c>
      <c r="EG163" s="458">
        <v>347377.64086251543</v>
      </c>
      <c r="EH163" s="459">
        <v>318061.31540981249</v>
      </c>
    </row>
    <row r="164" spans="1:138" x14ac:dyDescent="0.2">
      <c r="A164" s="67">
        <v>491</v>
      </c>
      <c r="B164" s="67" t="s">
        <v>286</v>
      </c>
      <c r="C164" s="67">
        <v>10</v>
      </c>
      <c r="D164" s="67">
        <v>51980</v>
      </c>
      <c r="E164" s="82">
        <v>142836134.34002608</v>
      </c>
      <c r="F164" s="67">
        <v>86223168.256802574</v>
      </c>
      <c r="G164" s="67">
        <v>21509108</v>
      </c>
      <c r="H164" s="67">
        <v>13324223.304851932</v>
      </c>
      <c r="I164" s="67">
        <v>15415959.854735026</v>
      </c>
      <c r="J164" s="67">
        <v>8835308.4677305967</v>
      </c>
      <c r="K164" s="67">
        <v>-12156636.199275194</v>
      </c>
      <c r="L164" s="67">
        <v>1058135</v>
      </c>
      <c r="M164" s="68">
        <v>4017213.09</v>
      </c>
      <c r="N164" s="68">
        <v>525388.90147284127</v>
      </c>
      <c r="O164" s="68">
        <v>-1512792.9862415947</v>
      </c>
      <c r="P164" s="168">
        <f t="shared" si="78"/>
        <v>-5597058.6499498943</v>
      </c>
      <c r="Q164" s="169">
        <f t="shared" si="79"/>
        <v>-107.67715755963629</v>
      </c>
      <c r="R164" s="67"/>
      <c r="S164" s="82">
        <v>389284723.83999997</v>
      </c>
      <c r="T164" s="67">
        <v>197720690.1452758</v>
      </c>
      <c r="U164" s="67">
        <v>20025671.695829265</v>
      </c>
      <c r="V164" s="67">
        <v>104033650.33221558</v>
      </c>
      <c r="W164" s="67">
        <v>29466947.700485308</v>
      </c>
      <c r="X164" s="67">
        <v>26584456.09</v>
      </c>
      <c r="Y164" s="168">
        <f t="shared" si="80"/>
        <v>-11453307.87619406</v>
      </c>
      <c r="Z164" s="169">
        <f t="shared" si="81"/>
        <v>-220.34066710646516</v>
      </c>
      <c r="AA164" s="67"/>
      <c r="AB164" s="77">
        <f t="shared" si="82"/>
        <v>5856249.2262441656</v>
      </c>
      <c r="AC164" s="123">
        <f t="shared" si="83"/>
        <v>112.66350954682889</v>
      </c>
      <c r="AE164" s="170"/>
      <c r="AF164" s="177">
        <v>-5016869.5845917985</v>
      </c>
      <c r="AG164" s="177">
        <v>-4372615.2528148452</v>
      </c>
      <c r="AH164" s="177">
        <v>-3672080.694630737</v>
      </c>
      <c r="AI164" s="178">
        <v>-2982174.3864960657</v>
      </c>
      <c r="AK164" s="67">
        <f t="shared" si="84"/>
        <v>111497521.88847323</v>
      </c>
      <c r="AL164" s="67">
        <f t="shared" si="85"/>
        <v>6701448.3909773324</v>
      </c>
      <c r="AM164" s="67">
        <f t="shared" si="86"/>
        <v>88617690.477480546</v>
      </c>
      <c r="AN164" s="67">
        <f t="shared" si="87"/>
        <v>246448589.49997389</v>
      </c>
      <c r="AO164" s="67">
        <f t="shared" si="88"/>
        <v>0</v>
      </c>
      <c r="AP164" s="67">
        <f t="shared" si="89"/>
        <v>-5016869.5845917985</v>
      </c>
      <c r="AQ164" s="67">
        <f t="shared" si="90"/>
        <v>-4372615.2528148452</v>
      </c>
      <c r="AR164" s="67">
        <f t="shared" si="91"/>
        <v>-3672080.694630737</v>
      </c>
      <c r="AS164" s="67">
        <f t="shared" si="92"/>
        <v>-2982174.3864960657</v>
      </c>
      <c r="AT164" s="68">
        <v>21663</v>
      </c>
      <c r="AU164" s="68"/>
      <c r="AV164" s="68"/>
      <c r="AW164" s="68">
        <v>511</v>
      </c>
      <c r="AX164" s="68">
        <v>78276.794941119922</v>
      </c>
      <c r="AY164" s="68">
        <v>-8092.7206297546554</v>
      </c>
      <c r="AZ164" s="68">
        <v>20668.974546234131</v>
      </c>
      <c r="BA164" s="299"/>
      <c r="BB164" s="67"/>
      <c r="BC164" s="67"/>
      <c r="BD164" s="67"/>
      <c r="BE164" s="67"/>
      <c r="BF164" s="67"/>
      <c r="BG164" s="67"/>
      <c r="BH164" s="67"/>
      <c r="BN164" s="299"/>
      <c r="BO164" s="67">
        <v>138196590.61854523</v>
      </c>
      <c r="BP164" s="67">
        <v>232053839.09999999</v>
      </c>
      <c r="BQ164" s="67">
        <v>233631000</v>
      </c>
      <c r="BR164" s="67">
        <v>5407718.049999997</v>
      </c>
      <c r="BS164" s="67">
        <v>5613000</v>
      </c>
      <c r="BT164" s="428">
        <v>0.56391428639334673</v>
      </c>
      <c r="BU164" s="428">
        <v>0.33464287704132489</v>
      </c>
      <c r="BV164" s="67">
        <f t="shared" si="93"/>
        <v>97092693.510960072</v>
      </c>
      <c r="BW164" s="299"/>
      <c r="BX164" s="67">
        <v>377907500</v>
      </c>
      <c r="BY164" s="67">
        <v>138196590.61854523</v>
      </c>
      <c r="BZ164" s="67">
        <v>238028736.86827308</v>
      </c>
      <c r="CA164" s="67">
        <v>121205406.61572489</v>
      </c>
      <c r="CB164" s="67">
        <f t="shared" si="94"/>
        <v>-9838217.6820220202</v>
      </c>
      <c r="CC164" s="67">
        <f t="shared" si="95"/>
        <v>-220.34066710646439</v>
      </c>
      <c r="CD164" s="67">
        <f t="shared" si="96"/>
        <v>-33.971664995289125</v>
      </c>
      <c r="CE164" s="67">
        <f t="shared" si="97"/>
        <v>186.36900211117526</v>
      </c>
      <c r="CF164" s="67">
        <f t="shared" si="98"/>
        <v>-171.36900211117526</v>
      </c>
      <c r="CG164" s="67">
        <f t="shared" si="99"/>
        <v>-156.36900211117526</v>
      </c>
      <c r="CH164" s="67">
        <f t="shared" si="100"/>
        <v>-141.36900211117526</v>
      </c>
      <c r="CI164" s="67">
        <f t="shared" si="101"/>
        <v>-126.36900211117526</v>
      </c>
      <c r="CJ164" s="67">
        <f t="shared" si="102"/>
        <v>-8907760.7297388893</v>
      </c>
      <c r="CK164" s="67">
        <f t="shared" si="103"/>
        <v>-8128060.7297388902</v>
      </c>
      <c r="CL164" s="67">
        <f t="shared" si="104"/>
        <v>-7348360.7297388902</v>
      </c>
      <c r="CM164" s="67">
        <f t="shared" si="105"/>
        <v>-6568660.7297388902</v>
      </c>
      <c r="CN164" s="299"/>
      <c r="CO164" s="430">
        <v>197720.69014527579</v>
      </c>
      <c r="CP164" s="430">
        <v>20025.671695829264</v>
      </c>
      <c r="CQ164" s="430">
        <v>21509.108</v>
      </c>
      <c r="CR164" s="430">
        <v>104033650.33221558</v>
      </c>
      <c r="CS164" s="430">
        <v>15415959.854735026</v>
      </c>
      <c r="CT164" s="430">
        <v>29466947.700485308</v>
      </c>
      <c r="CU164" s="430">
        <v>8835308.4677305967</v>
      </c>
      <c r="CV164" s="430">
        <v>1058135</v>
      </c>
      <c r="CW164" s="430">
        <v>525388.90147284127</v>
      </c>
      <c r="CX164" s="430">
        <v>4017213.09</v>
      </c>
      <c r="CY164" s="430">
        <v>142836134.34002608</v>
      </c>
      <c r="CZ164" s="519"/>
      <c r="DA164" s="524">
        <v>202248.11055000001</v>
      </c>
      <c r="DB164" s="524">
        <v>19869.06339926536</v>
      </c>
      <c r="DC164" s="520">
        <f t="shared" si="106"/>
        <v>-1</v>
      </c>
      <c r="DD164" s="440">
        <v>52122</v>
      </c>
      <c r="DE164" s="450">
        <v>138196590.61854523</v>
      </c>
      <c r="DF164" s="440">
        <v>87721065.66582489</v>
      </c>
      <c r="DG164" s="440">
        <v>21496459.4267</v>
      </c>
      <c r="DH164" s="440">
        <v>11987881.5232</v>
      </c>
      <c r="DI164" s="440">
        <v>15333416.874443898</v>
      </c>
      <c r="DJ164" s="440">
        <v>8851296.9700308368</v>
      </c>
      <c r="DK164" s="440">
        <v>-9833567.5417955555</v>
      </c>
      <c r="DL164" s="440">
        <v>913284</v>
      </c>
      <c r="DM164" s="440">
        <v>3550000</v>
      </c>
      <c r="DN164" s="440">
        <v>517846.58056992665</v>
      </c>
      <c r="DO164" s="457">
        <f t="shared" si="107"/>
        <v>2341092.8804287612</v>
      </c>
      <c r="DP164" s="459">
        <f t="shared" si="108"/>
        <v>44.915637934629544</v>
      </c>
      <c r="DQ164" s="440"/>
      <c r="DR164" s="450">
        <v>377907500</v>
      </c>
      <c r="DS164" s="440">
        <v>198550455.15677309</v>
      </c>
      <c r="DT164" s="440">
        <v>17981822.2848</v>
      </c>
      <c r="DU164" s="440">
        <v>103951371.71221559</v>
      </c>
      <c r="DV164" s="440">
        <v>29520271.516264968</v>
      </c>
      <c r="DW164" s="440">
        <v>25959743.4267</v>
      </c>
      <c r="DX164" s="457">
        <f t="shared" si="109"/>
        <v>-1943835.9032463431</v>
      </c>
      <c r="DY164" s="459">
        <f t="shared" si="110"/>
        <v>-37.293962304714768</v>
      </c>
      <c r="DZ164" s="440"/>
      <c r="EA164" s="457">
        <f t="shared" si="111"/>
        <v>4284928.7836751044</v>
      </c>
      <c r="EB164" s="459">
        <f t="shared" si="112"/>
        <v>82.209600239344311</v>
      </c>
      <c r="ED164" s="457">
        <v>-4067803.3941691183</v>
      </c>
      <c r="EE164" s="458">
        <v>-3353510.7310410626</v>
      </c>
      <c r="EF164" s="458">
        <v>-2628424.2130775494</v>
      </c>
      <c r="EG164" s="458">
        <v>-1908631.8498188609</v>
      </c>
      <c r="EH164" s="459">
        <v>-1177683.302268879</v>
      </c>
    </row>
    <row r="165" spans="1:138" x14ac:dyDescent="0.2">
      <c r="A165" s="67">
        <v>494</v>
      </c>
      <c r="B165" s="67" t="s">
        <v>287</v>
      </c>
      <c r="C165" s="67">
        <v>17</v>
      </c>
      <c r="D165" s="67">
        <v>8882</v>
      </c>
      <c r="E165" s="82">
        <v>27957781.404779665</v>
      </c>
      <c r="F165" s="67">
        <v>12967001.000894699</v>
      </c>
      <c r="G165" s="67">
        <v>4082142</v>
      </c>
      <c r="H165" s="67">
        <v>926771.28741968214</v>
      </c>
      <c r="I165" s="67">
        <v>12989403.359351192</v>
      </c>
      <c r="J165" s="67">
        <v>1347344.4454076407</v>
      </c>
      <c r="K165" s="67">
        <v>-1896165.6464686755</v>
      </c>
      <c r="L165" s="67">
        <v>-9224</v>
      </c>
      <c r="M165" s="68">
        <v>-149419.41</v>
      </c>
      <c r="N165" s="68">
        <v>75509.940502901125</v>
      </c>
      <c r="O165" s="68">
        <v>-258496.10049630326</v>
      </c>
      <c r="P165" s="168">
        <f t="shared" si="78"/>
        <v>2117085.4718314707</v>
      </c>
      <c r="Q165" s="169">
        <f t="shared" si="79"/>
        <v>238.35684213369407</v>
      </c>
      <c r="R165" s="67"/>
      <c r="S165" s="82">
        <v>64189317.270000003</v>
      </c>
      <c r="T165" s="67">
        <v>29488670.963569425</v>
      </c>
      <c r="U165" s="67">
        <v>1392893.012550259</v>
      </c>
      <c r="V165" s="67">
        <v>24788315.810552366</v>
      </c>
      <c r="W165" s="67">
        <v>4493575.7990081869</v>
      </c>
      <c r="X165" s="67">
        <v>3923498.59</v>
      </c>
      <c r="Y165" s="168">
        <f t="shared" si="80"/>
        <v>-102363.09431976825</v>
      </c>
      <c r="Z165" s="169">
        <f t="shared" si="81"/>
        <v>-11.52477981533081</v>
      </c>
      <c r="AA165" s="67"/>
      <c r="AB165" s="77">
        <f t="shared" si="82"/>
        <v>2219448.566151239</v>
      </c>
      <c r="AC165" s="123">
        <f t="shared" si="83"/>
        <v>249.88162194902489</v>
      </c>
      <c r="AE165" s="288"/>
      <c r="AF165" s="289">
        <v>-2076020.9021043726</v>
      </c>
      <c r="AG165" s="289">
        <v>-1965934.9656895415</v>
      </c>
      <c r="AH165" s="289">
        <v>-1846232.2349124881</v>
      </c>
      <c r="AI165" s="290">
        <v>-1728345.5894940167</v>
      </c>
      <c r="AJ165"/>
      <c r="AK165" s="67">
        <f t="shared" si="84"/>
        <v>16521669.962674726</v>
      </c>
      <c r="AL165" s="67">
        <f t="shared" si="85"/>
        <v>466121.72513057687</v>
      </c>
      <c r="AM165" s="67">
        <f t="shared" si="86"/>
        <v>11798912.451201174</v>
      </c>
      <c r="AN165" s="67">
        <f t="shared" si="87"/>
        <v>36231535.865220338</v>
      </c>
      <c r="AO165" s="67">
        <f t="shared" si="88"/>
        <v>0</v>
      </c>
      <c r="AP165" s="67">
        <f t="shared" si="89"/>
        <v>-2076020.9021043726</v>
      </c>
      <c r="AQ165" s="67">
        <f t="shared" si="90"/>
        <v>-1965934.9656895415</v>
      </c>
      <c r="AR165" s="67">
        <f t="shared" si="91"/>
        <v>-1846232.2349124881</v>
      </c>
      <c r="AS165" s="67">
        <f t="shared" si="92"/>
        <v>-1728345.5894940167</v>
      </c>
      <c r="AT165" s="68">
        <v>3483</v>
      </c>
      <c r="AU165" s="68"/>
      <c r="AV165" s="68"/>
      <c r="AW165" s="68">
        <v>174</v>
      </c>
      <c r="AX165" s="68">
        <v>9083.2935524738386</v>
      </c>
      <c r="AY165" s="68">
        <v>-3670.9570338994681</v>
      </c>
      <c r="AZ165" s="68">
        <v>3160.3407806140303</v>
      </c>
      <c r="BA165" s="299"/>
      <c r="BB165" s="67"/>
      <c r="BC165" s="67"/>
      <c r="BD165" s="67"/>
      <c r="BE165" s="67"/>
      <c r="BF165" s="67"/>
      <c r="BG165" s="67"/>
      <c r="BH165" s="67"/>
      <c r="BN165" s="299"/>
      <c r="BO165" s="67">
        <v>26390650.361904807</v>
      </c>
      <c r="BP165" s="67">
        <v>34292120.670000002</v>
      </c>
      <c r="BQ165" s="67">
        <v>34526000</v>
      </c>
      <c r="BR165" s="67">
        <v>628493.27</v>
      </c>
      <c r="BS165" s="67">
        <v>637000</v>
      </c>
      <c r="BT165" s="428">
        <v>0.56027177294920305</v>
      </c>
      <c r="BU165" s="428">
        <v>0.33464287704132484</v>
      </c>
      <c r="BV165" s="67">
        <f t="shared" si="93"/>
        <v>13048978.158333046</v>
      </c>
      <c r="BW165" s="299"/>
      <c r="BX165" s="67">
        <v>61585770</v>
      </c>
      <c r="BY165" s="67">
        <v>26390650.361904807</v>
      </c>
      <c r="BZ165" s="67">
        <v>34803303.781964779</v>
      </c>
      <c r="CA165" s="67">
        <v>18033273.662243761</v>
      </c>
      <c r="CB165" s="67">
        <f t="shared" si="94"/>
        <v>-1553916.9320156714</v>
      </c>
      <c r="CC165" s="67">
        <f t="shared" si="95"/>
        <v>-11.52477981533081</v>
      </c>
      <c r="CD165" s="67">
        <f t="shared" si="96"/>
        <v>305.99305187804299</v>
      </c>
      <c r="CE165" s="67">
        <f t="shared" si="97"/>
        <v>317.51783169337381</v>
      </c>
      <c r="CF165" s="67">
        <f t="shared" si="98"/>
        <v>-302.51783169337381</v>
      </c>
      <c r="CG165" s="67">
        <f t="shared" si="99"/>
        <v>-287.51783169337381</v>
      </c>
      <c r="CH165" s="67">
        <f t="shared" si="100"/>
        <v>-272.51783169337381</v>
      </c>
      <c r="CI165" s="67">
        <f t="shared" si="101"/>
        <v>-257.51783169337381</v>
      </c>
      <c r="CJ165" s="67">
        <f t="shared" si="102"/>
        <v>-2686963.3811005461</v>
      </c>
      <c r="CK165" s="67">
        <f t="shared" si="103"/>
        <v>-2553733.3811005461</v>
      </c>
      <c r="CL165" s="67">
        <f t="shared" si="104"/>
        <v>-2420503.3811005461</v>
      </c>
      <c r="CM165" s="67">
        <f t="shared" si="105"/>
        <v>-2287273.3811005461</v>
      </c>
      <c r="CN165" s="299"/>
      <c r="CO165" s="430">
        <v>29488.670963569424</v>
      </c>
      <c r="CP165" s="430">
        <v>1392.8930125502591</v>
      </c>
      <c r="CQ165" s="430">
        <v>4082.1419999999998</v>
      </c>
      <c r="CR165" s="430">
        <v>24788315.810552366</v>
      </c>
      <c r="CS165" s="430">
        <v>12989403.359351192</v>
      </c>
      <c r="CT165" s="430">
        <v>4493575.7990081869</v>
      </c>
      <c r="CU165" s="430">
        <v>1347344.4454076407</v>
      </c>
      <c r="CV165" s="430">
        <v>-9224</v>
      </c>
      <c r="CW165" s="430">
        <v>75509.940502901125</v>
      </c>
      <c r="CX165" s="430">
        <v>-149419.41</v>
      </c>
      <c r="CY165" s="430">
        <v>27957781.404779665</v>
      </c>
      <c r="CZ165" s="519"/>
      <c r="DA165" s="524">
        <v>29833.311959999999</v>
      </c>
      <c r="DB165" s="524">
        <v>1382.0010146595964</v>
      </c>
      <c r="DC165" s="520">
        <f t="shared" si="106"/>
        <v>-1</v>
      </c>
      <c r="DD165" s="440">
        <v>8909</v>
      </c>
      <c r="DE165" s="450">
        <v>26390650.361904807</v>
      </c>
      <c r="DF165" s="440">
        <v>13099300.450443761</v>
      </c>
      <c r="DG165" s="440">
        <v>4100151.6719999998</v>
      </c>
      <c r="DH165" s="440">
        <v>833821.53980000003</v>
      </c>
      <c r="DI165" s="440">
        <v>12975297.434506949</v>
      </c>
      <c r="DJ165" s="440">
        <v>1353386.6768833254</v>
      </c>
      <c r="DK165" s="440">
        <v>-1553214.1069209697</v>
      </c>
      <c r="DL165" s="440">
        <v>21242</v>
      </c>
      <c r="DM165" s="440">
        <v>-190000</v>
      </c>
      <c r="DN165" s="440">
        <v>74337.058657534551</v>
      </c>
      <c r="DO165" s="457">
        <f t="shared" si="107"/>
        <v>4323672.3634657934</v>
      </c>
      <c r="DP165" s="459">
        <f t="shared" si="108"/>
        <v>485.31511544121599</v>
      </c>
      <c r="DQ165" s="440"/>
      <c r="DR165" s="450">
        <v>61585770</v>
      </c>
      <c r="DS165" s="440">
        <v>29452419.800264776</v>
      </c>
      <c r="DT165" s="440">
        <v>1250732.3097000001</v>
      </c>
      <c r="DU165" s="440">
        <v>24774218.010552369</v>
      </c>
      <c r="DV165" s="440">
        <v>4513727.4574973555</v>
      </c>
      <c r="DW165" s="440">
        <v>3931393.6719999998</v>
      </c>
      <c r="DX165" s="457">
        <f t="shared" si="109"/>
        <v>2336721.2500144988</v>
      </c>
      <c r="DY165" s="459">
        <f t="shared" si="110"/>
        <v>262.2877146721853</v>
      </c>
      <c r="DZ165" s="440"/>
      <c r="EA165" s="457">
        <f t="shared" si="111"/>
        <v>1986951.1134512946</v>
      </c>
      <c r="EB165" s="459">
        <f t="shared" si="112"/>
        <v>223.02740076903072</v>
      </c>
      <c r="ED165" s="457">
        <v>-1949838.7598365208</v>
      </c>
      <c r="EE165" s="458">
        <v>-1827747.6402362015</v>
      </c>
      <c r="EF165" s="458">
        <v>-1703811.5712339196</v>
      </c>
      <c r="EG165" s="458">
        <v>-1580780.4104136967</v>
      </c>
      <c r="EH165" s="459">
        <v>-1455842.3687015062</v>
      </c>
    </row>
    <row r="166" spans="1:138" x14ac:dyDescent="0.2">
      <c r="A166" s="67">
        <v>495</v>
      </c>
      <c r="B166" s="67" t="s">
        <v>288</v>
      </c>
      <c r="C166" s="67">
        <v>13</v>
      </c>
      <c r="D166" s="67">
        <v>1477</v>
      </c>
      <c r="E166" s="82">
        <v>4289374.8125544349</v>
      </c>
      <c r="F166" s="67">
        <v>1870746.2841441596</v>
      </c>
      <c r="G166" s="67">
        <v>478891</v>
      </c>
      <c r="H166" s="67">
        <v>936904.31000649184</v>
      </c>
      <c r="I166" s="67">
        <v>873321.19218334975</v>
      </c>
      <c r="J166" s="67">
        <v>335372.9538111873</v>
      </c>
      <c r="K166" s="67">
        <v>10372.702048117093</v>
      </c>
      <c r="L166" s="67">
        <v>-388195</v>
      </c>
      <c r="M166" s="68">
        <v>6078.83</v>
      </c>
      <c r="N166" s="68">
        <v>12570.029020130187</v>
      </c>
      <c r="O166" s="68">
        <v>-42985.672194667859</v>
      </c>
      <c r="P166" s="168">
        <f t="shared" si="78"/>
        <v>-196298.1835356669</v>
      </c>
      <c r="Q166" s="169">
        <f t="shared" si="79"/>
        <v>-132.90330638840007</v>
      </c>
      <c r="R166" s="67"/>
      <c r="S166" s="82">
        <v>12272474.83</v>
      </c>
      <c r="T166" s="67">
        <v>4227460.8929358358</v>
      </c>
      <c r="U166" s="67">
        <v>1408122.4618747823</v>
      </c>
      <c r="V166" s="67">
        <v>5261014.7884016288</v>
      </c>
      <c r="W166" s="67">
        <v>1118514.1216297441</v>
      </c>
      <c r="X166" s="67">
        <v>96774.83</v>
      </c>
      <c r="Y166" s="168">
        <f t="shared" si="80"/>
        <v>-160587.73515800945</v>
      </c>
      <c r="Z166" s="169">
        <f t="shared" si="81"/>
        <v>-108.72561622072408</v>
      </c>
      <c r="AA166" s="67"/>
      <c r="AB166" s="77">
        <f t="shared" si="82"/>
        <v>-35710.448377657449</v>
      </c>
      <c r="AC166" s="123">
        <f t="shared" si="83"/>
        <v>-24.177690167675998</v>
      </c>
      <c r="AE166" s="170"/>
      <c r="AF166" s="177">
        <v>15251.231962124821</v>
      </c>
      <c r="AG166" s="177">
        <v>-2152.8745910919406</v>
      </c>
      <c r="AH166" s="177">
        <v>-4402.3428012126142</v>
      </c>
      <c r="AI166" s="178">
        <v>-6953.8103442116726</v>
      </c>
      <c r="AK166" s="67">
        <f t="shared" si="84"/>
        <v>2356714.6087916763</v>
      </c>
      <c r="AL166" s="67">
        <f t="shared" si="85"/>
        <v>471218.1518682905</v>
      </c>
      <c r="AM166" s="67">
        <f t="shared" si="86"/>
        <v>4387693.5962182786</v>
      </c>
      <c r="AN166" s="67">
        <f t="shared" si="87"/>
        <v>7983100.0174455652</v>
      </c>
      <c r="AO166" s="67">
        <f t="shared" si="88"/>
        <v>0</v>
      </c>
      <c r="AP166" s="67">
        <f t="shared" si="89"/>
        <v>15251.231962124821</v>
      </c>
      <c r="AQ166" s="67">
        <f t="shared" si="90"/>
        <v>-2152.8745910919406</v>
      </c>
      <c r="AR166" s="67">
        <f t="shared" si="91"/>
        <v>-4402.3428012126142</v>
      </c>
      <c r="AS166" s="67">
        <f t="shared" si="92"/>
        <v>-6953.8103442116726</v>
      </c>
      <c r="AT166" s="68">
        <v>527</v>
      </c>
      <c r="AU166" s="68"/>
      <c r="AV166" s="68"/>
      <c r="AW166" s="68">
        <v>1</v>
      </c>
      <c r="AX166" s="68">
        <v>3710.4381044485981</v>
      </c>
      <c r="AY166" s="68">
        <v>-648.46017809077102</v>
      </c>
      <c r="AZ166" s="68">
        <v>783.50579708256885</v>
      </c>
      <c r="BA166" s="299"/>
      <c r="BB166" s="67"/>
      <c r="BC166" s="67"/>
      <c r="BD166" s="67"/>
      <c r="BE166" s="67"/>
      <c r="BF166" s="67"/>
      <c r="BG166" s="67"/>
      <c r="BH166" s="67"/>
      <c r="BN166" s="299"/>
      <c r="BO166" s="67">
        <v>4261447.0144693255</v>
      </c>
      <c r="BP166" s="67">
        <v>7230506.7899999991</v>
      </c>
      <c r="BQ166" s="67">
        <v>7924000</v>
      </c>
      <c r="BR166" s="67">
        <v>141390.96</v>
      </c>
      <c r="BS166" s="67">
        <v>146000</v>
      </c>
      <c r="BT166" s="428">
        <v>0.55747756596158926</v>
      </c>
      <c r="BU166" s="428">
        <v>0.33464287704132489</v>
      </c>
      <c r="BV166" s="67">
        <f t="shared" si="93"/>
        <v>5181207.4660849534</v>
      </c>
      <c r="BW166" s="299"/>
      <c r="BX166" s="67">
        <v>11826310</v>
      </c>
      <c r="BY166" s="67">
        <v>4261447.0144693255</v>
      </c>
      <c r="BZ166" s="67">
        <v>6032863.7922262335</v>
      </c>
      <c r="CA166" s="67">
        <v>3239702.6181420898</v>
      </c>
      <c r="CB166" s="67">
        <f t="shared" si="94"/>
        <v>214494.86504749392</v>
      </c>
      <c r="CC166" s="67">
        <f t="shared" si="95"/>
        <v>-108.72561622072395</v>
      </c>
      <c r="CD166" s="67">
        <f t="shared" si="96"/>
        <v>34.400576613661151</v>
      </c>
      <c r="CE166" s="67">
        <f t="shared" si="97"/>
        <v>143.12619283438511</v>
      </c>
      <c r="CF166" s="67">
        <f t="shared" si="98"/>
        <v>-128.12619283438511</v>
      </c>
      <c r="CG166" s="67">
        <f t="shared" si="99"/>
        <v>-113.12619283438511</v>
      </c>
      <c r="CH166" s="67">
        <f t="shared" si="100"/>
        <v>-98.126192834385108</v>
      </c>
      <c r="CI166" s="67">
        <f t="shared" si="101"/>
        <v>-83.126192834385108</v>
      </c>
      <c r="CJ166" s="67">
        <f t="shared" si="102"/>
        <v>-189242.3868163868</v>
      </c>
      <c r="CK166" s="67">
        <f t="shared" si="103"/>
        <v>-167087.3868163868</v>
      </c>
      <c r="CL166" s="67">
        <f t="shared" si="104"/>
        <v>-144932.3868163868</v>
      </c>
      <c r="CM166" s="67">
        <f t="shared" si="105"/>
        <v>-122777.3868163868</v>
      </c>
      <c r="CN166" s="299"/>
      <c r="CO166" s="430">
        <v>4227.4608929358355</v>
      </c>
      <c r="CP166" s="430">
        <v>1408.1224618747824</v>
      </c>
      <c r="CQ166" s="430">
        <v>478.89100000000002</v>
      </c>
      <c r="CR166" s="430">
        <v>5261014.7884016288</v>
      </c>
      <c r="CS166" s="430">
        <v>873321.19218334975</v>
      </c>
      <c r="CT166" s="430">
        <v>1118514.1216297441</v>
      </c>
      <c r="CU166" s="430">
        <v>335372.9538111873</v>
      </c>
      <c r="CV166" s="430">
        <v>-388195</v>
      </c>
      <c r="CW166" s="430">
        <v>12570.029020130187</v>
      </c>
      <c r="CX166" s="430">
        <v>6078.83</v>
      </c>
      <c r="CY166" s="430">
        <v>4289374.8125544349</v>
      </c>
      <c r="CZ166" s="519"/>
      <c r="DA166" s="524">
        <v>4266.7072800000005</v>
      </c>
      <c r="DB166" s="524">
        <v>1397.1096516924342</v>
      </c>
      <c r="DC166" s="520">
        <f t="shared" si="106"/>
        <v>-1</v>
      </c>
      <c r="DD166" s="440">
        <v>1488</v>
      </c>
      <c r="DE166" s="450">
        <v>4261447.0144693255</v>
      </c>
      <c r="DF166" s="440">
        <v>1921862.7862420899</v>
      </c>
      <c r="DG166" s="440">
        <v>474901.55250000005</v>
      </c>
      <c r="DH166" s="440">
        <v>842938.2794</v>
      </c>
      <c r="DI166" s="440">
        <v>870869.56055657216</v>
      </c>
      <c r="DJ166" s="440">
        <v>335529.10291730438</v>
      </c>
      <c r="DK166" s="440">
        <v>214609.38296891158</v>
      </c>
      <c r="DL166" s="440">
        <v>-388195</v>
      </c>
      <c r="DM166" s="440">
        <v>670</v>
      </c>
      <c r="DN166" s="440">
        <v>12381.33650062253</v>
      </c>
      <c r="DO166" s="457">
        <f t="shared" si="107"/>
        <v>24119.986616175622</v>
      </c>
      <c r="DP166" s="459">
        <f t="shared" si="108"/>
        <v>16.209668424849209</v>
      </c>
      <c r="DQ166" s="440"/>
      <c r="DR166" s="450">
        <v>11826310</v>
      </c>
      <c r="DS166" s="440">
        <v>4293554.8206262337</v>
      </c>
      <c r="DT166" s="440">
        <v>1264407.4190999998</v>
      </c>
      <c r="DU166" s="440">
        <v>5258569.908401628</v>
      </c>
      <c r="DV166" s="440">
        <v>1119034.8999998732</v>
      </c>
      <c r="DW166" s="440">
        <v>87376.552500000049</v>
      </c>
      <c r="DX166" s="457">
        <f t="shared" si="109"/>
        <v>196633.60062773526</v>
      </c>
      <c r="DY166" s="459">
        <f t="shared" si="110"/>
        <v>132.14623698100488</v>
      </c>
      <c r="DZ166" s="440"/>
      <c r="EA166" s="457">
        <f t="shared" si="111"/>
        <v>-172513.61401155964</v>
      </c>
      <c r="EB166" s="459">
        <f t="shared" si="112"/>
        <v>-115.93656855615566</v>
      </c>
      <c r="ED166" s="457">
        <v>178712.19771105226</v>
      </c>
      <c r="EE166" s="458">
        <v>154464.1144205904</v>
      </c>
      <c r="EF166" s="458">
        <v>130524.17847664558</v>
      </c>
      <c r="EG166" s="458">
        <v>106433.10285654136</v>
      </c>
      <c r="EH166" s="459">
        <v>82660.518511243281</v>
      </c>
    </row>
    <row r="167" spans="1:138" x14ac:dyDescent="0.2">
      <c r="A167" s="67">
        <v>498</v>
      </c>
      <c r="B167" s="67" t="s">
        <v>289</v>
      </c>
      <c r="C167" s="67">
        <v>19</v>
      </c>
      <c r="D167" s="67">
        <v>2281</v>
      </c>
      <c r="E167" s="82">
        <v>8588019.3230702374</v>
      </c>
      <c r="F167" s="67">
        <v>3373424.2801199444</v>
      </c>
      <c r="G167" s="67">
        <v>1190114</v>
      </c>
      <c r="H167" s="67">
        <v>1083141.3663026828</v>
      </c>
      <c r="I167" s="67">
        <v>2777023.7496504183</v>
      </c>
      <c r="J167" s="67">
        <v>451249.68529735203</v>
      </c>
      <c r="K167" s="67">
        <v>-149615.10894360224</v>
      </c>
      <c r="L167" s="67">
        <v>153518</v>
      </c>
      <c r="M167" s="68">
        <v>-28178.35</v>
      </c>
      <c r="N167" s="68">
        <v>22250.076939519713</v>
      </c>
      <c r="O167" s="68">
        <v>-66384.77879217155</v>
      </c>
      <c r="P167" s="168">
        <f t="shared" si="78"/>
        <v>218523.59750390722</v>
      </c>
      <c r="Q167" s="169">
        <f t="shared" si="79"/>
        <v>95.801664841695413</v>
      </c>
      <c r="R167" s="67"/>
      <c r="S167" s="82">
        <v>20305410.870000001</v>
      </c>
      <c r="T167" s="67">
        <v>7834350.0799598237</v>
      </c>
      <c r="U167" s="67">
        <v>1627909.7779643908</v>
      </c>
      <c r="V167" s="67">
        <v>8707001.4184687212</v>
      </c>
      <c r="W167" s="67">
        <v>1504978.6801538721</v>
      </c>
      <c r="X167" s="67">
        <v>1315453.6499999999</v>
      </c>
      <c r="Y167" s="168">
        <f t="shared" si="80"/>
        <v>684282.73654680699</v>
      </c>
      <c r="Z167" s="169">
        <f t="shared" si="81"/>
        <v>299.99243162946385</v>
      </c>
      <c r="AA167" s="67"/>
      <c r="AB167" s="77">
        <f t="shared" si="82"/>
        <v>-465759.13904289977</v>
      </c>
      <c r="AC167" s="123">
        <f t="shared" si="83"/>
        <v>-204.19076678776841</v>
      </c>
      <c r="AE167" s="170"/>
      <c r="AF167" s="177">
        <v>434163.01673834049</v>
      </c>
      <c r="AG167" s="177">
        <v>394004.35438326612</v>
      </c>
      <c r="AH167" s="177">
        <v>356315.39569180686</v>
      </c>
      <c r="AI167" s="178">
        <v>318160.04534273385</v>
      </c>
      <c r="AK167" s="67">
        <f t="shared" si="84"/>
        <v>4460925.7998398794</v>
      </c>
      <c r="AL167" s="67">
        <f t="shared" si="85"/>
        <v>544768.41166170803</v>
      </c>
      <c r="AM167" s="67">
        <f t="shared" si="86"/>
        <v>5929977.6688183025</v>
      </c>
      <c r="AN167" s="67">
        <f t="shared" si="87"/>
        <v>11717391.546929764</v>
      </c>
      <c r="AO167" s="67">
        <f t="shared" si="88"/>
        <v>0</v>
      </c>
      <c r="AP167" s="67">
        <f t="shared" si="89"/>
        <v>434163.01673834049</v>
      </c>
      <c r="AQ167" s="67">
        <f t="shared" si="90"/>
        <v>394004.35438326612</v>
      </c>
      <c r="AR167" s="67">
        <f t="shared" si="91"/>
        <v>356315.39569180686</v>
      </c>
      <c r="AS167" s="67">
        <f t="shared" si="92"/>
        <v>318160.04534273385</v>
      </c>
      <c r="AT167" s="68">
        <v>805</v>
      </c>
      <c r="AU167" s="68"/>
      <c r="AV167" s="68"/>
      <c r="AW167" s="68">
        <v>13</v>
      </c>
      <c r="AX167" s="68">
        <v>4977.9090918038137</v>
      </c>
      <c r="AY167" s="68">
        <v>-386.56603200919238</v>
      </c>
      <c r="AZ167" s="68">
        <v>1056.579171505246</v>
      </c>
      <c r="BA167" s="299"/>
      <c r="BB167" s="67"/>
      <c r="BC167" s="67"/>
      <c r="BD167" s="67"/>
      <c r="BE167" s="67"/>
      <c r="BF167" s="67"/>
      <c r="BG167" s="67"/>
      <c r="BH167" s="67"/>
      <c r="BN167" s="299"/>
      <c r="BO167" s="67">
        <v>8977533.1277424768</v>
      </c>
      <c r="BP167" s="67">
        <v>10605731.249999998</v>
      </c>
      <c r="BQ167" s="67">
        <v>11393000</v>
      </c>
      <c r="BR167" s="67">
        <v>312843</v>
      </c>
      <c r="BS167" s="67">
        <v>353000</v>
      </c>
      <c r="BT167" s="428">
        <v>0.56940598190153335</v>
      </c>
      <c r="BU167" s="428">
        <v>0.33464287704132484</v>
      </c>
      <c r="BV167" s="67">
        <f t="shared" si="93"/>
        <v>6834091.5547312219</v>
      </c>
      <c r="BW167" s="299"/>
      <c r="BX167" s="67">
        <v>20564542</v>
      </c>
      <c r="BY167" s="67">
        <v>8977533.1277424768</v>
      </c>
      <c r="BZ167" s="67">
        <v>10640824.302088439</v>
      </c>
      <c r="CA167" s="67">
        <v>5656253.0118456455</v>
      </c>
      <c r="CB167" s="67">
        <f t="shared" si="94"/>
        <v>-122773.78618063517</v>
      </c>
      <c r="CC167" s="67">
        <f t="shared" si="95"/>
        <v>299.99243162946414</v>
      </c>
      <c r="CD167" s="67">
        <f t="shared" si="96"/>
        <v>136.67238012233446</v>
      </c>
      <c r="CE167" s="67">
        <f t="shared" si="97"/>
        <v>-163.32005150712968</v>
      </c>
      <c r="CF167" s="67">
        <f t="shared" si="98"/>
        <v>148.32005150712968</v>
      </c>
      <c r="CG167" s="67">
        <f t="shared" si="99"/>
        <v>133.32005150712968</v>
      </c>
      <c r="CH167" s="67">
        <f t="shared" si="100"/>
        <v>118.32005150712968</v>
      </c>
      <c r="CI167" s="67">
        <f t="shared" si="101"/>
        <v>103.32005150712968</v>
      </c>
      <c r="CJ167" s="67">
        <f t="shared" si="102"/>
        <v>338318.03748776281</v>
      </c>
      <c r="CK167" s="67">
        <f t="shared" si="103"/>
        <v>304103.03748776281</v>
      </c>
      <c r="CL167" s="67">
        <f t="shared" si="104"/>
        <v>269888.03748776281</v>
      </c>
      <c r="CM167" s="67">
        <f t="shared" si="105"/>
        <v>235673.03748776281</v>
      </c>
      <c r="CN167" s="299"/>
      <c r="CO167" s="430">
        <v>7834.3500799598241</v>
      </c>
      <c r="CP167" s="430">
        <v>1627.9097779643907</v>
      </c>
      <c r="CQ167" s="430">
        <v>1190.114</v>
      </c>
      <c r="CR167" s="430">
        <v>8707001.4184687212</v>
      </c>
      <c r="CS167" s="430">
        <v>2777023.7496504183</v>
      </c>
      <c r="CT167" s="430">
        <v>1504978.6801538721</v>
      </c>
      <c r="CU167" s="430">
        <v>451249.68529735203</v>
      </c>
      <c r="CV167" s="430">
        <v>153518</v>
      </c>
      <c r="CW167" s="430">
        <v>22250.076939519713</v>
      </c>
      <c r="CX167" s="430">
        <v>-28178.35</v>
      </c>
      <c r="CY167" s="430">
        <v>8588019.3230702374</v>
      </c>
      <c r="CZ167" s="519"/>
      <c r="DA167" s="524">
        <v>8228.8773199999996</v>
      </c>
      <c r="DB167" s="524">
        <v>1615.1801377653055</v>
      </c>
      <c r="DC167" s="520">
        <f t="shared" si="106"/>
        <v>-1</v>
      </c>
      <c r="DD167" s="440">
        <v>2321</v>
      </c>
      <c r="DE167" s="450">
        <v>8977533.1277424768</v>
      </c>
      <c r="DF167" s="440">
        <v>3484465.5493456456</v>
      </c>
      <c r="DG167" s="440">
        <v>1197278.8495</v>
      </c>
      <c r="DH167" s="440">
        <v>974508.61300000013</v>
      </c>
      <c r="DI167" s="440">
        <v>2773406.8293015989</v>
      </c>
      <c r="DJ167" s="440">
        <v>452470.24705664557</v>
      </c>
      <c r="DK167" s="440">
        <v>-122686.07046232563</v>
      </c>
      <c r="DL167" s="440">
        <v>38261</v>
      </c>
      <c r="DM167" s="440">
        <v>-34000</v>
      </c>
      <c r="DN167" s="440">
        <v>22095.271489685634</v>
      </c>
      <c r="DO167" s="457">
        <f t="shared" si="107"/>
        <v>-191732.8385112267</v>
      </c>
      <c r="DP167" s="459">
        <f t="shared" si="108"/>
        <v>-82.607858040166604</v>
      </c>
      <c r="DQ167" s="440"/>
      <c r="DR167" s="450">
        <v>20564542</v>
      </c>
      <c r="DS167" s="440">
        <v>7981782.5330884382</v>
      </c>
      <c r="DT167" s="440">
        <v>1461762.9195000001</v>
      </c>
      <c r="DU167" s="440">
        <v>8703392.9284687191</v>
      </c>
      <c r="DV167" s="440">
        <v>1509049.4185618917</v>
      </c>
      <c r="DW167" s="440">
        <v>1201539.8495</v>
      </c>
      <c r="DX167" s="457">
        <f t="shared" si="109"/>
        <v>292985.64911904931</v>
      </c>
      <c r="DY167" s="459">
        <f t="shared" si="110"/>
        <v>126.23250716029699</v>
      </c>
      <c r="DZ167" s="440"/>
      <c r="EA167" s="457">
        <f t="shared" si="111"/>
        <v>-484718.48763027601</v>
      </c>
      <c r="EB167" s="459">
        <f t="shared" si="112"/>
        <v>-208.84036520046359</v>
      </c>
      <c r="ED167" s="457">
        <v>494387.11180132453</v>
      </c>
      <c r="EE167" s="458">
        <v>456564.66467957594</v>
      </c>
      <c r="EF167" s="458">
        <v>419222.8694336781</v>
      </c>
      <c r="EG167" s="458">
        <v>381645.32473323331</v>
      </c>
      <c r="EH167" s="459">
        <v>344564.56649033219</v>
      </c>
    </row>
    <row r="168" spans="1:138" x14ac:dyDescent="0.2">
      <c r="A168" s="67">
        <v>499</v>
      </c>
      <c r="B168" s="67" t="s">
        <v>290</v>
      </c>
      <c r="C168" s="67">
        <v>15</v>
      </c>
      <c r="D168" s="67">
        <v>19662</v>
      </c>
      <c r="E168" s="82">
        <v>59035598.276827574</v>
      </c>
      <c r="F168" s="67">
        <v>31131661.146995723</v>
      </c>
      <c r="G168" s="67">
        <v>4898962</v>
      </c>
      <c r="H168" s="67">
        <v>3210255.5733452258</v>
      </c>
      <c r="I168" s="67">
        <v>19786444.999655616</v>
      </c>
      <c r="J168" s="67">
        <v>2870551.6972954422</v>
      </c>
      <c r="K168" s="67">
        <v>1141046.1133504813</v>
      </c>
      <c r="L168" s="67">
        <v>-1255080</v>
      </c>
      <c r="M168" s="68">
        <v>-133309.39000000001</v>
      </c>
      <c r="N168" s="68">
        <v>215171.96218638498</v>
      </c>
      <c r="O168" s="68">
        <v>-572230.3904479075</v>
      </c>
      <c r="P168" s="168">
        <f t="shared" si="78"/>
        <v>2257875.4355533938</v>
      </c>
      <c r="Q168" s="169">
        <f t="shared" si="79"/>
        <v>114.83447439494425</v>
      </c>
      <c r="R168" s="67"/>
      <c r="S168" s="82">
        <v>128920600.34999999</v>
      </c>
      <c r="T168" s="67">
        <v>77925205.073609263</v>
      </c>
      <c r="U168" s="67">
        <v>4824860.9093865706</v>
      </c>
      <c r="V168" s="67">
        <v>35278218.179145597</v>
      </c>
      <c r="W168" s="67">
        <v>9573677.8228718303</v>
      </c>
      <c r="X168" s="67">
        <v>3510572.61</v>
      </c>
      <c r="Y168" s="168">
        <f t="shared" si="80"/>
        <v>2191934.2450132668</v>
      </c>
      <c r="Z168" s="169">
        <f t="shared" si="81"/>
        <v>111.48073670090869</v>
      </c>
      <c r="AA168" s="67"/>
      <c r="AB168" s="77">
        <f t="shared" si="82"/>
        <v>65941.190540126991</v>
      </c>
      <c r="AC168" s="123">
        <f t="shared" si="83"/>
        <v>3.3537376940355501</v>
      </c>
      <c r="AE168" s="170"/>
      <c r="AF168" s="177">
        <v>22574.473146748085</v>
      </c>
      <c r="AG168" s="177">
        <v>-28659.323094143358</v>
      </c>
      <c r="AH168" s="177">
        <v>-58604.511954937319</v>
      </c>
      <c r="AI168" s="178">
        <v>-92569.951921387881</v>
      </c>
      <c r="AK168" s="67">
        <f t="shared" si="84"/>
        <v>46793543.926613539</v>
      </c>
      <c r="AL168" s="67">
        <f t="shared" si="85"/>
        <v>1614605.3360413448</v>
      </c>
      <c r="AM168" s="67">
        <f t="shared" si="86"/>
        <v>15491773.179489981</v>
      </c>
      <c r="AN168" s="67">
        <f t="shared" si="87"/>
        <v>69885002.07317242</v>
      </c>
      <c r="AO168" s="67">
        <f t="shared" si="88"/>
        <v>0</v>
      </c>
      <c r="AP168" s="67">
        <f t="shared" si="89"/>
        <v>22574.473146748085</v>
      </c>
      <c r="AQ168" s="67">
        <f t="shared" si="90"/>
        <v>-28659.323094143358</v>
      </c>
      <c r="AR168" s="67">
        <f t="shared" si="91"/>
        <v>-58604.511954937319</v>
      </c>
      <c r="AS168" s="67">
        <f t="shared" si="92"/>
        <v>-92569.951921387881</v>
      </c>
      <c r="AT168" s="68">
        <v>9470</v>
      </c>
      <c r="AU168" s="68"/>
      <c r="AV168" s="68"/>
      <c r="AW168" s="68">
        <v>120</v>
      </c>
      <c r="AX168" s="68">
        <v>16051.867676781018</v>
      </c>
      <c r="AY168" s="68">
        <v>-266.54410214943402</v>
      </c>
      <c r="AZ168" s="68">
        <v>6761.9719049839232</v>
      </c>
      <c r="BA168" s="299"/>
      <c r="BB168" s="67"/>
      <c r="BC168" s="67"/>
      <c r="BD168" s="67"/>
      <c r="BE168" s="67"/>
      <c r="BF168" s="67"/>
      <c r="BG168" s="67"/>
      <c r="BH168" s="67"/>
      <c r="BN168" s="299"/>
      <c r="BO168" s="67">
        <v>59686414.568805426</v>
      </c>
      <c r="BP168" s="67">
        <v>62659359.340000018</v>
      </c>
      <c r="BQ168" s="67">
        <v>69500000</v>
      </c>
      <c r="BR168" s="67">
        <v>1489496.4</v>
      </c>
      <c r="BS168" s="67">
        <v>1530000</v>
      </c>
      <c r="BT168" s="428">
        <v>0.60049304820451466</v>
      </c>
      <c r="BU168" s="428">
        <v>0.33464287704132484</v>
      </c>
      <c r="BV168" s="67">
        <f t="shared" si="93"/>
        <v>23335945.418416847</v>
      </c>
      <c r="BW168" s="299"/>
      <c r="BX168" s="67">
        <v>126046130</v>
      </c>
      <c r="BY168" s="67">
        <v>59686414.568805426</v>
      </c>
      <c r="BZ168" s="67">
        <v>86692635.402280256</v>
      </c>
      <c r="CA168" s="67">
        <v>39433571.511297323</v>
      </c>
      <c r="CB168" s="67">
        <f t="shared" si="94"/>
        <v>2253617.8860263941</v>
      </c>
      <c r="CC168" s="67">
        <f t="shared" si="95"/>
        <v>111.48073670090854</v>
      </c>
      <c r="CD168" s="67">
        <f t="shared" si="96"/>
        <v>200.52271379703038</v>
      </c>
      <c r="CE168" s="67">
        <f t="shared" si="97"/>
        <v>89.04197709612184</v>
      </c>
      <c r="CF168" s="67">
        <f t="shared" si="98"/>
        <v>-74.04197709612184</v>
      </c>
      <c r="CG168" s="67">
        <f t="shared" si="99"/>
        <v>-59.04197709612184</v>
      </c>
      <c r="CH168" s="67">
        <f t="shared" si="100"/>
        <v>-44.04197709612184</v>
      </c>
      <c r="CI168" s="67">
        <f t="shared" si="101"/>
        <v>-29.04197709612184</v>
      </c>
      <c r="CJ168" s="67">
        <f t="shared" si="102"/>
        <v>-1455813.3536639477</v>
      </c>
      <c r="CK168" s="67">
        <f t="shared" si="103"/>
        <v>-1160883.3536639477</v>
      </c>
      <c r="CL168" s="67">
        <f t="shared" si="104"/>
        <v>-865953.35366394767</v>
      </c>
      <c r="CM168" s="67">
        <f t="shared" si="105"/>
        <v>-571023.35366394767</v>
      </c>
      <c r="CN168" s="299"/>
      <c r="CO168" s="430">
        <v>77925.205073609264</v>
      </c>
      <c r="CP168" s="430">
        <v>4824.8609093865707</v>
      </c>
      <c r="CQ168" s="430">
        <v>4898.9620000000004</v>
      </c>
      <c r="CR168" s="430">
        <v>35278218.179145597</v>
      </c>
      <c r="CS168" s="430">
        <v>19786444.999655616</v>
      </c>
      <c r="CT168" s="430">
        <v>9573677.8228718303</v>
      </c>
      <c r="CU168" s="430">
        <v>2870551.6972954422</v>
      </c>
      <c r="CV168" s="430">
        <v>-1255080</v>
      </c>
      <c r="CW168" s="430">
        <v>215171.96218638498</v>
      </c>
      <c r="CX168" s="430">
        <v>-133309.39000000001</v>
      </c>
      <c r="CY168" s="430">
        <v>59035598.276827574</v>
      </c>
      <c r="CZ168" s="519"/>
      <c r="DA168" s="524">
        <v>78788.17787</v>
      </c>
      <c r="DB168" s="524">
        <v>4787.1272831543329</v>
      </c>
      <c r="DC168" s="520">
        <f t="shared" si="106"/>
        <v>-1</v>
      </c>
      <c r="DD168" s="440">
        <v>19536</v>
      </c>
      <c r="DE168" s="450">
        <v>59686414.568805426</v>
      </c>
      <c r="DF168" s="440">
        <v>31155500.258997325</v>
      </c>
      <c r="DG168" s="440">
        <v>5389785.5645000003</v>
      </c>
      <c r="DH168" s="440">
        <v>2888285.6878</v>
      </c>
      <c r="DI168" s="440">
        <v>19755746.034554023</v>
      </c>
      <c r="DJ168" s="440">
        <v>2895751.8574583977</v>
      </c>
      <c r="DK168" s="440">
        <v>2257095.6570163397</v>
      </c>
      <c r="DL168" s="440">
        <v>-1321634</v>
      </c>
      <c r="DM168" s="440">
        <v>-375000</v>
      </c>
      <c r="DN168" s="440">
        <v>209486.79158500012</v>
      </c>
      <c r="DO168" s="457">
        <f t="shared" si="107"/>
        <v>3168603.2831056565</v>
      </c>
      <c r="DP168" s="459">
        <f t="shared" si="108"/>
        <v>162.19304274701355</v>
      </c>
      <c r="DQ168" s="440"/>
      <c r="DR168" s="450">
        <v>126046130</v>
      </c>
      <c r="DS168" s="440">
        <v>76970421.306080252</v>
      </c>
      <c r="DT168" s="440">
        <v>4332428.5317000002</v>
      </c>
      <c r="DU168" s="440">
        <v>35247571.959145591</v>
      </c>
      <c r="DV168" s="440">
        <v>9657723.7624423206</v>
      </c>
      <c r="DW168" s="440">
        <v>3693151.5645000003</v>
      </c>
      <c r="DX168" s="457">
        <f t="shared" si="109"/>
        <v>3855167.1238681674</v>
      </c>
      <c r="DY168" s="459">
        <f t="shared" si="110"/>
        <v>197.33656448956631</v>
      </c>
      <c r="DZ168" s="440"/>
      <c r="EA168" s="457">
        <f t="shared" si="111"/>
        <v>-686563.8407625109</v>
      </c>
      <c r="EB168" s="459">
        <f t="shared" si="112"/>
        <v>-35.143521742552771</v>
      </c>
      <c r="ED168" s="457">
        <v>767945.24610745034</v>
      </c>
      <c r="EE168" s="458">
        <v>449591.37839074142</v>
      </c>
      <c r="EF168" s="458">
        <v>135283.18712669157</v>
      </c>
      <c r="EG168" s="458">
        <v>11546.837416361037</v>
      </c>
      <c r="EH168" s="459">
        <v>-7524.1893106170446</v>
      </c>
    </row>
    <row r="169" spans="1:138" x14ac:dyDescent="0.2">
      <c r="A169" s="67">
        <v>500</v>
      </c>
      <c r="B169" s="67" t="s">
        <v>291</v>
      </c>
      <c r="C169" s="67">
        <v>13</v>
      </c>
      <c r="D169" s="67">
        <v>10486</v>
      </c>
      <c r="E169" s="82">
        <v>30460281.690237794</v>
      </c>
      <c r="F169" s="67">
        <v>14670442.546396015</v>
      </c>
      <c r="G169" s="67">
        <v>2520290</v>
      </c>
      <c r="H169" s="67">
        <v>2204239.523453</v>
      </c>
      <c r="I169" s="67">
        <v>8396818.3287557121</v>
      </c>
      <c r="J169" s="67">
        <v>1064065.4764082972</v>
      </c>
      <c r="K169" s="67">
        <v>2893926.1840446638</v>
      </c>
      <c r="L169" s="67">
        <v>-626124</v>
      </c>
      <c r="M169" s="68">
        <v>33903</v>
      </c>
      <c r="N169" s="68">
        <v>122361.97176581295</v>
      </c>
      <c r="O169" s="68">
        <v>-305177.90022565145</v>
      </c>
      <c r="P169" s="168">
        <f t="shared" si="78"/>
        <v>514463.44036005344</v>
      </c>
      <c r="Q169" s="169">
        <f t="shared" si="79"/>
        <v>49.061934041584344</v>
      </c>
      <c r="R169" s="67"/>
      <c r="S169" s="82">
        <v>59626021</v>
      </c>
      <c r="T169" s="67">
        <v>41090107.213239104</v>
      </c>
      <c r="U169" s="67">
        <v>3312866.8009914784</v>
      </c>
      <c r="V169" s="67">
        <v>11824294.065960072</v>
      </c>
      <c r="W169" s="67">
        <v>3548802.1564536197</v>
      </c>
      <c r="X169" s="67">
        <v>1928069</v>
      </c>
      <c r="Y169" s="168">
        <f t="shared" si="80"/>
        <v>2078118.2366442755</v>
      </c>
      <c r="Z169" s="169">
        <f t="shared" si="81"/>
        <v>198.18026288806746</v>
      </c>
      <c r="AA169" s="67"/>
      <c r="AB169" s="77">
        <f t="shared" si="82"/>
        <v>-1563654.796284222</v>
      </c>
      <c r="AC169" s="123">
        <f t="shared" si="83"/>
        <v>-149.11832884648314</v>
      </c>
      <c r="AE169" s="170"/>
      <c r="AF169" s="177">
        <v>1418404.0560450109</v>
      </c>
      <c r="AG169" s="177">
        <v>1233790.4070071722</v>
      </c>
      <c r="AH169" s="177">
        <v>1060530.2488139931</v>
      </c>
      <c r="AI169" s="178">
        <v>885126.03848502354</v>
      </c>
      <c r="AK169" s="67">
        <f t="shared" si="84"/>
        <v>26419664.666843086</v>
      </c>
      <c r="AL169" s="67">
        <f t="shared" si="85"/>
        <v>1108627.2775384784</v>
      </c>
      <c r="AM169" s="67">
        <f t="shared" si="86"/>
        <v>3427475.7372043598</v>
      </c>
      <c r="AN169" s="67">
        <f t="shared" si="87"/>
        <v>29165739.309762206</v>
      </c>
      <c r="AO169" s="67">
        <f t="shared" si="88"/>
        <v>0</v>
      </c>
      <c r="AP169" s="67">
        <f t="shared" si="89"/>
        <v>1418404.0560450109</v>
      </c>
      <c r="AQ169" s="67">
        <f t="shared" si="90"/>
        <v>1233790.4070071722</v>
      </c>
      <c r="AR169" s="67">
        <f t="shared" si="91"/>
        <v>1060530.2488139931</v>
      </c>
      <c r="AS169" s="67">
        <f t="shared" si="92"/>
        <v>885126.03848502354</v>
      </c>
      <c r="AT169" s="68">
        <v>4066</v>
      </c>
      <c r="AU169" s="68"/>
      <c r="AV169" s="68"/>
      <c r="AW169" s="68">
        <v>37</v>
      </c>
      <c r="AX169" s="68">
        <v>4817.5584519207796</v>
      </c>
      <c r="AY169" s="68">
        <v>1024.453388304172</v>
      </c>
      <c r="AZ169" s="68">
        <v>2496.4292090937847</v>
      </c>
      <c r="BA169" s="299"/>
      <c r="BB169" s="67"/>
      <c r="BC169" s="67"/>
      <c r="BD169" s="67"/>
      <c r="BE169" s="67"/>
      <c r="BF169" s="67"/>
      <c r="BG169" s="67"/>
      <c r="BH169" s="67"/>
      <c r="BN169" s="299"/>
      <c r="BO169" s="67">
        <v>30016182.891286325</v>
      </c>
      <c r="BP169" s="67">
        <v>25595939.870000005</v>
      </c>
      <c r="BQ169" s="67">
        <v>28934000</v>
      </c>
      <c r="BR169" s="67">
        <v>999808.83</v>
      </c>
      <c r="BS169" s="67">
        <v>884000</v>
      </c>
      <c r="BT169" s="428">
        <v>0.64296898836834271</v>
      </c>
      <c r="BU169" s="428">
        <v>0.33464287704132484</v>
      </c>
      <c r="BV169" s="67">
        <f t="shared" si="93"/>
        <v>8806138.6012943462</v>
      </c>
      <c r="BW169" s="299"/>
      <c r="BX169" s="67">
        <v>58688890</v>
      </c>
      <c r="BY169" s="67">
        <v>30016182.891286325</v>
      </c>
      <c r="BZ169" s="67">
        <v>45428689.186724789</v>
      </c>
      <c r="CA169" s="67">
        <v>18949346.677345045</v>
      </c>
      <c r="CB169" s="67">
        <f t="shared" si="94"/>
        <v>2381555.0062193912</v>
      </c>
      <c r="CC169" s="67">
        <f t="shared" si="95"/>
        <v>198.18026288806738</v>
      </c>
      <c r="CD169" s="67">
        <f t="shared" si="96"/>
        <v>29.302895552206156</v>
      </c>
      <c r="CE169" s="67">
        <f t="shared" si="97"/>
        <v>-168.87736733586121</v>
      </c>
      <c r="CF169" s="67">
        <f t="shared" si="98"/>
        <v>153.87736733586121</v>
      </c>
      <c r="CG169" s="67">
        <f t="shared" si="99"/>
        <v>138.87736733586121</v>
      </c>
      <c r="CH169" s="67">
        <f t="shared" si="100"/>
        <v>123.87736733586121</v>
      </c>
      <c r="CI169" s="67">
        <f t="shared" si="101"/>
        <v>108.87736733586121</v>
      </c>
      <c r="CJ169" s="67">
        <f t="shared" si="102"/>
        <v>1613558.0738838406</v>
      </c>
      <c r="CK169" s="67">
        <f t="shared" si="103"/>
        <v>1456268.0738838406</v>
      </c>
      <c r="CL169" s="67">
        <f t="shared" si="104"/>
        <v>1298978.0738838406</v>
      </c>
      <c r="CM169" s="67">
        <f t="shared" si="105"/>
        <v>1141688.0738838406</v>
      </c>
      <c r="CN169" s="299"/>
      <c r="CO169" s="430">
        <v>41090.107213239105</v>
      </c>
      <c r="CP169" s="430">
        <v>3312.8668009914782</v>
      </c>
      <c r="CQ169" s="430">
        <v>2520.29</v>
      </c>
      <c r="CR169" s="430">
        <v>11824294.065960072</v>
      </c>
      <c r="CS169" s="430">
        <v>8396818.3287557121</v>
      </c>
      <c r="CT169" s="430">
        <v>3548802.1564536197</v>
      </c>
      <c r="CU169" s="430">
        <v>1064065.4764082972</v>
      </c>
      <c r="CV169" s="430">
        <v>-626124</v>
      </c>
      <c r="CW169" s="430">
        <v>122361.97176581295</v>
      </c>
      <c r="CX169" s="430">
        <v>33903</v>
      </c>
      <c r="CY169" s="430">
        <v>30460281.690237794</v>
      </c>
      <c r="CZ169" s="519"/>
      <c r="DA169" s="524">
        <v>40907.198560000004</v>
      </c>
      <c r="DB169" s="524">
        <v>3286.9618750004979</v>
      </c>
      <c r="DC169" s="520">
        <f t="shared" si="106"/>
        <v>-1</v>
      </c>
      <c r="DD169" s="440">
        <v>10426</v>
      </c>
      <c r="DE169" s="450">
        <v>30016182.891286325</v>
      </c>
      <c r="DF169" s="440">
        <v>14473728.433945045</v>
      </c>
      <c r="DG169" s="440">
        <v>2492451.071</v>
      </c>
      <c r="DH169" s="440">
        <v>1983167.1724</v>
      </c>
      <c r="DI169" s="440">
        <v>8380572.1291721063</v>
      </c>
      <c r="DJ169" s="440">
        <v>1069072.6937091458</v>
      </c>
      <c r="DK169" s="440">
        <v>2384572.1870733406</v>
      </c>
      <c r="DL169" s="440">
        <v>-568847</v>
      </c>
      <c r="DM169" s="440">
        <v>51060</v>
      </c>
      <c r="DN169" s="440">
        <v>117375.84388819545</v>
      </c>
      <c r="DO169" s="457">
        <f t="shared" si="107"/>
        <v>366969.63990150765</v>
      </c>
      <c r="DP169" s="459">
        <f t="shared" si="108"/>
        <v>35.197548427154004</v>
      </c>
      <c r="DQ169" s="440"/>
      <c r="DR169" s="450">
        <v>58688890</v>
      </c>
      <c r="DS169" s="440">
        <v>39961487.357124783</v>
      </c>
      <c r="DT169" s="440">
        <v>2974750.7586000003</v>
      </c>
      <c r="DU169" s="440">
        <v>11808062.055960063</v>
      </c>
      <c r="DV169" s="440">
        <v>3565501.9028029302</v>
      </c>
      <c r="DW169" s="440">
        <v>1974664.071</v>
      </c>
      <c r="DX169" s="457">
        <f t="shared" si="109"/>
        <v>1595576.1454877704</v>
      </c>
      <c r="DY169" s="459">
        <f t="shared" si="110"/>
        <v>153.03818775060142</v>
      </c>
      <c r="DZ169" s="440"/>
      <c r="EA169" s="457">
        <f t="shared" si="111"/>
        <v>-1228606.5055862628</v>
      </c>
      <c r="EB169" s="459">
        <f t="shared" si="112"/>
        <v>-117.84063932344742</v>
      </c>
      <c r="ED169" s="457">
        <v>1272038.2486312266</v>
      </c>
      <c r="EE169" s="458">
        <v>1102138.7080489986</v>
      </c>
      <c r="EF169" s="458">
        <v>934398.2697750947</v>
      </c>
      <c r="EG169" s="458">
        <v>765598.83804444515</v>
      </c>
      <c r="EH169" s="459">
        <v>599030.98563579074</v>
      </c>
    </row>
    <row r="170" spans="1:138" x14ac:dyDescent="0.2">
      <c r="A170" s="67">
        <v>503</v>
      </c>
      <c r="B170" s="67" t="s">
        <v>292</v>
      </c>
      <c r="C170" s="67">
        <v>2</v>
      </c>
      <c r="D170" s="67">
        <v>7539</v>
      </c>
      <c r="E170" s="82">
        <v>19540220.094946358</v>
      </c>
      <c r="F170" s="67">
        <v>11386503.987013465</v>
      </c>
      <c r="G170" s="67">
        <v>1853944</v>
      </c>
      <c r="H170" s="67">
        <v>1120562.3931500469</v>
      </c>
      <c r="I170" s="67">
        <v>4356769.5873166798</v>
      </c>
      <c r="J170" s="67">
        <v>1438059.243024745</v>
      </c>
      <c r="K170" s="67">
        <v>-269127.05533204752</v>
      </c>
      <c r="L170" s="67">
        <v>-273069</v>
      </c>
      <c r="M170" s="68">
        <v>-124141.12</v>
      </c>
      <c r="N170" s="68">
        <v>72302.657804425355</v>
      </c>
      <c r="O170" s="68">
        <v>-219410.27940121936</v>
      </c>
      <c r="P170" s="168">
        <f t="shared" si="78"/>
        <v>-197825.68137026104</v>
      </c>
      <c r="Q170" s="169">
        <f t="shared" si="79"/>
        <v>-26.240307914877441</v>
      </c>
      <c r="R170" s="67"/>
      <c r="S170" s="82">
        <v>51008314.410000004</v>
      </c>
      <c r="T170" s="67">
        <v>27089150.276158419</v>
      </c>
      <c r="U170" s="67">
        <v>1684151.7953053373</v>
      </c>
      <c r="V170" s="67">
        <v>15147900.933237664</v>
      </c>
      <c r="W170" s="67">
        <v>4796121.9078176655</v>
      </c>
      <c r="X170" s="67">
        <v>1456733.88</v>
      </c>
      <c r="Y170" s="168">
        <f t="shared" si="80"/>
        <v>-834255.61748091877</v>
      </c>
      <c r="Z170" s="169">
        <f t="shared" si="81"/>
        <v>-110.6586573127628</v>
      </c>
      <c r="AA170" s="67"/>
      <c r="AB170" s="77">
        <f t="shared" si="82"/>
        <v>636429.93611065776</v>
      </c>
      <c r="AC170" s="123">
        <f t="shared" si="83"/>
        <v>84.418349397885365</v>
      </c>
      <c r="AE170" s="170"/>
      <c r="AF170" s="177">
        <v>-514689.20662975922</v>
      </c>
      <c r="AG170" s="177">
        <v>-421248.77940262458</v>
      </c>
      <c r="AH170" s="177">
        <v>-319645.66216234007</v>
      </c>
      <c r="AI170" s="178">
        <v>-219584.02966854852</v>
      </c>
      <c r="AK170" s="67">
        <f t="shared" si="84"/>
        <v>15702646.289144954</v>
      </c>
      <c r="AL170" s="67">
        <f t="shared" si="85"/>
        <v>563589.40215529036</v>
      </c>
      <c r="AM170" s="67">
        <f t="shared" si="86"/>
        <v>10791131.345920984</v>
      </c>
      <c r="AN170" s="67">
        <f t="shared" si="87"/>
        <v>31468094.315053646</v>
      </c>
      <c r="AO170" s="67">
        <f t="shared" si="88"/>
        <v>0</v>
      </c>
      <c r="AP170" s="67">
        <f t="shared" si="89"/>
        <v>-514689.20662975922</v>
      </c>
      <c r="AQ170" s="67">
        <f t="shared" si="90"/>
        <v>-421248.77940262458</v>
      </c>
      <c r="AR170" s="67">
        <f t="shared" si="91"/>
        <v>-319645.66216234007</v>
      </c>
      <c r="AS170" s="67">
        <f t="shared" si="92"/>
        <v>-219584.02966854852</v>
      </c>
      <c r="AT170" s="68">
        <v>1677</v>
      </c>
      <c r="AU170" s="68"/>
      <c r="AV170" s="68"/>
      <c r="AW170" s="68">
        <v>0</v>
      </c>
      <c r="AX170" s="68">
        <v>9594.8577302364793</v>
      </c>
      <c r="AY170" s="68">
        <v>-1653.285514907137</v>
      </c>
      <c r="AZ170" s="68">
        <v>3370.7645066971072</v>
      </c>
      <c r="BA170" s="299"/>
      <c r="BB170" s="67"/>
      <c r="BC170" s="67"/>
      <c r="BD170" s="67"/>
      <c r="BE170" s="67"/>
      <c r="BF170" s="67"/>
      <c r="BG170" s="67"/>
      <c r="BH170" s="67"/>
      <c r="BN170" s="299"/>
      <c r="BO170" s="67">
        <v>17608486.914955087</v>
      </c>
      <c r="BP170" s="67">
        <v>30992566.890000001</v>
      </c>
      <c r="BQ170" s="67">
        <v>28746000</v>
      </c>
      <c r="BR170" s="67">
        <v>555911.76</v>
      </c>
      <c r="BS170" s="67">
        <v>575000</v>
      </c>
      <c r="BT170" s="428">
        <v>0.57966551660223531</v>
      </c>
      <c r="BU170" s="428">
        <v>0.33464287704132478</v>
      </c>
      <c r="BV170" s="67">
        <f t="shared" si="93"/>
        <v>13880066.955381857</v>
      </c>
      <c r="BW170" s="299"/>
      <c r="BX170" s="67">
        <v>49835030</v>
      </c>
      <c r="BY170" s="67">
        <v>17608486.914955087</v>
      </c>
      <c r="BZ170" s="67">
        <v>30762917.577182379</v>
      </c>
      <c r="CA170" s="67">
        <v>14535728.034272021</v>
      </c>
      <c r="CB170" s="67">
        <f t="shared" si="94"/>
        <v>-873611.54888733628</v>
      </c>
      <c r="CC170" s="67">
        <f t="shared" si="95"/>
        <v>-110.65865731276268</v>
      </c>
      <c r="CD170" s="67">
        <f t="shared" si="96"/>
        <v>-77.317932819250998</v>
      </c>
      <c r="CE170" s="67">
        <f t="shared" si="97"/>
        <v>33.340724493511686</v>
      </c>
      <c r="CF170" s="67">
        <f t="shared" si="98"/>
        <v>-18.340724493511686</v>
      </c>
      <c r="CG170" s="67">
        <f t="shared" si="99"/>
        <v>-3.3407244935116864</v>
      </c>
      <c r="CH170" s="67">
        <f t="shared" si="100"/>
        <v>0</v>
      </c>
      <c r="CI170" s="67">
        <f t="shared" si="101"/>
        <v>0</v>
      </c>
      <c r="CJ170" s="67">
        <f t="shared" si="102"/>
        <v>-138270.7219565846</v>
      </c>
      <c r="CK170" s="67">
        <f t="shared" si="103"/>
        <v>-25185.721956584603</v>
      </c>
      <c r="CL170" s="67">
        <f t="shared" si="104"/>
        <v>0</v>
      </c>
      <c r="CM170" s="67">
        <f t="shared" si="105"/>
        <v>0</v>
      </c>
      <c r="CN170" s="299"/>
      <c r="CO170" s="430">
        <v>27089.15027615842</v>
      </c>
      <c r="CP170" s="430">
        <v>1684.1517953053374</v>
      </c>
      <c r="CQ170" s="430">
        <v>1853.944</v>
      </c>
      <c r="CR170" s="430">
        <v>15147900.933237664</v>
      </c>
      <c r="CS170" s="430">
        <v>4356769.5873166798</v>
      </c>
      <c r="CT170" s="430">
        <v>4796121.9078176655</v>
      </c>
      <c r="CU170" s="430">
        <v>1438059.243024745</v>
      </c>
      <c r="CV170" s="430">
        <v>-273069</v>
      </c>
      <c r="CW170" s="430">
        <v>72302.657804425355</v>
      </c>
      <c r="CX170" s="430">
        <v>-124141.12</v>
      </c>
      <c r="CY170" s="430">
        <v>19540220.094946358</v>
      </c>
      <c r="CZ170" s="519"/>
      <c r="DA170" s="524">
        <v>27435.178820000001</v>
      </c>
      <c r="DB170" s="524">
        <v>1670.9819988477614</v>
      </c>
      <c r="DC170" s="520">
        <f t="shared" si="106"/>
        <v>-1</v>
      </c>
      <c r="DD170" s="440">
        <v>7594</v>
      </c>
      <c r="DE170" s="450">
        <v>17608486.914955087</v>
      </c>
      <c r="DF170" s="440">
        <v>11633875.22857202</v>
      </c>
      <c r="DG170" s="440">
        <v>1893676.2763000003</v>
      </c>
      <c r="DH170" s="440">
        <v>1008176.5294000001</v>
      </c>
      <c r="DI170" s="440">
        <v>4344755.2329800641</v>
      </c>
      <c r="DJ170" s="440">
        <v>1443498.6892105695</v>
      </c>
      <c r="DK170" s="440">
        <v>-873381.28137660876</v>
      </c>
      <c r="DL170" s="440">
        <v>-188851</v>
      </c>
      <c r="DM170" s="440">
        <v>-100600</v>
      </c>
      <c r="DN170" s="440">
        <v>71930.791554137395</v>
      </c>
      <c r="DO170" s="457">
        <f t="shared" si="107"/>
        <v>1624593.5516850948</v>
      </c>
      <c r="DP170" s="459">
        <f t="shared" si="108"/>
        <v>213.9312024868442</v>
      </c>
      <c r="DQ170" s="440"/>
      <c r="DR170" s="450">
        <v>49835030</v>
      </c>
      <c r="DS170" s="440">
        <v>27356976.506782375</v>
      </c>
      <c r="DT170" s="440">
        <v>1512264.7941000001</v>
      </c>
      <c r="DU170" s="440">
        <v>15135921.303237651</v>
      </c>
      <c r="DV170" s="440">
        <v>4814263.1959076766</v>
      </c>
      <c r="DW170" s="440">
        <v>1604225.2763000003</v>
      </c>
      <c r="DX170" s="457">
        <f t="shared" si="109"/>
        <v>588621.07632770389</v>
      </c>
      <c r="DY170" s="459">
        <f t="shared" si="110"/>
        <v>77.511334781104011</v>
      </c>
      <c r="DZ170" s="440"/>
      <c r="EA170" s="457">
        <f t="shared" si="111"/>
        <v>1035972.4753573909</v>
      </c>
      <c r="EB170" s="459">
        <f t="shared" si="112"/>
        <v>136.41986770574019</v>
      </c>
      <c r="ED170" s="457">
        <v>-1004338.0367727539</v>
      </c>
      <c r="EE170" s="458">
        <v>-900267.99947958672</v>
      </c>
      <c r="EF170" s="458">
        <v>-794625.33386017615</v>
      </c>
      <c r="EG170" s="458">
        <v>-689754.00876546605</v>
      </c>
      <c r="EH170" s="459">
        <v>-583257.26516210148</v>
      </c>
    </row>
    <row r="171" spans="1:138" x14ac:dyDescent="0.2">
      <c r="A171" s="67">
        <v>504</v>
      </c>
      <c r="B171" s="67" t="s">
        <v>293</v>
      </c>
      <c r="C171" s="67">
        <v>34</v>
      </c>
      <c r="D171" s="67">
        <v>1764</v>
      </c>
      <c r="E171" s="82">
        <v>5369460.0165687436</v>
      </c>
      <c r="F171" s="67">
        <v>2587473.135797841</v>
      </c>
      <c r="G171" s="67">
        <v>411620</v>
      </c>
      <c r="H171" s="67">
        <v>421535.84634430922</v>
      </c>
      <c r="I171" s="67">
        <v>1403564.443172052</v>
      </c>
      <c r="J171" s="67">
        <v>396516.81656430673</v>
      </c>
      <c r="K171" s="67">
        <v>-364959.62436226802</v>
      </c>
      <c r="L171" s="67">
        <v>-500555</v>
      </c>
      <c r="M171" s="68">
        <v>112488.92</v>
      </c>
      <c r="N171" s="68">
        <v>16317.039670492757</v>
      </c>
      <c r="O171" s="68">
        <v>-51338.338355717067</v>
      </c>
      <c r="P171" s="168">
        <f t="shared" si="78"/>
        <v>-936796.77773772716</v>
      </c>
      <c r="Q171" s="169">
        <f t="shared" si="79"/>
        <v>-531.06393295789519</v>
      </c>
      <c r="R171" s="67"/>
      <c r="S171" s="82">
        <v>13708644.699999999</v>
      </c>
      <c r="T171" s="67">
        <v>6046374.3683764879</v>
      </c>
      <c r="U171" s="67">
        <v>633548.25821935397</v>
      </c>
      <c r="V171" s="67">
        <v>4621143.6105410429</v>
      </c>
      <c r="W171" s="67">
        <v>1322437.1665955535</v>
      </c>
      <c r="X171" s="67">
        <v>23553.919999999998</v>
      </c>
      <c r="Y171" s="168">
        <f t="shared" si="80"/>
        <v>-1061587.3762675617</v>
      </c>
      <c r="Z171" s="169">
        <f t="shared" si="81"/>
        <v>-601.80690264601003</v>
      </c>
      <c r="AA171" s="67"/>
      <c r="AB171" s="77">
        <f t="shared" si="82"/>
        <v>124790.59852983453</v>
      </c>
      <c r="AC171" s="123">
        <f t="shared" si="83"/>
        <v>70.742969688114812</v>
      </c>
      <c r="AE171" s="170"/>
      <c r="AF171" s="177">
        <v>-96305.302495306692</v>
      </c>
      <c r="AG171" s="177">
        <v>-74441.804202606683</v>
      </c>
      <c r="AH171" s="177">
        <v>-50668.372870618106</v>
      </c>
      <c r="AI171" s="178">
        <v>-27255.623206332621</v>
      </c>
      <c r="AK171" s="67">
        <f t="shared" si="84"/>
        <v>3458901.2325786469</v>
      </c>
      <c r="AL171" s="67">
        <f t="shared" si="85"/>
        <v>212012.41187504475</v>
      </c>
      <c r="AM171" s="67">
        <f t="shared" si="86"/>
        <v>3217579.1673689908</v>
      </c>
      <c r="AN171" s="67">
        <f t="shared" si="87"/>
        <v>8339184.6834312556</v>
      </c>
      <c r="AO171" s="67">
        <f t="shared" si="88"/>
        <v>0</v>
      </c>
      <c r="AP171" s="67">
        <f t="shared" si="89"/>
        <v>-96305.302495306692</v>
      </c>
      <c r="AQ171" s="67">
        <f t="shared" si="90"/>
        <v>-74441.804202606683</v>
      </c>
      <c r="AR171" s="67">
        <f t="shared" si="91"/>
        <v>-50668.372870618106</v>
      </c>
      <c r="AS171" s="67">
        <f t="shared" si="92"/>
        <v>-27255.623206332621</v>
      </c>
      <c r="AT171" s="68">
        <v>609</v>
      </c>
      <c r="AU171" s="68"/>
      <c r="AV171" s="68"/>
      <c r="AW171" s="68">
        <v>12</v>
      </c>
      <c r="AX171" s="68">
        <v>2489.9088629397925</v>
      </c>
      <c r="AY171" s="68">
        <v>-609.15448671752188</v>
      </c>
      <c r="AZ171" s="68">
        <v>921.63029452731143</v>
      </c>
      <c r="BA171" s="299"/>
      <c r="BB171" s="67"/>
      <c r="BC171" s="67"/>
      <c r="BD171" s="67"/>
      <c r="BE171" s="67"/>
      <c r="BF171" s="67"/>
      <c r="BG171" s="67"/>
      <c r="BH171" s="67"/>
      <c r="BN171" s="299"/>
      <c r="BO171" s="67">
        <v>4700904.9900637316</v>
      </c>
      <c r="BP171" s="67">
        <v>7815337.540000001</v>
      </c>
      <c r="BQ171" s="67">
        <v>7902000</v>
      </c>
      <c r="BR171" s="67">
        <v>187042</v>
      </c>
      <c r="BS171" s="67">
        <v>226000</v>
      </c>
      <c r="BT171" s="428">
        <v>0.57206203616323492</v>
      </c>
      <c r="BU171" s="428">
        <v>0.33464287704132478</v>
      </c>
      <c r="BV171" s="67">
        <f t="shared" si="93"/>
        <v>3778539.8930379692</v>
      </c>
      <c r="BW171" s="299"/>
      <c r="BX171" s="67">
        <v>12622386.25</v>
      </c>
      <c r="BY171" s="67">
        <v>4700904.9900637316</v>
      </c>
      <c r="BZ171" s="67">
        <v>7117145.089595723</v>
      </c>
      <c r="CA171" s="67">
        <v>3453571.0168739073</v>
      </c>
      <c r="CB171" s="67">
        <f t="shared" si="94"/>
        <v>-152577.53714772387</v>
      </c>
      <c r="CC171" s="67">
        <f t="shared" si="95"/>
        <v>-601.8069026460098</v>
      </c>
      <c r="CD171" s="67">
        <f t="shared" si="96"/>
        <v>-381.56255791806444</v>
      </c>
      <c r="CE171" s="67">
        <f t="shared" si="97"/>
        <v>220.24434472794536</v>
      </c>
      <c r="CF171" s="67">
        <f t="shared" si="98"/>
        <v>-205.24434472794536</v>
      </c>
      <c r="CG171" s="67">
        <f t="shared" si="99"/>
        <v>-190.24434472794536</v>
      </c>
      <c r="CH171" s="67">
        <f t="shared" si="100"/>
        <v>-175.24434472794536</v>
      </c>
      <c r="CI171" s="67">
        <f t="shared" si="101"/>
        <v>-160.24434472794536</v>
      </c>
      <c r="CJ171" s="67">
        <f t="shared" si="102"/>
        <v>-362051.02410009562</v>
      </c>
      <c r="CK171" s="67">
        <f t="shared" si="103"/>
        <v>-335591.02410009562</v>
      </c>
      <c r="CL171" s="67">
        <f t="shared" si="104"/>
        <v>-309131.02410009562</v>
      </c>
      <c r="CM171" s="67">
        <f t="shared" si="105"/>
        <v>-282671.02410009562</v>
      </c>
      <c r="CN171" s="299"/>
      <c r="CO171" s="430">
        <v>6046.3743683764878</v>
      </c>
      <c r="CP171" s="430">
        <v>633.54825821935401</v>
      </c>
      <c r="CQ171" s="430">
        <v>411.62</v>
      </c>
      <c r="CR171" s="430">
        <v>4621143.6105410429</v>
      </c>
      <c r="CS171" s="430">
        <v>1403564.443172052</v>
      </c>
      <c r="CT171" s="430">
        <v>1322437.1665955535</v>
      </c>
      <c r="CU171" s="430">
        <v>396516.81656430673</v>
      </c>
      <c r="CV171" s="430">
        <v>-500555</v>
      </c>
      <c r="CW171" s="430">
        <v>16317.039670492757</v>
      </c>
      <c r="CX171" s="430">
        <v>112488.92</v>
      </c>
      <c r="CY171" s="430">
        <v>5369460.0165687436</v>
      </c>
      <c r="CZ171" s="519"/>
      <c r="DA171" s="524">
        <v>6092.7593899999993</v>
      </c>
      <c r="DB171" s="524">
        <v>628.59356005328846</v>
      </c>
      <c r="DC171" s="520">
        <f t="shared" si="106"/>
        <v>-1</v>
      </c>
      <c r="DD171" s="440">
        <v>1816</v>
      </c>
      <c r="DE171" s="450">
        <v>4700904.9900637316</v>
      </c>
      <c r="DF171" s="440">
        <v>2663298.9835739071</v>
      </c>
      <c r="DG171" s="440">
        <v>411013.77049999998</v>
      </c>
      <c r="DH171" s="440">
        <v>379258.26280000003</v>
      </c>
      <c r="DI171" s="440">
        <v>1400621.7566094869</v>
      </c>
      <c r="DJ171" s="440">
        <v>394679.64001748373</v>
      </c>
      <c r="DK171" s="440">
        <v>-152539.77561146973</v>
      </c>
      <c r="DL171" s="440">
        <v>-500555</v>
      </c>
      <c r="DM171" s="440">
        <v>286300</v>
      </c>
      <c r="DN171" s="440">
        <v>16239.644102957343</v>
      </c>
      <c r="DO171" s="457">
        <f t="shared" si="107"/>
        <v>197412.29192863405</v>
      </c>
      <c r="DP171" s="459">
        <f t="shared" si="108"/>
        <v>108.70720921180289</v>
      </c>
      <c r="DQ171" s="440"/>
      <c r="DR171" s="450">
        <v>12622386.25</v>
      </c>
      <c r="DS171" s="440">
        <v>6137243.9248957234</v>
      </c>
      <c r="DT171" s="440">
        <v>568887.39419999998</v>
      </c>
      <c r="DU171" s="440">
        <v>4618208.7505410416</v>
      </c>
      <c r="DV171" s="440">
        <v>1316309.9345447952</v>
      </c>
      <c r="DW171" s="440">
        <v>196758.77049999998</v>
      </c>
      <c r="DX171" s="457">
        <f t="shared" si="109"/>
        <v>215022.5246815607</v>
      </c>
      <c r="DY171" s="459">
        <f t="shared" si="110"/>
        <v>118.40447394359069</v>
      </c>
      <c r="DZ171" s="440"/>
      <c r="EA171" s="457">
        <f t="shared" si="111"/>
        <v>-17610.232752926648</v>
      </c>
      <c r="EB171" s="459">
        <f t="shared" si="112"/>
        <v>-9.6972647317878025</v>
      </c>
      <c r="ED171" s="457">
        <v>25175.17092381261</v>
      </c>
      <c r="EE171" s="458">
        <v>5211.8472733858889</v>
      </c>
      <c r="EF171" s="458">
        <v>3234.8286751306446</v>
      </c>
      <c r="EG171" s="458">
        <v>1073.3546656486303</v>
      </c>
      <c r="EH171" s="459">
        <v>-699.4230030753763</v>
      </c>
    </row>
    <row r="172" spans="1:138" x14ac:dyDescent="0.2">
      <c r="A172" s="67">
        <v>505</v>
      </c>
      <c r="B172" s="67" t="s">
        <v>294</v>
      </c>
      <c r="C172" s="67">
        <v>35</v>
      </c>
      <c r="D172" s="67">
        <v>20912</v>
      </c>
      <c r="E172" s="82">
        <v>62143109.032740816</v>
      </c>
      <c r="F172" s="67">
        <v>34539017.597883321</v>
      </c>
      <c r="G172" s="67">
        <v>8509148</v>
      </c>
      <c r="H172" s="67">
        <v>3670450.1521849814</v>
      </c>
      <c r="I172" s="67">
        <v>14885151.861152273</v>
      </c>
      <c r="J172" s="67">
        <v>3164770.6125270398</v>
      </c>
      <c r="K172" s="67">
        <v>26419.770464792044</v>
      </c>
      <c r="L172" s="67">
        <v>-2201441</v>
      </c>
      <c r="M172" s="68">
        <v>107150.69</v>
      </c>
      <c r="N172" s="68">
        <v>232068.22282250319</v>
      </c>
      <c r="O172" s="68">
        <v>-608609.59846641449</v>
      </c>
      <c r="P172" s="168">
        <f t="shared" si="78"/>
        <v>181017.27582768025</v>
      </c>
      <c r="Q172" s="169">
        <f t="shared" si="79"/>
        <v>8.6561436413389554</v>
      </c>
      <c r="R172" s="67"/>
      <c r="S172" s="82">
        <v>134629683.09</v>
      </c>
      <c r="T172" s="67">
        <v>84902329.057863533</v>
      </c>
      <c r="U172" s="67">
        <v>5516511.3974633897</v>
      </c>
      <c r="V172" s="67">
        <v>27568192.97139148</v>
      </c>
      <c r="W172" s="67">
        <v>10554937.664482078</v>
      </c>
      <c r="X172" s="67">
        <v>6414857.6900000004</v>
      </c>
      <c r="Y172" s="168">
        <f t="shared" si="80"/>
        <v>327145.69120046496</v>
      </c>
      <c r="Z172" s="169">
        <f t="shared" si="81"/>
        <v>15.643921729172961</v>
      </c>
      <c r="AA172" s="67"/>
      <c r="AB172" s="77">
        <f t="shared" si="82"/>
        <v>-146128.41537278472</v>
      </c>
      <c r="AC172" s="123">
        <f t="shared" si="83"/>
        <v>-6.9877780878340054</v>
      </c>
      <c r="AE172" s="170"/>
      <c r="AF172" s="177">
        <v>24009.631901373003</v>
      </c>
      <c r="AG172" s="177">
        <v>-30481.322578818326</v>
      </c>
      <c r="AH172" s="177">
        <v>-62330.259078509269</v>
      </c>
      <c r="AI172" s="178">
        <v>-98455.031765845968</v>
      </c>
      <c r="AK172" s="67">
        <f t="shared" si="84"/>
        <v>50363311.459980212</v>
      </c>
      <c r="AL172" s="67">
        <f t="shared" si="85"/>
        <v>1846061.2452784083</v>
      </c>
      <c r="AM172" s="67">
        <f t="shared" si="86"/>
        <v>12683041.110239208</v>
      </c>
      <c r="AN172" s="67">
        <f t="shared" si="87"/>
        <v>72486574.057259187</v>
      </c>
      <c r="AO172" s="67">
        <f t="shared" si="88"/>
        <v>0</v>
      </c>
      <c r="AP172" s="67">
        <f t="shared" si="89"/>
        <v>24009.631901373003</v>
      </c>
      <c r="AQ172" s="67">
        <f t="shared" si="90"/>
        <v>-30481.322578818326</v>
      </c>
      <c r="AR172" s="67">
        <f t="shared" si="91"/>
        <v>-62330.259078509269</v>
      </c>
      <c r="AS172" s="67">
        <f t="shared" si="92"/>
        <v>-98455.031765845968</v>
      </c>
      <c r="AT172" s="68">
        <v>8771</v>
      </c>
      <c r="AU172" s="68"/>
      <c r="AV172" s="68"/>
      <c r="AW172" s="68">
        <v>0</v>
      </c>
      <c r="AX172" s="68">
        <v>12650.480845690545</v>
      </c>
      <c r="AY172" s="68">
        <v>95.954970514236678</v>
      </c>
      <c r="AZ172" s="68">
        <v>7322.3230050631109</v>
      </c>
      <c r="BA172" s="299"/>
      <c r="BB172" s="67"/>
      <c r="BC172" s="67"/>
      <c r="BD172" s="67"/>
      <c r="BE172" s="67"/>
      <c r="BF172" s="67"/>
      <c r="BG172" s="67"/>
      <c r="BH172" s="67"/>
      <c r="BN172" s="299"/>
      <c r="BO172" s="67">
        <v>61409049.261410162</v>
      </c>
      <c r="BP172" s="67">
        <v>65197115.970000006</v>
      </c>
      <c r="BQ172" s="67">
        <v>71615000</v>
      </c>
      <c r="BR172" s="67">
        <v>1890260.6</v>
      </c>
      <c r="BS172" s="67">
        <v>1508000</v>
      </c>
      <c r="BT172" s="428">
        <v>0.59319116470475242</v>
      </c>
      <c r="BU172" s="428">
        <v>0.33464287704132484</v>
      </c>
      <c r="BV172" s="67">
        <f t="shared" si="93"/>
        <v>20099627.932659037</v>
      </c>
      <c r="BW172" s="299"/>
      <c r="BX172" s="67">
        <v>133102214</v>
      </c>
      <c r="BY172" s="67">
        <v>61409049.261410162</v>
      </c>
      <c r="BZ172" s="67">
        <v>96256427.508594021</v>
      </c>
      <c r="CA172" s="67">
        <v>45987836.145918719</v>
      </c>
      <c r="CB172" s="67">
        <f t="shared" si="94"/>
        <v>-1073319.2419691819</v>
      </c>
      <c r="CC172" s="67">
        <f t="shared" si="95"/>
        <v>15.64392172917354</v>
      </c>
      <c r="CD172" s="67">
        <f t="shared" si="96"/>
        <v>-14.829386865908548</v>
      </c>
      <c r="CE172" s="67">
        <f t="shared" si="97"/>
        <v>-30.473308595082088</v>
      </c>
      <c r="CF172" s="67">
        <f t="shared" si="98"/>
        <v>15.473308595082088</v>
      </c>
      <c r="CG172" s="67">
        <f t="shared" si="99"/>
        <v>0.47330859508208789</v>
      </c>
      <c r="CH172" s="67">
        <f t="shared" si="100"/>
        <v>0</v>
      </c>
      <c r="CI172" s="67">
        <f t="shared" si="101"/>
        <v>0</v>
      </c>
      <c r="CJ172" s="67">
        <f t="shared" si="102"/>
        <v>323577.82934035663</v>
      </c>
      <c r="CK172" s="67">
        <f t="shared" si="103"/>
        <v>9897.8293403566222</v>
      </c>
      <c r="CL172" s="67">
        <f t="shared" si="104"/>
        <v>0</v>
      </c>
      <c r="CM172" s="67">
        <f t="shared" si="105"/>
        <v>0</v>
      </c>
      <c r="CN172" s="299"/>
      <c r="CO172" s="430">
        <v>84902.329057863535</v>
      </c>
      <c r="CP172" s="430">
        <v>5516.5113974633896</v>
      </c>
      <c r="CQ172" s="430">
        <v>8509.1479999999992</v>
      </c>
      <c r="CR172" s="430">
        <v>27568192.97139148</v>
      </c>
      <c r="CS172" s="430">
        <v>14885151.861152273</v>
      </c>
      <c r="CT172" s="430">
        <v>10554937.664482078</v>
      </c>
      <c r="CU172" s="430">
        <v>3164770.6125270398</v>
      </c>
      <c r="CV172" s="430">
        <v>-2201441</v>
      </c>
      <c r="CW172" s="430">
        <v>232068.22282250319</v>
      </c>
      <c r="CX172" s="430">
        <v>107150.69</v>
      </c>
      <c r="CY172" s="430">
        <v>62143109.032740816</v>
      </c>
      <c r="CZ172" s="519"/>
      <c r="DA172" s="524">
        <v>84142.830690000003</v>
      </c>
      <c r="DB172" s="524">
        <v>5473.3729625572378</v>
      </c>
      <c r="DC172" s="520">
        <f t="shared" si="106"/>
        <v>-1</v>
      </c>
      <c r="DD172" s="440">
        <v>20837</v>
      </c>
      <c r="DE172" s="450">
        <v>61409049.261410162</v>
      </c>
      <c r="DF172" s="440">
        <v>34110375.631918721</v>
      </c>
      <c r="DG172" s="440">
        <v>8575135.0759999994</v>
      </c>
      <c r="DH172" s="440">
        <v>3302325.4380000001</v>
      </c>
      <c r="DI172" s="440">
        <v>14852335.481703427</v>
      </c>
      <c r="DJ172" s="440">
        <v>3135717.027631199</v>
      </c>
      <c r="DK172" s="440">
        <v>-1067723.4109920911</v>
      </c>
      <c r="DL172" s="440">
        <v>-2081499</v>
      </c>
      <c r="DM172" s="440">
        <v>1362000</v>
      </c>
      <c r="DN172" s="440">
        <v>222827.22201938374</v>
      </c>
      <c r="DO172" s="457">
        <f t="shared" si="107"/>
        <v>1002444.2048704773</v>
      </c>
      <c r="DP172" s="459">
        <f t="shared" si="108"/>
        <v>48.10885467536005</v>
      </c>
      <c r="DQ172" s="440"/>
      <c r="DR172" s="450">
        <v>133102214</v>
      </c>
      <c r="DS172" s="440">
        <v>82727804.275594011</v>
      </c>
      <c r="DT172" s="440">
        <v>4953488.1569999997</v>
      </c>
      <c r="DU172" s="440">
        <v>27535425.431391463</v>
      </c>
      <c r="DV172" s="440">
        <v>10458040.03269431</v>
      </c>
      <c r="DW172" s="440">
        <v>7855636.0759999994</v>
      </c>
      <c r="DX172" s="457">
        <f t="shared" si="109"/>
        <v>428179.97267977893</v>
      </c>
      <c r="DY172" s="459">
        <f t="shared" si="110"/>
        <v>20.549022060746697</v>
      </c>
      <c r="DZ172" s="440"/>
      <c r="EA172" s="457">
        <f t="shared" si="111"/>
        <v>574264.23219069839</v>
      </c>
      <c r="EB172" s="459">
        <f t="shared" si="112"/>
        <v>27.559832614613349</v>
      </c>
      <c r="ED172" s="457">
        <v>-487463.23182353307</v>
      </c>
      <c r="EE172" s="458">
        <v>-201907.87666449661</v>
      </c>
      <c r="EF172" s="458">
        <v>37116.808977806853</v>
      </c>
      <c r="EG172" s="458">
        <v>12315.799101387945</v>
      </c>
      <c r="EH172" s="459">
        <v>-8025.2627285691724</v>
      </c>
    </row>
    <row r="173" spans="1:138" x14ac:dyDescent="0.2">
      <c r="A173" s="67">
        <v>508</v>
      </c>
      <c r="B173" s="67" t="s">
        <v>295</v>
      </c>
      <c r="C173" s="67">
        <v>6</v>
      </c>
      <c r="D173" s="67">
        <v>9360</v>
      </c>
      <c r="E173" s="82">
        <v>23566257.679859459</v>
      </c>
      <c r="F173" s="67">
        <v>15963760.231611827</v>
      </c>
      <c r="G173" s="67">
        <v>3178006</v>
      </c>
      <c r="H173" s="67">
        <v>2653766.5870100828</v>
      </c>
      <c r="I173" s="67">
        <v>549117.47414105933</v>
      </c>
      <c r="J173" s="67">
        <v>1679739.0588825876</v>
      </c>
      <c r="K173" s="67">
        <v>-601802.44865164103</v>
      </c>
      <c r="L173" s="67">
        <v>-982561</v>
      </c>
      <c r="M173" s="68">
        <v>63455.12</v>
      </c>
      <c r="N173" s="68">
        <v>93639.916383918229</v>
      </c>
      <c r="O173" s="68">
        <v>-272407.50964258035</v>
      </c>
      <c r="P173" s="168">
        <f t="shared" si="78"/>
        <v>-1241544.2501242028</v>
      </c>
      <c r="Q173" s="169">
        <f t="shared" si="79"/>
        <v>-132.64361646626099</v>
      </c>
      <c r="R173" s="67"/>
      <c r="S173" s="82">
        <v>71415000</v>
      </c>
      <c r="T173" s="67">
        <v>35695611.579339452</v>
      </c>
      <c r="U173" s="67">
        <v>3988484.5227318713</v>
      </c>
      <c r="V173" s="67">
        <v>22148566.760554716</v>
      </c>
      <c r="W173" s="67">
        <v>5602156.7531381464</v>
      </c>
      <c r="X173" s="67">
        <v>2258900.12</v>
      </c>
      <c r="Y173" s="168">
        <f t="shared" si="80"/>
        <v>-1721280.2642358243</v>
      </c>
      <c r="Z173" s="169">
        <f t="shared" si="81"/>
        <v>-183.89746412775901</v>
      </c>
      <c r="AA173" s="67"/>
      <c r="AB173" s="77">
        <f t="shared" si="82"/>
        <v>479736.01411162154</v>
      </c>
      <c r="AC173" s="123">
        <f t="shared" si="83"/>
        <v>51.253847661498028</v>
      </c>
      <c r="AE173" s="170"/>
      <c r="AF173" s="177">
        <v>-328589.54535696929</v>
      </c>
      <c r="AG173" s="177">
        <v>-212579.14625284681</v>
      </c>
      <c r="AH173" s="177">
        <v>-86434.4085729074</v>
      </c>
      <c r="AI173" s="178">
        <v>-44067.477875302138</v>
      </c>
      <c r="AK173" s="67">
        <f t="shared" si="84"/>
        <v>19731851.347727627</v>
      </c>
      <c r="AL173" s="67">
        <f t="shared" si="85"/>
        <v>1334717.9357217886</v>
      </c>
      <c r="AM173" s="67">
        <f t="shared" si="86"/>
        <v>21599449.286413658</v>
      </c>
      <c r="AN173" s="67">
        <f t="shared" si="87"/>
        <v>47848742.320140541</v>
      </c>
      <c r="AO173" s="67">
        <f t="shared" si="88"/>
        <v>0</v>
      </c>
      <c r="AP173" s="67">
        <f t="shared" si="89"/>
        <v>-328589.54535696929</v>
      </c>
      <c r="AQ173" s="67">
        <f t="shared" si="90"/>
        <v>-212579.14625284681</v>
      </c>
      <c r="AR173" s="67">
        <f t="shared" si="91"/>
        <v>-86434.4085729074</v>
      </c>
      <c r="AS173" s="67">
        <f t="shared" si="92"/>
        <v>-44067.477875302138</v>
      </c>
      <c r="AT173" s="68">
        <v>2738</v>
      </c>
      <c r="AU173" s="68"/>
      <c r="AV173" s="68"/>
      <c r="AW173" s="68">
        <v>0</v>
      </c>
      <c r="AX173" s="68">
        <v>20456.822100332683</v>
      </c>
      <c r="AY173" s="68">
        <v>-1221.1615677581658</v>
      </c>
      <c r="AZ173" s="68">
        <v>3929.2062903610963</v>
      </c>
      <c r="BA173" s="299"/>
      <c r="BB173" s="67"/>
      <c r="BC173" s="67"/>
      <c r="BD173" s="67"/>
      <c r="BE173" s="67"/>
      <c r="BF173" s="67"/>
      <c r="BG173" s="67"/>
      <c r="BH173" s="67"/>
      <c r="BN173" s="299"/>
      <c r="BO173" s="67">
        <v>24676424.46022325</v>
      </c>
      <c r="BP173" s="67">
        <v>44758129.619999997</v>
      </c>
      <c r="BQ173" s="67">
        <v>46223000</v>
      </c>
      <c r="BR173" s="67">
        <v>768211.7</v>
      </c>
      <c r="BS173" s="67">
        <v>806000</v>
      </c>
      <c r="BT173" s="428">
        <v>0.55278087346592442</v>
      </c>
      <c r="BU173" s="428">
        <v>0.33464287704132478</v>
      </c>
      <c r="BV173" s="67">
        <f t="shared" si="93"/>
        <v>24920064.532017574</v>
      </c>
      <c r="BW173" s="299"/>
      <c r="BX173" s="67">
        <v>72360670</v>
      </c>
      <c r="BY173" s="67">
        <v>24676424.46022325</v>
      </c>
      <c r="BZ173" s="67">
        <v>44356196.324541129</v>
      </c>
      <c r="CA173" s="67">
        <v>22515224.53828619</v>
      </c>
      <c r="CB173" s="67">
        <f t="shared" si="94"/>
        <v>-200270.73212039829</v>
      </c>
      <c r="CC173" s="67">
        <f t="shared" si="95"/>
        <v>-183.89746412775801</v>
      </c>
      <c r="CD173" s="67">
        <f t="shared" si="96"/>
        <v>-60.641562387861349</v>
      </c>
      <c r="CE173" s="67">
        <f t="shared" si="97"/>
        <v>123.25590173989667</v>
      </c>
      <c r="CF173" s="67">
        <f t="shared" si="98"/>
        <v>-108.25590173989667</v>
      </c>
      <c r="CG173" s="67">
        <f t="shared" si="99"/>
        <v>-93.255901739896672</v>
      </c>
      <c r="CH173" s="67">
        <f t="shared" si="100"/>
        <v>-78.255901739896672</v>
      </c>
      <c r="CI173" s="67">
        <f t="shared" si="101"/>
        <v>-63.255901739896672</v>
      </c>
      <c r="CJ173" s="67">
        <f t="shared" si="102"/>
        <v>-1013275.2402854329</v>
      </c>
      <c r="CK173" s="67">
        <f t="shared" si="103"/>
        <v>-872875.2402854329</v>
      </c>
      <c r="CL173" s="67">
        <f t="shared" si="104"/>
        <v>-732475.2402854329</v>
      </c>
      <c r="CM173" s="67">
        <f t="shared" si="105"/>
        <v>-592075.2402854329</v>
      </c>
      <c r="CN173" s="299"/>
      <c r="CO173" s="430">
        <v>35695.611579339449</v>
      </c>
      <c r="CP173" s="430">
        <v>3988.4845227318715</v>
      </c>
      <c r="CQ173" s="430">
        <v>3178.0059999999999</v>
      </c>
      <c r="CR173" s="430">
        <v>22148566.760554716</v>
      </c>
      <c r="CS173" s="430">
        <v>549117.47414105933</v>
      </c>
      <c r="CT173" s="430">
        <v>5602156.7531381464</v>
      </c>
      <c r="CU173" s="430">
        <v>1679739.0588825876</v>
      </c>
      <c r="CV173" s="430">
        <v>-982561</v>
      </c>
      <c r="CW173" s="430">
        <v>93639.916383918229</v>
      </c>
      <c r="CX173" s="430">
        <v>63455.12</v>
      </c>
      <c r="CY173" s="430">
        <v>23566257.679859459</v>
      </c>
      <c r="CZ173" s="519"/>
      <c r="DA173" s="524">
        <v>36503.516759999999</v>
      </c>
      <c r="DB173" s="524">
        <v>3957.2913251351038</v>
      </c>
      <c r="DC173" s="520">
        <f t="shared" si="106"/>
        <v>-1</v>
      </c>
      <c r="DD173" s="440">
        <v>9563</v>
      </c>
      <c r="DE173" s="450">
        <v>24676424.46022325</v>
      </c>
      <c r="DF173" s="440">
        <v>16932773.83448619</v>
      </c>
      <c r="DG173" s="440">
        <v>3194841.4070000001</v>
      </c>
      <c r="DH173" s="440">
        <v>2387609.2968000001</v>
      </c>
      <c r="DI173" s="440">
        <v>533953.12389601558</v>
      </c>
      <c r="DJ173" s="440">
        <v>1682646.2123074168</v>
      </c>
      <c r="DK173" s="440">
        <v>-202194.99052737484</v>
      </c>
      <c r="DL173" s="440">
        <v>-1126144</v>
      </c>
      <c r="DM173" s="440">
        <v>135000</v>
      </c>
      <c r="DN173" s="440">
        <v>96815.186927010742</v>
      </c>
      <c r="DO173" s="457">
        <f t="shared" si="107"/>
        <v>-1041124.3893339932</v>
      </c>
      <c r="DP173" s="459">
        <f t="shared" si="108"/>
        <v>-108.87006058077938</v>
      </c>
      <c r="DQ173" s="440"/>
      <c r="DR173" s="450">
        <v>72360670</v>
      </c>
      <c r="DS173" s="440">
        <v>37579940.972341128</v>
      </c>
      <c r="DT173" s="440">
        <v>3581413.9452</v>
      </c>
      <c r="DU173" s="440">
        <v>22133457.88055471</v>
      </c>
      <c r="DV173" s="440">
        <v>5611852.502668513</v>
      </c>
      <c r="DW173" s="440">
        <v>2203697.4070000001</v>
      </c>
      <c r="DX173" s="457">
        <f t="shared" si="109"/>
        <v>-1250307.2922356427</v>
      </c>
      <c r="DY173" s="459">
        <f t="shared" si="110"/>
        <v>-130.74425308330467</v>
      </c>
      <c r="DZ173" s="440"/>
      <c r="EA173" s="457">
        <f t="shared" si="111"/>
        <v>209182.90290164948</v>
      </c>
      <c r="EB173" s="459">
        <f t="shared" si="112"/>
        <v>21.874192502525304</v>
      </c>
      <c r="ED173" s="457">
        <v>-169346.17177379676</v>
      </c>
      <c r="EE173" s="458">
        <v>-38292.47587775292</v>
      </c>
      <c r="EF173" s="458">
        <v>17034.50805081187</v>
      </c>
      <c r="EG173" s="458">
        <v>5652.2525702631337</v>
      </c>
      <c r="EH173" s="459">
        <v>-3683.1399660847051</v>
      </c>
    </row>
    <row r="174" spans="1:138" x14ac:dyDescent="0.2">
      <c r="A174" s="67">
        <v>507</v>
      </c>
      <c r="B174" s="67" t="s">
        <v>296</v>
      </c>
      <c r="C174" s="67">
        <v>10</v>
      </c>
      <c r="D174" s="67">
        <v>5564</v>
      </c>
      <c r="E174" s="82">
        <v>15401937.091247074</v>
      </c>
      <c r="F174" s="67">
        <v>7048858.9979064064</v>
      </c>
      <c r="G174" s="67">
        <v>2854979</v>
      </c>
      <c r="H174" s="67">
        <v>2146798.5396423098</v>
      </c>
      <c r="I174" s="67">
        <v>880601.11862387066</v>
      </c>
      <c r="J174" s="67">
        <v>1128003.3488512365</v>
      </c>
      <c r="K174" s="67">
        <v>-1060976.853015742</v>
      </c>
      <c r="L174" s="67">
        <v>-35179</v>
      </c>
      <c r="M174" s="68">
        <v>247241.95</v>
      </c>
      <c r="N174" s="68">
        <v>51407.957018242603</v>
      </c>
      <c r="O174" s="68">
        <v>-161931.13073197831</v>
      </c>
      <c r="P174" s="168">
        <f t="shared" si="78"/>
        <v>-2302133.1629527295</v>
      </c>
      <c r="Q174" s="169">
        <f t="shared" si="79"/>
        <v>-413.75506163780187</v>
      </c>
      <c r="R174" s="67"/>
      <c r="S174" s="82">
        <v>46892275.189999998</v>
      </c>
      <c r="T174" s="67">
        <v>17534587.997304436</v>
      </c>
      <c r="U174" s="67">
        <v>3226535.7438363908</v>
      </c>
      <c r="V174" s="67">
        <v>16649489.341040572</v>
      </c>
      <c r="W174" s="67">
        <v>3762043.601303855</v>
      </c>
      <c r="X174" s="67">
        <v>3067041.95</v>
      </c>
      <c r="Y174" s="168">
        <f t="shared" si="80"/>
        <v>-2652576.55651474</v>
      </c>
      <c r="Z174" s="169">
        <f t="shared" si="81"/>
        <v>-476.73913668489217</v>
      </c>
      <c r="AA174" s="67"/>
      <c r="AB174" s="77">
        <f t="shared" si="82"/>
        <v>350443.39356201049</v>
      </c>
      <c r="AC174" s="123">
        <f t="shared" si="83"/>
        <v>62.984075047090307</v>
      </c>
      <c r="AE174" s="170"/>
      <c r="AF174" s="177">
        <v>-260595.21491342495</v>
      </c>
      <c r="AG174" s="177">
        <v>-191633.47766819657</v>
      </c>
      <c r="AH174" s="177">
        <v>-116647.43915845483</v>
      </c>
      <c r="AI174" s="178">
        <v>-42799.060965663208</v>
      </c>
      <c r="AK174" s="67">
        <f t="shared" si="84"/>
        <v>10485728.99939803</v>
      </c>
      <c r="AL174" s="67">
        <f t="shared" si="85"/>
        <v>1079737.204194081</v>
      </c>
      <c r="AM174" s="67">
        <f t="shared" si="86"/>
        <v>15768888.222416701</v>
      </c>
      <c r="AN174" s="67">
        <f t="shared" si="87"/>
        <v>31490338.098752923</v>
      </c>
      <c r="AO174" s="67">
        <f t="shared" si="88"/>
        <v>0</v>
      </c>
      <c r="AP174" s="67">
        <f t="shared" si="89"/>
        <v>-260595.21491342495</v>
      </c>
      <c r="AQ174" s="67">
        <f t="shared" si="90"/>
        <v>-191633.47766819657</v>
      </c>
      <c r="AR174" s="67">
        <f t="shared" si="91"/>
        <v>-116647.43915845483</v>
      </c>
      <c r="AS174" s="67">
        <f t="shared" si="92"/>
        <v>-42799.060965663208</v>
      </c>
      <c r="AT174" s="68">
        <v>1423</v>
      </c>
      <c r="AU174" s="68"/>
      <c r="AV174" s="68"/>
      <c r="AW174" s="68">
        <v>0</v>
      </c>
      <c r="AX174" s="68">
        <v>13638.576761678723</v>
      </c>
      <c r="AY174" s="68">
        <v>-1773.4369522895045</v>
      </c>
      <c r="AZ174" s="68">
        <v>2637.7285399277785</v>
      </c>
      <c r="BA174" s="299"/>
      <c r="BB174" s="67"/>
      <c r="BC174" s="67"/>
      <c r="BD174" s="67"/>
      <c r="BE174" s="67"/>
      <c r="BF174" s="67"/>
      <c r="BG174" s="67"/>
      <c r="BH174" s="67"/>
      <c r="BN174" s="299"/>
      <c r="BO174" s="67">
        <v>13920817.315215718</v>
      </c>
      <c r="BP174" s="67">
        <v>29374864.810000006</v>
      </c>
      <c r="BQ174" s="67">
        <v>30220000</v>
      </c>
      <c r="BR174" s="67">
        <v>626145.61</v>
      </c>
      <c r="BS174" s="67">
        <v>691000</v>
      </c>
      <c r="BT174" s="428">
        <v>0.59800258785721028</v>
      </c>
      <c r="BU174" s="428">
        <v>0.33464287704132489</v>
      </c>
      <c r="BV174" s="67">
        <f t="shared" si="93"/>
        <v>17341951.621853575</v>
      </c>
      <c r="BW174" s="299"/>
      <c r="BX174" s="67">
        <v>43223230</v>
      </c>
      <c r="BY174" s="67">
        <v>13920817.315215718</v>
      </c>
      <c r="BZ174" s="67">
        <v>23537227.394083258</v>
      </c>
      <c r="CA174" s="67">
        <v>12021084.318790518</v>
      </c>
      <c r="CB174" s="67">
        <f t="shared" si="94"/>
        <v>125790.44542312276</v>
      </c>
      <c r="CC174" s="67">
        <f t="shared" si="95"/>
        <v>-476.73913668489269</v>
      </c>
      <c r="CD174" s="67">
        <f t="shared" si="96"/>
        <v>-171.3577882426107</v>
      </c>
      <c r="CE174" s="67">
        <f t="shared" si="97"/>
        <v>305.38134844228199</v>
      </c>
      <c r="CF174" s="67">
        <f t="shared" si="98"/>
        <v>-290.38134844228199</v>
      </c>
      <c r="CG174" s="67">
        <f t="shared" si="99"/>
        <v>-275.38134844228199</v>
      </c>
      <c r="CH174" s="67">
        <f t="shared" si="100"/>
        <v>-260.38134844228199</v>
      </c>
      <c r="CI174" s="67">
        <f t="shared" si="101"/>
        <v>-245.38134844228199</v>
      </c>
      <c r="CJ174" s="67">
        <f t="shared" si="102"/>
        <v>-1615681.822732857</v>
      </c>
      <c r="CK174" s="67">
        <f t="shared" si="103"/>
        <v>-1532221.822732857</v>
      </c>
      <c r="CL174" s="67">
        <f t="shared" si="104"/>
        <v>-1448761.822732857</v>
      </c>
      <c r="CM174" s="67">
        <f t="shared" si="105"/>
        <v>-1365301.822732857</v>
      </c>
      <c r="CN174" s="299"/>
      <c r="CO174" s="430">
        <v>17534.587997304436</v>
      </c>
      <c r="CP174" s="430">
        <v>3226.5357438363908</v>
      </c>
      <c r="CQ174" s="430">
        <v>2854.9789999999998</v>
      </c>
      <c r="CR174" s="430">
        <v>16649489.341040572</v>
      </c>
      <c r="CS174" s="430">
        <v>880601.11862387066</v>
      </c>
      <c r="CT174" s="430">
        <v>3762043.601303855</v>
      </c>
      <c r="CU174" s="430">
        <v>1128003.3488512365</v>
      </c>
      <c r="CV174" s="430">
        <v>-35179</v>
      </c>
      <c r="CW174" s="430">
        <v>51407.957018242603</v>
      </c>
      <c r="CX174" s="430">
        <v>247241.95</v>
      </c>
      <c r="CY174" s="430">
        <v>15401937.091247074</v>
      </c>
      <c r="CZ174" s="519"/>
      <c r="DA174" s="524">
        <v>17919.422600000002</v>
      </c>
      <c r="DB174" s="524">
        <v>3201.3034752170997</v>
      </c>
      <c r="DC174" s="520">
        <f t="shared" si="106"/>
        <v>-1</v>
      </c>
      <c r="DD174" s="440">
        <v>5635</v>
      </c>
      <c r="DE174" s="450">
        <v>13920817.315215718</v>
      </c>
      <c r="DF174" s="440">
        <v>7243376.0979905175</v>
      </c>
      <c r="DG174" s="440">
        <v>2846221.037</v>
      </c>
      <c r="DH174" s="440">
        <v>1931487.1838</v>
      </c>
      <c r="DI174" s="440">
        <v>871702.3526649212</v>
      </c>
      <c r="DJ174" s="440">
        <v>1129582.8238116666</v>
      </c>
      <c r="DK174" s="440">
        <v>126007.61324428333</v>
      </c>
      <c r="DL174" s="440">
        <v>2781</v>
      </c>
      <c r="DM174" s="440">
        <v>124340</v>
      </c>
      <c r="DN174" s="440">
        <v>51047.982453524564</v>
      </c>
      <c r="DO174" s="457">
        <f t="shared" si="107"/>
        <v>405728.77574919537</v>
      </c>
      <c r="DP174" s="459">
        <f t="shared" si="108"/>
        <v>72.001557364542208</v>
      </c>
      <c r="DQ174" s="440"/>
      <c r="DR174" s="450">
        <v>43223230</v>
      </c>
      <c r="DS174" s="440">
        <v>17793775.581383258</v>
      </c>
      <c r="DT174" s="440">
        <v>2897230.7757000001</v>
      </c>
      <c r="DU174" s="440">
        <v>16640622.861040572</v>
      </c>
      <c r="DV174" s="440">
        <v>3767311.3637394449</v>
      </c>
      <c r="DW174" s="440">
        <v>2973342.037</v>
      </c>
      <c r="DX174" s="457">
        <f t="shared" si="109"/>
        <v>849052.61886326969</v>
      </c>
      <c r="DY174" s="459">
        <f t="shared" si="110"/>
        <v>150.67482144867253</v>
      </c>
      <c r="DZ174" s="440"/>
      <c r="EA174" s="457">
        <f t="shared" si="111"/>
        <v>-443323.84311407432</v>
      </c>
      <c r="EB174" s="459">
        <f t="shared" si="112"/>
        <v>-78.673264084130309</v>
      </c>
      <c r="ED174" s="457">
        <v>466797.64630402322</v>
      </c>
      <c r="EE174" s="458">
        <v>374971.06744531856</v>
      </c>
      <c r="EF174" s="458">
        <v>284311.4309909307</v>
      </c>
      <c r="EG174" s="458">
        <v>193079.43427097963</v>
      </c>
      <c r="EH174" s="459">
        <v>103053.55202248854</v>
      </c>
    </row>
    <row r="175" spans="1:138" x14ac:dyDescent="0.2">
      <c r="A175" s="67">
        <v>529</v>
      </c>
      <c r="B175" s="67" t="s">
        <v>297</v>
      </c>
      <c r="C175" s="67">
        <v>2</v>
      </c>
      <c r="D175" s="67">
        <v>19850</v>
      </c>
      <c r="E175" s="82">
        <v>50941960.97359398</v>
      </c>
      <c r="F175" s="67">
        <v>28354476.141060874</v>
      </c>
      <c r="G175" s="67">
        <v>7261502</v>
      </c>
      <c r="H175" s="67">
        <v>8022773.3224212788</v>
      </c>
      <c r="I175" s="67">
        <v>4070144.3002463579</v>
      </c>
      <c r="J175" s="67">
        <v>2305097.3269123631</v>
      </c>
      <c r="K175" s="67">
        <v>4105217.0350178806</v>
      </c>
      <c r="L175" s="67">
        <v>-1086400</v>
      </c>
      <c r="M175" s="68">
        <v>2141703.35</v>
      </c>
      <c r="N175" s="68">
        <v>264563.11668194993</v>
      </c>
      <c r="O175" s="68">
        <v>-577701.82333389099</v>
      </c>
      <c r="P175" s="168">
        <f t="shared" si="78"/>
        <v>3919413.7954128366</v>
      </c>
      <c r="Q175" s="169">
        <f t="shared" si="79"/>
        <v>197.45157659510511</v>
      </c>
      <c r="R175" s="67"/>
      <c r="S175" s="82">
        <v>121509668.69000003</v>
      </c>
      <c r="T175" s="67">
        <v>83839290.912342265</v>
      </c>
      <c r="U175" s="67">
        <v>12057845.39698926</v>
      </c>
      <c r="V175" s="67">
        <v>14620872.467841715</v>
      </c>
      <c r="W175" s="67">
        <v>7687811.0848915074</v>
      </c>
      <c r="X175" s="67">
        <v>8316805.3499999996</v>
      </c>
      <c r="Y175" s="168">
        <f t="shared" si="80"/>
        <v>5012956.5220647156</v>
      </c>
      <c r="Z175" s="169">
        <f t="shared" si="81"/>
        <v>252.54189028033832</v>
      </c>
      <c r="AA175" s="67"/>
      <c r="AB175" s="77">
        <f t="shared" si="82"/>
        <v>-1093542.726651879</v>
      </c>
      <c r="AC175" s="123">
        <f t="shared" si="83"/>
        <v>-55.090313685233198</v>
      </c>
      <c r="AE175" s="170"/>
      <c r="AF175" s="177">
        <v>818583.04767532065</v>
      </c>
      <c r="AG175" s="177">
        <v>469109.3748352385</v>
      </c>
      <c r="AH175" s="177">
        <v>141127.86232955445</v>
      </c>
      <c r="AI175" s="178">
        <v>-93455.067929994373</v>
      </c>
      <c r="AK175" s="67">
        <f t="shared" si="84"/>
        <v>55484814.771281391</v>
      </c>
      <c r="AL175" s="67">
        <f t="shared" si="85"/>
        <v>4035072.0745679811</v>
      </c>
      <c r="AM175" s="67">
        <f t="shared" si="86"/>
        <v>10550728.167595357</v>
      </c>
      <c r="AN175" s="67">
        <f t="shared" si="87"/>
        <v>70567707.716406047</v>
      </c>
      <c r="AO175" s="67">
        <f t="shared" si="88"/>
        <v>0</v>
      </c>
      <c r="AP175" s="67">
        <f t="shared" si="89"/>
        <v>818583.04767532065</v>
      </c>
      <c r="AQ175" s="67">
        <f t="shared" si="90"/>
        <v>469109.3748352385</v>
      </c>
      <c r="AR175" s="67">
        <f t="shared" si="91"/>
        <v>141127.86232955445</v>
      </c>
      <c r="AS175" s="67">
        <f t="shared" si="92"/>
        <v>-93455.067929994373</v>
      </c>
      <c r="AT175" s="68">
        <v>9934</v>
      </c>
      <c r="AU175" s="68"/>
      <c r="AV175" s="68"/>
      <c r="AW175" s="68">
        <v>194</v>
      </c>
      <c r="AX175" s="68">
        <v>16835.5617842623</v>
      </c>
      <c r="AY175" s="68">
        <v>4641.5649866402164</v>
      </c>
      <c r="AZ175" s="68">
        <v>5400.3259665551968</v>
      </c>
      <c r="BA175" s="299"/>
      <c r="BB175" s="67"/>
      <c r="BC175" s="67"/>
      <c r="BD175" s="67"/>
      <c r="BE175" s="67"/>
      <c r="BF175" s="67"/>
      <c r="BG175" s="67"/>
      <c r="BH175" s="67"/>
      <c r="BN175" s="299"/>
      <c r="BO175" s="67">
        <v>51410652.669191048</v>
      </c>
      <c r="BP175" s="67">
        <v>64561811.609999999</v>
      </c>
      <c r="BQ175" s="67">
        <v>68808000</v>
      </c>
      <c r="BR175" s="67">
        <v>1428389.98</v>
      </c>
      <c r="BS175" s="67">
        <v>1701000</v>
      </c>
      <c r="BT175" s="428">
        <v>0.66179966657033451</v>
      </c>
      <c r="BU175" s="428">
        <v>0.33464287704132478</v>
      </c>
      <c r="BV175" s="67">
        <f t="shared" si="93"/>
        <v>20038658.960592382</v>
      </c>
      <c r="BW175" s="299"/>
      <c r="BX175" s="67">
        <v>120849622</v>
      </c>
      <c r="BY175" s="67">
        <v>51410652.669191048</v>
      </c>
      <c r="BZ175" s="67">
        <v>100075561.93906058</v>
      </c>
      <c r="CA175" s="67">
        <v>42552241.353737466</v>
      </c>
      <c r="CB175" s="67">
        <f t="shared" si="94"/>
        <v>3243299.3799690101</v>
      </c>
      <c r="CC175" s="67">
        <f t="shared" si="95"/>
        <v>252.54189028033849</v>
      </c>
      <c r="CD175" s="67">
        <f t="shared" si="96"/>
        <v>183.13339867495483</v>
      </c>
      <c r="CE175" s="67">
        <f t="shared" si="97"/>
        <v>-69.408491605383659</v>
      </c>
      <c r="CF175" s="67">
        <f t="shared" si="98"/>
        <v>54.408491605383659</v>
      </c>
      <c r="CG175" s="67">
        <f t="shared" si="99"/>
        <v>39.408491605383659</v>
      </c>
      <c r="CH175" s="67">
        <f t="shared" si="100"/>
        <v>24.408491605383659</v>
      </c>
      <c r="CI175" s="67">
        <f t="shared" si="101"/>
        <v>9.4084916053836594</v>
      </c>
      <c r="CJ175" s="67">
        <f t="shared" si="102"/>
        <v>1080008.5583668656</v>
      </c>
      <c r="CK175" s="67">
        <f t="shared" si="103"/>
        <v>782258.55836686562</v>
      </c>
      <c r="CL175" s="67">
        <f t="shared" si="104"/>
        <v>484508.55836686562</v>
      </c>
      <c r="CM175" s="67">
        <f t="shared" si="105"/>
        <v>186758.55836686565</v>
      </c>
      <c r="CN175" s="299"/>
      <c r="CO175" s="430">
        <v>83839.290912342272</v>
      </c>
      <c r="CP175" s="430">
        <v>12057.84539698926</v>
      </c>
      <c r="CQ175" s="430">
        <v>7261.5020000000004</v>
      </c>
      <c r="CR175" s="430">
        <v>14620872.467841715</v>
      </c>
      <c r="CS175" s="430">
        <v>4070144.3002463579</v>
      </c>
      <c r="CT175" s="430">
        <v>7687811.0848915074</v>
      </c>
      <c r="CU175" s="430">
        <v>2305097.3269123631</v>
      </c>
      <c r="CV175" s="430">
        <v>-1086400</v>
      </c>
      <c r="CW175" s="430">
        <v>264563.11668194993</v>
      </c>
      <c r="CX175" s="430">
        <v>2141703.35</v>
      </c>
      <c r="CY175" s="430">
        <v>50941960.97359398</v>
      </c>
      <c r="CZ175" s="519"/>
      <c r="DA175" s="524">
        <v>84673.83597</v>
      </c>
      <c r="DB175" s="524">
        <v>11963.555193339085</v>
      </c>
      <c r="DC175" s="520">
        <f t="shared" si="106"/>
        <v>-1</v>
      </c>
      <c r="DD175" s="440">
        <v>19579</v>
      </c>
      <c r="DE175" s="450">
        <v>51410652.669191048</v>
      </c>
      <c r="DF175" s="440">
        <v>28068174.768637471</v>
      </c>
      <c r="DG175" s="440">
        <v>7265930.5725000007</v>
      </c>
      <c r="DH175" s="440">
        <v>7218136.0126</v>
      </c>
      <c r="DI175" s="440">
        <v>4039608.6288450249</v>
      </c>
      <c r="DJ175" s="440">
        <v>2312639.592159058</v>
      </c>
      <c r="DK175" s="440">
        <v>3249168.9988771346</v>
      </c>
      <c r="DL175" s="440">
        <v>-1063833</v>
      </c>
      <c r="DM175" s="440">
        <v>1530000</v>
      </c>
      <c r="DN175" s="440">
        <v>254985.49650777047</v>
      </c>
      <c r="DO175" s="457">
        <f t="shared" si="107"/>
        <v>1464158.4009354115</v>
      </c>
      <c r="DP175" s="459">
        <f t="shared" si="108"/>
        <v>74.78208289163959</v>
      </c>
      <c r="DQ175" s="440"/>
      <c r="DR175" s="450">
        <v>120849622</v>
      </c>
      <c r="DS175" s="440">
        <v>81982427.347660571</v>
      </c>
      <c r="DT175" s="440">
        <v>10827204.0189</v>
      </c>
      <c r="DU175" s="440">
        <v>14590421.677841697</v>
      </c>
      <c r="DV175" s="440">
        <v>7712965.5587142548</v>
      </c>
      <c r="DW175" s="440">
        <v>7732097.5725000007</v>
      </c>
      <c r="DX175" s="457">
        <f t="shared" si="109"/>
        <v>1995494.1756165326</v>
      </c>
      <c r="DY175" s="459">
        <f t="shared" si="110"/>
        <v>101.92012746394262</v>
      </c>
      <c r="DZ175" s="440"/>
      <c r="EA175" s="457">
        <f t="shared" si="111"/>
        <v>-531335.77468112111</v>
      </c>
      <c r="EB175" s="459">
        <f t="shared" si="112"/>
        <v>-27.138044572303034</v>
      </c>
      <c r="ED175" s="457">
        <v>612896.3057646883</v>
      </c>
      <c r="EE175" s="458">
        <v>293841.72058730072</v>
      </c>
      <c r="EF175" s="458">
        <v>34875.941977083086</v>
      </c>
      <c r="EG175" s="458">
        <v>11572.252752607121</v>
      </c>
      <c r="EH175" s="459">
        <v>-7540.7505381127721</v>
      </c>
    </row>
    <row r="176" spans="1:138" x14ac:dyDescent="0.2">
      <c r="A176" s="67">
        <v>531</v>
      </c>
      <c r="B176" s="67" t="s">
        <v>298</v>
      </c>
      <c r="C176" s="67">
        <v>4</v>
      </c>
      <c r="D176" s="67">
        <v>5072</v>
      </c>
      <c r="E176" s="82">
        <v>10885755.502542865</v>
      </c>
      <c r="F176" s="67">
        <v>8162406.5122503405</v>
      </c>
      <c r="G176" s="67">
        <v>1575156</v>
      </c>
      <c r="H176" s="67">
        <v>597800.74951396254</v>
      </c>
      <c r="I176" s="67">
        <v>3123858.1010100087</v>
      </c>
      <c r="J176" s="67">
        <v>892457.54867764446</v>
      </c>
      <c r="K176" s="67">
        <v>-1005929.5607249625</v>
      </c>
      <c r="L176" s="67">
        <v>-213181</v>
      </c>
      <c r="M176" s="68">
        <v>52959.71</v>
      </c>
      <c r="N176" s="68">
        <v>49229.54513210892</v>
      </c>
      <c r="O176" s="68">
        <v>-147612.27445589396</v>
      </c>
      <c r="P176" s="168">
        <f t="shared" si="78"/>
        <v>2201389.8288603444</v>
      </c>
      <c r="Q176" s="169">
        <f t="shared" si="79"/>
        <v>434.02796310338022</v>
      </c>
      <c r="R176" s="67"/>
      <c r="S176" s="82">
        <v>33825171.810000002</v>
      </c>
      <c r="T176" s="67">
        <v>18937120.905780539</v>
      </c>
      <c r="U176" s="67">
        <v>898465.9950068522</v>
      </c>
      <c r="V176" s="67">
        <v>10799487.129237399</v>
      </c>
      <c r="W176" s="67">
        <v>2976466.5272113886</v>
      </c>
      <c r="X176" s="67">
        <v>1414934.71</v>
      </c>
      <c r="Y176" s="168">
        <f t="shared" si="80"/>
        <v>1201303.4572361708</v>
      </c>
      <c r="Z176" s="169">
        <f t="shared" si="81"/>
        <v>236.85005071691063</v>
      </c>
      <c r="AA176" s="67"/>
      <c r="AB176" s="77">
        <f t="shared" si="82"/>
        <v>1000086.3716241736</v>
      </c>
      <c r="AC176" s="123">
        <f t="shared" si="83"/>
        <v>197.17791238646956</v>
      </c>
      <c r="AE176" s="170"/>
      <c r="AF176" s="177">
        <v>-918183.07146140025</v>
      </c>
      <c r="AG176" s="177">
        <v>-855319.31673318334</v>
      </c>
      <c r="AH176" s="177">
        <v>-786963.96315277182</v>
      </c>
      <c r="AI176" s="178">
        <v>-719645.67160103936</v>
      </c>
      <c r="AK176" s="67">
        <f t="shared" si="84"/>
        <v>10774714.393530197</v>
      </c>
      <c r="AL176" s="67">
        <f t="shared" si="85"/>
        <v>300665.24549288966</v>
      </c>
      <c r="AM176" s="67">
        <f t="shared" si="86"/>
        <v>7675629.0282273898</v>
      </c>
      <c r="AN176" s="67">
        <f t="shared" si="87"/>
        <v>22939416.307457138</v>
      </c>
      <c r="AO176" s="67">
        <f t="shared" si="88"/>
        <v>0</v>
      </c>
      <c r="AP176" s="67">
        <f t="shared" si="89"/>
        <v>-918183.07146140025</v>
      </c>
      <c r="AQ176" s="67">
        <f t="shared" si="90"/>
        <v>-855319.31673318334</v>
      </c>
      <c r="AR176" s="67">
        <f t="shared" si="91"/>
        <v>-786963.96315277182</v>
      </c>
      <c r="AS176" s="67">
        <f t="shared" si="92"/>
        <v>-719645.67160103936</v>
      </c>
      <c r="AT176" s="68">
        <v>1367</v>
      </c>
      <c r="AU176" s="68"/>
      <c r="AV176" s="68"/>
      <c r="AW176" s="68">
        <v>0</v>
      </c>
      <c r="AX176" s="68">
        <v>6632.4859075801915</v>
      </c>
      <c r="AY176" s="68">
        <v>-1372.6097851213983</v>
      </c>
      <c r="AZ176" s="68">
        <v>2097.2243916900816</v>
      </c>
      <c r="BA176" s="299"/>
      <c r="BB176" s="67"/>
      <c r="BC176" s="67"/>
      <c r="BD176" s="67"/>
      <c r="BE176" s="67"/>
      <c r="BF176" s="67"/>
      <c r="BG176" s="67"/>
      <c r="BH176" s="67"/>
      <c r="BN176" s="299"/>
      <c r="BO176" s="67">
        <v>12151213.87454528</v>
      </c>
      <c r="BP176" s="67">
        <v>21234175.390000001</v>
      </c>
      <c r="BQ176" s="67">
        <v>21985000</v>
      </c>
      <c r="BR176" s="67">
        <v>564204.93000000005</v>
      </c>
      <c r="BS176" s="67">
        <v>588000</v>
      </c>
      <c r="BT176" s="428">
        <v>0.5689732059661311</v>
      </c>
      <c r="BU176" s="428">
        <v>0.33464287704132489</v>
      </c>
      <c r="BV176" s="67">
        <f t="shared" si="93"/>
        <v>8753708.4460361712</v>
      </c>
      <c r="BW176" s="299"/>
      <c r="BX176" s="67">
        <v>34799041</v>
      </c>
      <c r="BY176" s="67">
        <v>12151213.87454528</v>
      </c>
      <c r="BZ176" s="67">
        <v>21550363.290508043</v>
      </c>
      <c r="CA176" s="67">
        <v>10455443.968981797</v>
      </c>
      <c r="CB176" s="67">
        <f t="shared" si="94"/>
        <v>-901210.65309819696</v>
      </c>
      <c r="CC176" s="67">
        <f t="shared" si="95"/>
        <v>236.85005071691157</v>
      </c>
      <c r="CD176" s="67">
        <f t="shared" si="96"/>
        <v>483.77780184207489</v>
      </c>
      <c r="CE176" s="67">
        <f t="shared" si="97"/>
        <v>246.92775112516333</v>
      </c>
      <c r="CF176" s="67">
        <f t="shared" si="98"/>
        <v>-231.92775112516333</v>
      </c>
      <c r="CG176" s="67">
        <f t="shared" si="99"/>
        <v>-216.92775112516333</v>
      </c>
      <c r="CH176" s="67">
        <f t="shared" si="100"/>
        <v>-201.92775112516333</v>
      </c>
      <c r="CI176" s="67">
        <f t="shared" si="101"/>
        <v>-186.92775112516333</v>
      </c>
      <c r="CJ176" s="67">
        <f t="shared" si="102"/>
        <v>-1176337.5537068283</v>
      </c>
      <c r="CK176" s="67">
        <f t="shared" si="103"/>
        <v>-1100257.5537068283</v>
      </c>
      <c r="CL176" s="67">
        <f t="shared" si="104"/>
        <v>-1024177.5537068284</v>
      </c>
      <c r="CM176" s="67">
        <f t="shared" si="105"/>
        <v>-948097.55370682839</v>
      </c>
      <c r="CN176" s="299"/>
      <c r="CO176" s="430">
        <v>18937.120905780539</v>
      </c>
      <c r="CP176" s="430">
        <v>898.46599500685215</v>
      </c>
      <c r="CQ176" s="430">
        <v>1575.1559999999999</v>
      </c>
      <c r="CR176" s="430">
        <v>10799487.129237399</v>
      </c>
      <c r="CS176" s="430">
        <v>3123858.1010100087</v>
      </c>
      <c r="CT176" s="430">
        <v>2976466.5272113886</v>
      </c>
      <c r="CU176" s="430">
        <v>892457.54867764446</v>
      </c>
      <c r="CV176" s="430">
        <v>-213181</v>
      </c>
      <c r="CW176" s="430">
        <v>49229.54513210892</v>
      </c>
      <c r="CX176" s="430">
        <v>52959.71</v>
      </c>
      <c r="CY176" s="430">
        <v>10885755.502542865</v>
      </c>
      <c r="CZ176" s="519"/>
      <c r="DA176" s="524">
        <v>19193.989719999998</v>
      </c>
      <c r="DB176" s="524">
        <v>891.43964621781231</v>
      </c>
      <c r="DC176" s="520">
        <f t="shared" si="106"/>
        <v>-1</v>
      </c>
      <c r="DD176" s="440">
        <v>5169</v>
      </c>
      <c r="DE176" s="450">
        <v>12151213.87454528</v>
      </c>
      <c r="DF176" s="440">
        <v>8346394.7944817971</v>
      </c>
      <c r="DG176" s="440">
        <v>1571204.3489000003</v>
      </c>
      <c r="DH176" s="440">
        <v>537844.82559999998</v>
      </c>
      <c r="DI176" s="440">
        <v>3115592.6075690016</v>
      </c>
      <c r="DJ176" s="440">
        <v>898116.92699691141</v>
      </c>
      <c r="DK176" s="440">
        <v>-901192.83959212282</v>
      </c>
      <c r="DL176" s="440">
        <v>-181406</v>
      </c>
      <c r="DM176" s="440">
        <v>40000</v>
      </c>
      <c r="DN176" s="440">
        <v>49180.810202303357</v>
      </c>
      <c r="DO176" s="457">
        <f t="shared" si="107"/>
        <v>1324521.5996126123</v>
      </c>
      <c r="DP176" s="459">
        <f t="shared" si="108"/>
        <v>256.24329650079557</v>
      </c>
      <c r="DQ176" s="440"/>
      <c r="DR176" s="450">
        <v>34799041</v>
      </c>
      <c r="DS176" s="440">
        <v>19172391.70320804</v>
      </c>
      <c r="DT176" s="440">
        <v>806767.23840000003</v>
      </c>
      <c r="DU176" s="440">
        <v>10791243.949237393</v>
      </c>
      <c r="DV176" s="440">
        <v>2995341.3186869929</v>
      </c>
      <c r="DW176" s="440">
        <v>1429798.3489000003</v>
      </c>
      <c r="DX176" s="457">
        <f t="shared" si="109"/>
        <v>396501.55843243003</v>
      </c>
      <c r="DY176" s="459">
        <f t="shared" si="110"/>
        <v>76.707594976287496</v>
      </c>
      <c r="DZ176" s="440"/>
      <c r="EA176" s="457">
        <f t="shared" si="111"/>
        <v>928020.04118018225</v>
      </c>
      <c r="EB176" s="459">
        <f t="shared" si="112"/>
        <v>179.53570152450808</v>
      </c>
      <c r="ED176" s="457">
        <v>-906487.46111118747</v>
      </c>
      <c r="EE176" s="458">
        <v>-835650.21818672342</v>
      </c>
      <c r="EF176" s="458">
        <v>-763742.53599199955</v>
      </c>
      <c r="EG176" s="458">
        <v>-692359.88134167599</v>
      </c>
      <c r="EH176" s="459">
        <v>-619870.85478310462</v>
      </c>
    </row>
    <row r="177" spans="1:138" x14ac:dyDescent="0.2">
      <c r="A177" s="67">
        <v>535</v>
      </c>
      <c r="B177" s="67" t="s">
        <v>299</v>
      </c>
      <c r="C177" s="67">
        <v>17</v>
      </c>
      <c r="D177" s="67">
        <v>10419</v>
      </c>
      <c r="E177" s="82">
        <v>35388077.358955681</v>
      </c>
      <c r="F177" s="67">
        <v>13836630.326038163</v>
      </c>
      <c r="G177" s="67">
        <v>2575139</v>
      </c>
      <c r="H177" s="67">
        <v>1395482.6977145844</v>
      </c>
      <c r="I177" s="67">
        <v>14607306.980716048</v>
      </c>
      <c r="J177" s="67">
        <v>1951961.086962169</v>
      </c>
      <c r="K177" s="67">
        <v>410312.30065606942</v>
      </c>
      <c r="L177" s="67">
        <v>-927929</v>
      </c>
      <c r="M177" s="68">
        <v>-983548.2</v>
      </c>
      <c r="N177" s="68">
        <v>78964.951091569965</v>
      </c>
      <c r="O177" s="68">
        <v>-303227.97467585944</v>
      </c>
      <c r="P177" s="168">
        <f t="shared" si="78"/>
        <v>-2746985.1904529398</v>
      </c>
      <c r="Q177" s="169">
        <f t="shared" si="79"/>
        <v>-263.65152034292538</v>
      </c>
      <c r="R177" s="67"/>
      <c r="S177" s="82">
        <v>81849741.25999999</v>
      </c>
      <c r="T177" s="67">
        <v>30899849.210760001</v>
      </c>
      <c r="U177" s="67">
        <v>2097343.8918174123</v>
      </c>
      <c r="V177" s="67">
        <v>38396467.565769553</v>
      </c>
      <c r="W177" s="67">
        <v>6510054.0035441034</v>
      </c>
      <c r="X177" s="67">
        <v>663661.80000000005</v>
      </c>
      <c r="Y177" s="168">
        <f t="shared" si="80"/>
        <v>-3282364.7881089151</v>
      </c>
      <c r="Z177" s="169">
        <f t="shared" si="81"/>
        <v>-315.03645149332135</v>
      </c>
      <c r="AA177" s="67"/>
      <c r="AB177" s="77">
        <f t="shared" si="82"/>
        <v>535379.59765597526</v>
      </c>
      <c r="AC177" s="123">
        <f t="shared" si="83"/>
        <v>51.384931150395936</v>
      </c>
      <c r="AE177" s="170"/>
      <c r="AF177" s="177">
        <v>-367132.26240443962</v>
      </c>
      <c r="AG177" s="177">
        <v>-237996.32776065203</v>
      </c>
      <c r="AH177" s="177">
        <v>-97579.44508038614</v>
      </c>
      <c r="AI177" s="178">
        <v>-49053.317519527023</v>
      </c>
      <c r="AK177" s="67">
        <f t="shared" si="84"/>
        <v>17063218.884721838</v>
      </c>
      <c r="AL177" s="67">
        <f t="shared" si="85"/>
        <v>701861.19410282793</v>
      </c>
      <c r="AM177" s="67">
        <f t="shared" si="86"/>
        <v>23789160.585053504</v>
      </c>
      <c r="AN177" s="67">
        <f t="shared" si="87"/>
        <v>46461663.901044309</v>
      </c>
      <c r="AO177" s="67">
        <f t="shared" si="88"/>
        <v>0</v>
      </c>
      <c r="AP177" s="67">
        <f t="shared" si="89"/>
        <v>-367132.26240443962</v>
      </c>
      <c r="AQ177" s="67">
        <f t="shared" si="90"/>
        <v>-237996.32776065203</v>
      </c>
      <c r="AR177" s="67">
        <f t="shared" si="91"/>
        <v>-97579.44508038614</v>
      </c>
      <c r="AS177" s="67">
        <f t="shared" si="92"/>
        <v>-49053.317519527023</v>
      </c>
      <c r="AT177" s="68">
        <v>2831</v>
      </c>
      <c r="AU177" s="68"/>
      <c r="AV177" s="68"/>
      <c r="AW177" s="68">
        <v>0</v>
      </c>
      <c r="AX177" s="68">
        <v>18833.794846937322</v>
      </c>
      <c r="AY177" s="68">
        <v>-5764.2868695429052</v>
      </c>
      <c r="AZ177" s="68">
        <v>4582.1423126062791</v>
      </c>
      <c r="BA177" s="299"/>
      <c r="BB177" s="67"/>
      <c r="BC177" s="67"/>
      <c r="BD177" s="67"/>
      <c r="BE177" s="67"/>
      <c r="BF177" s="67"/>
      <c r="BG177" s="67"/>
      <c r="BH177" s="67"/>
      <c r="BN177" s="299"/>
      <c r="BO177" s="67">
        <v>34358023.787229165</v>
      </c>
      <c r="BP177" s="67">
        <v>42724692.069999993</v>
      </c>
      <c r="BQ177" s="67">
        <v>44506000</v>
      </c>
      <c r="BR177" s="67">
        <v>1063616.8400000001</v>
      </c>
      <c r="BS177" s="67">
        <v>1575000</v>
      </c>
      <c r="BT177" s="428">
        <v>0.55221042563470024</v>
      </c>
      <c r="BU177" s="428">
        <v>0.33464287704132478</v>
      </c>
      <c r="BV177" s="67">
        <f t="shared" si="93"/>
        <v>28757565.802291512</v>
      </c>
      <c r="BW177" s="299"/>
      <c r="BX177" s="67">
        <v>80153630</v>
      </c>
      <c r="BY177" s="67">
        <v>34358023.787229165</v>
      </c>
      <c r="BZ177" s="67">
        <v>35868915.783186093</v>
      </c>
      <c r="CA177" s="67">
        <v>18089643.455125529</v>
      </c>
      <c r="CB177" s="67">
        <f t="shared" si="94"/>
        <v>648242.94201991276</v>
      </c>
      <c r="CC177" s="67">
        <f t="shared" si="95"/>
        <v>-315.03645149332215</v>
      </c>
      <c r="CD177" s="67">
        <f t="shared" si="96"/>
        <v>-211.71192767187182</v>
      </c>
      <c r="CE177" s="67">
        <f t="shared" si="97"/>
        <v>103.32452382145033</v>
      </c>
      <c r="CF177" s="67">
        <f t="shared" si="98"/>
        <v>-88.324523821450327</v>
      </c>
      <c r="CG177" s="67">
        <f t="shared" si="99"/>
        <v>-73.324523821450327</v>
      </c>
      <c r="CH177" s="67">
        <f t="shared" si="100"/>
        <v>-58.324523821450327</v>
      </c>
      <c r="CI177" s="67">
        <f t="shared" si="101"/>
        <v>-43.324523821450327</v>
      </c>
      <c r="CJ177" s="67">
        <f t="shared" si="102"/>
        <v>-920253.21369569097</v>
      </c>
      <c r="CK177" s="67">
        <f t="shared" si="103"/>
        <v>-763968.21369569097</v>
      </c>
      <c r="CL177" s="67">
        <f t="shared" si="104"/>
        <v>-607683.21369569097</v>
      </c>
      <c r="CM177" s="67">
        <f t="shared" si="105"/>
        <v>-451398.21369569097</v>
      </c>
      <c r="CN177" s="299"/>
      <c r="CO177" s="430">
        <v>30899.84921076</v>
      </c>
      <c r="CP177" s="430">
        <v>2097.3438918174124</v>
      </c>
      <c r="CQ177" s="430">
        <v>2575.1390000000001</v>
      </c>
      <c r="CR177" s="430">
        <v>38396467.565769553</v>
      </c>
      <c r="CS177" s="430">
        <v>14607306.980716048</v>
      </c>
      <c r="CT177" s="430">
        <v>6510054.0035441034</v>
      </c>
      <c r="CU177" s="430">
        <v>1951961.086962169</v>
      </c>
      <c r="CV177" s="430">
        <v>-927929</v>
      </c>
      <c r="CW177" s="430">
        <v>78964.951091569965</v>
      </c>
      <c r="CX177" s="430">
        <v>-983548.2</v>
      </c>
      <c r="CY177" s="430">
        <v>35388077.358955681</v>
      </c>
      <c r="CZ177" s="519"/>
      <c r="DA177" s="524">
        <v>31568.299749999998</v>
      </c>
      <c r="DB177" s="524">
        <v>2080.9439289274824</v>
      </c>
      <c r="DC177" s="520">
        <f t="shared" si="106"/>
        <v>-1</v>
      </c>
      <c r="DD177" s="440">
        <v>10396</v>
      </c>
      <c r="DE177" s="450">
        <v>34358023.787229165</v>
      </c>
      <c r="DF177" s="440">
        <v>14210996.003625531</v>
      </c>
      <c r="DG177" s="440">
        <v>2623123.5185000002</v>
      </c>
      <c r="DH177" s="440">
        <v>1255523.933</v>
      </c>
      <c r="DI177" s="440">
        <v>14590674.695142645</v>
      </c>
      <c r="DJ177" s="440">
        <v>1962260.0181300072</v>
      </c>
      <c r="DK177" s="440">
        <v>648349.79844050645</v>
      </c>
      <c r="DL177" s="440">
        <v>-923772</v>
      </c>
      <c r="DM177" s="440">
        <v>954000</v>
      </c>
      <c r="DN177" s="440">
        <v>78810.759462208167</v>
      </c>
      <c r="DO177" s="457">
        <f t="shared" si="107"/>
        <v>1041942.9390717298</v>
      </c>
      <c r="DP177" s="459">
        <f t="shared" si="108"/>
        <v>100.22536928354461</v>
      </c>
      <c r="DQ177" s="440"/>
      <c r="DR177" s="450">
        <v>80153630</v>
      </c>
      <c r="DS177" s="440">
        <v>31362506.365186095</v>
      </c>
      <c r="DT177" s="440">
        <v>1883285.8995000001</v>
      </c>
      <c r="DU177" s="440">
        <v>38379846.905769557</v>
      </c>
      <c r="DV177" s="440">
        <v>6544402.330736286</v>
      </c>
      <c r="DW177" s="440">
        <v>2653351.5185000002</v>
      </c>
      <c r="DX177" s="457">
        <f t="shared" si="109"/>
        <v>669763.01969194412</v>
      </c>
      <c r="DY177" s="459">
        <f t="shared" si="110"/>
        <v>64.425069227774543</v>
      </c>
      <c r="DZ177" s="440"/>
      <c r="EA177" s="457">
        <f t="shared" si="111"/>
        <v>372179.91937978566</v>
      </c>
      <c r="EB177" s="459">
        <f t="shared" si="112"/>
        <v>35.800300055770073</v>
      </c>
      <c r="ED177" s="457">
        <v>-328873.14778039476</v>
      </c>
      <c r="EE177" s="458">
        <v>-186403.81571563767</v>
      </c>
      <c r="EF177" s="458">
        <v>-41781.593990671565</v>
      </c>
      <c r="EG177" s="458">
        <v>6144.600828239626</v>
      </c>
      <c r="EH177" s="459">
        <v>-4003.9656057112402</v>
      </c>
    </row>
    <row r="178" spans="1:138" x14ac:dyDescent="0.2">
      <c r="A178" s="67">
        <v>536</v>
      </c>
      <c r="B178" s="67" t="s">
        <v>300</v>
      </c>
      <c r="C178" s="67">
        <v>6</v>
      </c>
      <c r="D178" s="67">
        <v>35346</v>
      </c>
      <c r="E178" s="82">
        <v>82833708.781979352</v>
      </c>
      <c r="F178" s="67">
        <v>58002788.100137636</v>
      </c>
      <c r="G178" s="67">
        <v>9778744</v>
      </c>
      <c r="H178" s="67">
        <v>6576414.6568559287</v>
      </c>
      <c r="I178" s="67">
        <v>19539015.544062998</v>
      </c>
      <c r="J178" s="67">
        <v>4309968.564386202</v>
      </c>
      <c r="K178" s="67">
        <v>-2060360.4963072585</v>
      </c>
      <c r="L178" s="67">
        <v>-1922232</v>
      </c>
      <c r="M178" s="68">
        <v>329330.03000000003</v>
      </c>
      <c r="N178" s="68">
        <v>394629.85024413321</v>
      </c>
      <c r="O178" s="68">
        <v>-1028687.5892977185</v>
      </c>
      <c r="P178" s="168">
        <f t="shared" si="78"/>
        <v>11085901.878102563</v>
      </c>
      <c r="Q178" s="169">
        <f t="shared" si="79"/>
        <v>313.63950314328531</v>
      </c>
      <c r="R178" s="67"/>
      <c r="S178" s="82">
        <v>206670392.56</v>
      </c>
      <c r="T178" s="67">
        <v>143476717.14457208</v>
      </c>
      <c r="U178" s="67">
        <v>9884037.3536729757</v>
      </c>
      <c r="V178" s="67">
        <v>40031255.952458531</v>
      </c>
      <c r="W178" s="67">
        <v>14374327.590412365</v>
      </c>
      <c r="X178" s="67">
        <v>8185842.0300000003</v>
      </c>
      <c r="Y178" s="168">
        <f t="shared" si="80"/>
        <v>9281787.5111159682</v>
      </c>
      <c r="Z178" s="169">
        <f t="shared" si="81"/>
        <v>262.59796047971395</v>
      </c>
      <c r="AA178" s="67"/>
      <c r="AB178" s="77">
        <f t="shared" si="82"/>
        <v>1804114.3669865951</v>
      </c>
      <c r="AC178" s="123">
        <f t="shared" si="83"/>
        <v>51.041542663571413</v>
      </c>
      <c r="AE178" s="170"/>
      <c r="AF178" s="177">
        <v>-1233342.6699138377</v>
      </c>
      <c r="AG178" s="177">
        <v>-795254.68201487267</v>
      </c>
      <c r="AH178" s="177">
        <v>-318896.57325043477</v>
      </c>
      <c r="AI178" s="178">
        <v>-166411.22574577236</v>
      </c>
      <c r="AK178" s="67">
        <f t="shared" si="84"/>
        <v>85473929.044434443</v>
      </c>
      <c r="AL178" s="67">
        <f t="shared" si="85"/>
        <v>3307622.696817047</v>
      </c>
      <c r="AM178" s="67">
        <f t="shared" si="86"/>
        <v>20492240.408395533</v>
      </c>
      <c r="AN178" s="67">
        <f t="shared" si="87"/>
        <v>123836683.77802065</v>
      </c>
      <c r="AO178" s="67">
        <f t="shared" si="88"/>
        <v>0</v>
      </c>
      <c r="AP178" s="67">
        <f t="shared" si="89"/>
        <v>-1233342.6699138377</v>
      </c>
      <c r="AQ178" s="67">
        <f t="shared" si="90"/>
        <v>-795254.68201487267</v>
      </c>
      <c r="AR178" s="67">
        <f t="shared" si="91"/>
        <v>-318896.57325043477</v>
      </c>
      <c r="AS178" s="67">
        <f t="shared" si="92"/>
        <v>-166411.22574577236</v>
      </c>
      <c r="AT178" s="68">
        <v>12755</v>
      </c>
      <c r="AU178" s="68"/>
      <c r="AV178" s="68"/>
      <c r="AW178" s="68">
        <v>21</v>
      </c>
      <c r="AX178" s="68">
        <v>22593.008639402175</v>
      </c>
      <c r="AY178" s="68">
        <v>1670.2275282247915</v>
      </c>
      <c r="AZ178" s="68">
        <v>10096.322089841342</v>
      </c>
      <c r="BA178" s="299"/>
      <c r="BB178" s="67"/>
      <c r="BC178" s="67"/>
      <c r="BD178" s="67"/>
      <c r="BE178" s="67"/>
      <c r="BF178" s="67"/>
      <c r="BG178" s="67"/>
      <c r="BH178" s="67"/>
      <c r="BN178" s="299"/>
      <c r="BO178" s="67">
        <v>88092530.586032018</v>
      </c>
      <c r="BP178" s="67">
        <v>111869562.01999998</v>
      </c>
      <c r="BQ178" s="67">
        <v>122212000</v>
      </c>
      <c r="BR178" s="67">
        <v>2647979</v>
      </c>
      <c r="BS178" s="67">
        <v>2808000</v>
      </c>
      <c r="BT178" s="428">
        <v>0.59573379392496117</v>
      </c>
      <c r="BU178" s="428">
        <v>0.33464287704132478</v>
      </c>
      <c r="BV178" s="67">
        <f t="shared" si="93"/>
        <v>28496238.938114438</v>
      </c>
      <c r="BW178" s="299"/>
      <c r="BX178" s="67">
        <v>206005348.19999999</v>
      </c>
      <c r="BY178" s="67">
        <v>88092530.586032018</v>
      </c>
      <c r="BZ178" s="67">
        <v>156343551.73224336</v>
      </c>
      <c r="CA178" s="67">
        <v>72183525.790197253</v>
      </c>
      <c r="CB178" s="67">
        <f t="shared" si="94"/>
        <v>-1886191.9237247361</v>
      </c>
      <c r="CC178" s="67">
        <f t="shared" si="95"/>
        <v>262.59796047971327</v>
      </c>
      <c r="CD178" s="67">
        <f t="shared" si="96"/>
        <v>347.67040230812</v>
      </c>
      <c r="CE178" s="67">
        <f t="shared" si="97"/>
        <v>85.072441828406738</v>
      </c>
      <c r="CF178" s="67">
        <f t="shared" si="98"/>
        <v>-70.072441828406738</v>
      </c>
      <c r="CG178" s="67">
        <f t="shared" si="99"/>
        <v>-55.072441828406738</v>
      </c>
      <c r="CH178" s="67">
        <f t="shared" si="100"/>
        <v>-40.072441828406738</v>
      </c>
      <c r="CI178" s="67">
        <f t="shared" si="101"/>
        <v>-25.072441828406738</v>
      </c>
      <c r="CJ178" s="67">
        <f t="shared" si="102"/>
        <v>-2476780.5288668647</v>
      </c>
      <c r="CK178" s="67">
        <f t="shared" si="103"/>
        <v>-1946590.5288668645</v>
      </c>
      <c r="CL178" s="67">
        <f t="shared" si="104"/>
        <v>-1416400.5288668645</v>
      </c>
      <c r="CM178" s="67">
        <f t="shared" si="105"/>
        <v>-886210.52886686462</v>
      </c>
      <c r="CN178" s="299"/>
      <c r="CO178" s="430">
        <v>143476.71714457209</v>
      </c>
      <c r="CP178" s="430">
        <v>9884.0373536729749</v>
      </c>
      <c r="CQ178" s="430">
        <v>9778.7440000000006</v>
      </c>
      <c r="CR178" s="430">
        <v>40031255.952458531</v>
      </c>
      <c r="CS178" s="430">
        <v>19539015.544062998</v>
      </c>
      <c r="CT178" s="430">
        <v>14374327.590412365</v>
      </c>
      <c r="CU178" s="430">
        <v>4309968.564386202</v>
      </c>
      <c r="CV178" s="430">
        <v>-1922232</v>
      </c>
      <c r="CW178" s="430">
        <v>394629.85024413321</v>
      </c>
      <c r="CX178" s="430">
        <v>329330.03000000003</v>
      </c>
      <c r="CY178" s="430">
        <v>82833708.781979352</v>
      </c>
      <c r="CZ178" s="519"/>
      <c r="DA178" s="524">
        <v>144573.97341000001</v>
      </c>
      <c r="DB178" s="524">
        <v>9806.7390300971529</v>
      </c>
      <c r="DC178" s="520">
        <f t="shared" si="106"/>
        <v>-1</v>
      </c>
      <c r="DD178" s="440">
        <v>34884</v>
      </c>
      <c r="DE178" s="450">
        <v>88092530.586032018</v>
      </c>
      <c r="DF178" s="440">
        <v>56350799.319997251</v>
      </c>
      <c r="DG178" s="440">
        <v>9915887.7959999982</v>
      </c>
      <c r="DH178" s="440">
        <v>5916838.6742000002</v>
      </c>
      <c r="DI178" s="440">
        <v>19484625.453521669</v>
      </c>
      <c r="DJ178" s="440">
        <v>4323656.4505107682</v>
      </c>
      <c r="DK178" s="440">
        <v>-1873068.0773626922</v>
      </c>
      <c r="DL178" s="440">
        <v>-2186345</v>
      </c>
      <c r="DM178" s="440">
        <v>234900</v>
      </c>
      <c r="DN178" s="440">
        <v>373058.88781418529</v>
      </c>
      <c r="DO178" s="457">
        <f t="shared" si="107"/>
        <v>4447822.9186491519</v>
      </c>
      <c r="DP178" s="459">
        <f t="shared" si="108"/>
        <v>127.50323697537989</v>
      </c>
      <c r="DQ178" s="440"/>
      <c r="DR178" s="450">
        <v>206005348.19999999</v>
      </c>
      <c r="DS178" s="440">
        <v>137552405.92494336</v>
      </c>
      <c r="DT178" s="440">
        <v>8875258.0112999994</v>
      </c>
      <c r="DU178" s="440">
        <v>39976961.492458522</v>
      </c>
      <c r="DV178" s="440">
        <v>14419978.54035211</v>
      </c>
      <c r="DW178" s="440">
        <v>7964442.7959999982</v>
      </c>
      <c r="DX178" s="457">
        <f t="shared" si="109"/>
        <v>2783698.5650539994</v>
      </c>
      <c r="DY178" s="459">
        <f t="shared" si="110"/>
        <v>79.79872047511752</v>
      </c>
      <c r="DZ178" s="440"/>
      <c r="EA178" s="457">
        <f t="shared" si="111"/>
        <v>1664124.3535951525</v>
      </c>
      <c r="EB178" s="459">
        <f t="shared" si="112"/>
        <v>47.704516500262372</v>
      </c>
      <c r="ED178" s="457">
        <v>-1518807.5567046644</v>
      </c>
      <c r="EE178" s="458">
        <v>-1040748.6706189596</v>
      </c>
      <c r="EF178" s="458">
        <v>-555465.71730482741</v>
      </c>
      <c r="EG178" s="458">
        <v>-73726.014301947842</v>
      </c>
      <c r="EH178" s="459">
        <v>-13435.392092115324</v>
      </c>
    </row>
    <row r="179" spans="1:138" x14ac:dyDescent="0.2">
      <c r="A179" s="67">
        <v>538</v>
      </c>
      <c r="B179" s="67" t="s">
        <v>301</v>
      </c>
      <c r="C179" s="67">
        <v>2</v>
      </c>
      <c r="D179" s="67">
        <v>4644</v>
      </c>
      <c r="E179" s="82">
        <v>14577844.424653217</v>
      </c>
      <c r="F179" s="67">
        <v>7708929.3217758145</v>
      </c>
      <c r="G179" s="67">
        <v>913365</v>
      </c>
      <c r="H179" s="67">
        <v>348748.9470316355</v>
      </c>
      <c r="I179" s="67">
        <v>4230231.2336015012</v>
      </c>
      <c r="J179" s="67">
        <v>796036.83807637822</v>
      </c>
      <c r="K179" s="67">
        <v>-20470.384929660016</v>
      </c>
      <c r="L179" s="67">
        <v>668912</v>
      </c>
      <c r="M179" s="68">
        <v>-66704.37</v>
      </c>
      <c r="N179" s="68">
        <v>46991.612183017183</v>
      </c>
      <c r="O179" s="68">
        <v>-135156.03363035718</v>
      </c>
      <c r="P179" s="168">
        <f t="shared" si="78"/>
        <v>-86960.260544887802</v>
      </c>
      <c r="Q179" s="169">
        <f t="shared" si="79"/>
        <v>-18.725292968322094</v>
      </c>
      <c r="R179" s="67"/>
      <c r="S179" s="82">
        <v>30978642.620000001</v>
      </c>
      <c r="T179" s="67">
        <v>18105427.614706047</v>
      </c>
      <c r="U179" s="67">
        <v>524153.02248638589</v>
      </c>
      <c r="V179" s="67">
        <v>7797033.882263503</v>
      </c>
      <c r="W179" s="67">
        <v>2654890.4275304084</v>
      </c>
      <c r="X179" s="67">
        <v>1515572.63</v>
      </c>
      <c r="Y179" s="168">
        <f t="shared" si="80"/>
        <v>-381565.04301365837</v>
      </c>
      <c r="Z179" s="169">
        <f t="shared" si="81"/>
        <v>-82.163015291485436</v>
      </c>
      <c r="AA179" s="67"/>
      <c r="AB179" s="77">
        <f t="shared" si="82"/>
        <v>294604.78246877057</v>
      </c>
      <c r="AC179" s="123">
        <f t="shared" si="83"/>
        <v>63.437722323163342</v>
      </c>
      <c r="AE179" s="170"/>
      <c r="AF179" s="177">
        <v>-219612.88066358905</v>
      </c>
      <c r="AG179" s="177">
        <v>-162053.87495423597</v>
      </c>
      <c r="AH179" s="177">
        <v>-99466.678182266056</v>
      </c>
      <c r="AI179" s="178">
        <v>-37829.031106902221</v>
      </c>
      <c r="AK179" s="67">
        <f t="shared" si="84"/>
        <v>10396498.292930232</v>
      </c>
      <c r="AL179" s="67">
        <f t="shared" si="85"/>
        <v>175404.07545475039</v>
      </c>
      <c r="AM179" s="67">
        <f t="shared" si="86"/>
        <v>3566802.6486620018</v>
      </c>
      <c r="AN179" s="67">
        <f t="shared" si="87"/>
        <v>16400798.195346784</v>
      </c>
      <c r="AO179" s="67">
        <f t="shared" si="88"/>
        <v>0</v>
      </c>
      <c r="AP179" s="67">
        <f t="shared" si="89"/>
        <v>-219612.88066358905</v>
      </c>
      <c r="AQ179" s="67">
        <f t="shared" si="90"/>
        <v>-162053.87495423597</v>
      </c>
      <c r="AR179" s="67">
        <f t="shared" si="91"/>
        <v>-99466.678182266056</v>
      </c>
      <c r="AS179" s="67">
        <f t="shared" si="92"/>
        <v>-37829.031106902221</v>
      </c>
      <c r="AT179" s="68">
        <v>1627</v>
      </c>
      <c r="AU179" s="68"/>
      <c r="AV179" s="68"/>
      <c r="AW179" s="68">
        <v>0</v>
      </c>
      <c r="AX179" s="68">
        <v>3225.7248265641601</v>
      </c>
      <c r="AY179" s="68">
        <v>-622.03568128017798</v>
      </c>
      <c r="AZ179" s="68">
        <v>1873.5528442671039</v>
      </c>
      <c r="BA179" s="299"/>
      <c r="BB179" s="67"/>
      <c r="BC179" s="67"/>
      <c r="BD179" s="67"/>
      <c r="BE179" s="67"/>
      <c r="BF179" s="67"/>
      <c r="BG179" s="67"/>
      <c r="BH179" s="67"/>
      <c r="BN179" s="299"/>
      <c r="BO179" s="67">
        <v>14120229.894221762</v>
      </c>
      <c r="BP179" s="67">
        <v>15549436.510000002</v>
      </c>
      <c r="BQ179" s="67">
        <v>15464000</v>
      </c>
      <c r="BR179" s="67">
        <v>350691.44</v>
      </c>
      <c r="BS179" s="67">
        <v>360000</v>
      </c>
      <c r="BT179" s="428">
        <v>0.57421998055907431</v>
      </c>
      <c r="BU179" s="428">
        <v>0.33464287704132478</v>
      </c>
      <c r="BV179" s="67">
        <f t="shared" si="93"/>
        <v>5405185.8531863727</v>
      </c>
      <c r="BW179" s="299"/>
      <c r="BX179" s="67">
        <v>30546409.789999999</v>
      </c>
      <c r="BY179" s="67">
        <v>14120229.894221762</v>
      </c>
      <c r="BZ179" s="67">
        <v>19623045.670994323</v>
      </c>
      <c r="CA179" s="67">
        <v>9081623.509478163</v>
      </c>
      <c r="CB179" s="67">
        <f t="shared" si="94"/>
        <v>-127470.47805022581</v>
      </c>
      <c r="CC179" s="67">
        <f t="shared" si="95"/>
        <v>-82.163015291485337</v>
      </c>
      <c r="CD179" s="67">
        <f t="shared" si="96"/>
        <v>-12.66242894812577</v>
      </c>
      <c r="CE179" s="67">
        <f t="shared" si="97"/>
        <v>69.500586343359572</v>
      </c>
      <c r="CF179" s="67">
        <f t="shared" si="98"/>
        <v>-54.500586343359572</v>
      </c>
      <c r="CG179" s="67">
        <f t="shared" si="99"/>
        <v>-39.500586343359572</v>
      </c>
      <c r="CH179" s="67">
        <f t="shared" si="100"/>
        <v>-24.500586343359572</v>
      </c>
      <c r="CI179" s="67">
        <f t="shared" si="101"/>
        <v>-9.5005863433595721</v>
      </c>
      <c r="CJ179" s="67">
        <f t="shared" si="102"/>
        <v>-253100.72297856185</v>
      </c>
      <c r="CK179" s="67">
        <f t="shared" si="103"/>
        <v>-183440.72297856185</v>
      </c>
      <c r="CL179" s="67">
        <f t="shared" si="104"/>
        <v>-113780.72297856185</v>
      </c>
      <c r="CM179" s="67">
        <f t="shared" si="105"/>
        <v>-44120.722978561855</v>
      </c>
      <c r="CN179" s="299"/>
      <c r="CO179" s="430">
        <v>18105.427614706048</v>
      </c>
      <c r="CP179" s="430">
        <v>524.15302248638591</v>
      </c>
      <c r="CQ179" s="430">
        <v>913.36500000000001</v>
      </c>
      <c r="CR179" s="430">
        <v>7797033.882263503</v>
      </c>
      <c r="CS179" s="430">
        <v>4230231.2336015012</v>
      </c>
      <c r="CT179" s="430">
        <v>2654890.4275304084</v>
      </c>
      <c r="CU179" s="430">
        <v>796036.83807637822</v>
      </c>
      <c r="CV179" s="430">
        <v>668912</v>
      </c>
      <c r="CW179" s="430">
        <v>46991.612183017183</v>
      </c>
      <c r="CX179" s="430">
        <v>-66704.37</v>
      </c>
      <c r="CY179" s="430">
        <v>14577844.424653217</v>
      </c>
      <c r="CZ179" s="519"/>
      <c r="DA179" s="524">
        <v>18220.673510000001</v>
      </c>
      <c r="DB179" s="524">
        <v>520.05419273218797</v>
      </c>
      <c r="DC179" s="520">
        <f t="shared" si="106"/>
        <v>-1</v>
      </c>
      <c r="DD179" s="440">
        <v>4689</v>
      </c>
      <c r="DE179" s="450">
        <v>14120229.894221762</v>
      </c>
      <c r="DF179" s="440">
        <v>7867036.6860781619</v>
      </c>
      <c r="DG179" s="440">
        <v>900815.35899999994</v>
      </c>
      <c r="DH179" s="440">
        <v>313771.4644</v>
      </c>
      <c r="DI179" s="440">
        <v>4222819.3502305662</v>
      </c>
      <c r="DJ179" s="440">
        <v>802331.6578458678</v>
      </c>
      <c r="DK179" s="440">
        <v>-127316.54536926148</v>
      </c>
      <c r="DL179" s="440">
        <v>709852</v>
      </c>
      <c r="DM179" s="440">
        <v>-114300</v>
      </c>
      <c r="DN179" s="440">
        <v>46727.305315507547</v>
      </c>
      <c r="DO179" s="457">
        <f t="shared" si="107"/>
        <v>501507.38327907957</v>
      </c>
      <c r="DP179" s="459">
        <f t="shared" si="108"/>
        <v>106.95401648092974</v>
      </c>
      <c r="DQ179" s="440"/>
      <c r="DR179" s="450">
        <v>30546409.789999999</v>
      </c>
      <c r="DS179" s="440">
        <v>18251573.11539432</v>
      </c>
      <c r="DT179" s="440">
        <v>470657.19659999997</v>
      </c>
      <c r="DU179" s="440">
        <v>7789632.7922634939</v>
      </c>
      <c r="DV179" s="440">
        <v>2675884.5021129716</v>
      </c>
      <c r="DW179" s="440">
        <v>1496367.3589999999</v>
      </c>
      <c r="DX179" s="457">
        <f t="shared" si="109"/>
        <v>137705.17537078634</v>
      </c>
      <c r="DY179" s="459">
        <f t="shared" si="110"/>
        <v>29.367706413048911</v>
      </c>
      <c r="DZ179" s="440"/>
      <c r="EA179" s="457">
        <f t="shared" si="111"/>
        <v>363802.20790829323</v>
      </c>
      <c r="EB179" s="459">
        <f t="shared" si="112"/>
        <v>77.586310067880831</v>
      </c>
      <c r="ED179" s="457">
        <v>-344269.17096816294</v>
      </c>
      <c r="EE179" s="458">
        <v>-280009.9656919369</v>
      </c>
      <c r="EF179" s="458">
        <v>-214779.72351529531</v>
      </c>
      <c r="EG179" s="458">
        <v>-150025.75414880915</v>
      </c>
      <c r="EH179" s="459">
        <v>-84268.151994980348</v>
      </c>
    </row>
    <row r="180" spans="1:138" x14ac:dyDescent="0.2">
      <c r="A180" s="67">
        <v>541</v>
      </c>
      <c r="B180" s="67" t="s">
        <v>302</v>
      </c>
      <c r="C180" s="67">
        <v>12</v>
      </c>
      <c r="D180" s="67">
        <v>9243</v>
      </c>
      <c r="E180" s="82">
        <v>29088996.393206082</v>
      </c>
      <c r="F180" s="67">
        <v>10884357.08702522</v>
      </c>
      <c r="G180" s="67">
        <v>2184759</v>
      </c>
      <c r="H180" s="67">
        <v>2823853.6772193294</v>
      </c>
      <c r="I180" s="67">
        <v>5687437.3935074266</v>
      </c>
      <c r="J180" s="67">
        <v>1968519.2471732125</v>
      </c>
      <c r="K180" s="67">
        <v>2185373.2369700479</v>
      </c>
      <c r="L180" s="67">
        <v>-962239</v>
      </c>
      <c r="M180" s="68">
        <v>690152.43</v>
      </c>
      <c r="N180" s="68">
        <v>73007.976822173121</v>
      </c>
      <c r="O180" s="68">
        <v>-269002.41577204806</v>
      </c>
      <c r="P180" s="168">
        <f t="shared" si="78"/>
        <v>-3822777.7602607207</v>
      </c>
      <c r="Q180" s="169">
        <f t="shared" si="79"/>
        <v>-413.58625557294391</v>
      </c>
      <c r="R180" s="67"/>
      <c r="S180" s="82">
        <v>78880053.600000009</v>
      </c>
      <c r="T180" s="67">
        <v>25889007.765997212</v>
      </c>
      <c r="U180" s="67">
        <v>4244117.301491213</v>
      </c>
      <c r="V180" s="67">
        <v>38068116.557303682</v>
      </c>
      <c r="W180" s="67">
        <v>6565277.7054371508</v>
      </c>
      <c r="X180" s="67">
        <v>1912672.4300000002</v>
      </c>
      <c r="Y180" s="168">
        <f t="shared" si="80"/>
        <v>-2200861.8397707492</v>
      </c>
      <c r="Z180" s="169">
        <f t="shared" si="81"/>
        <v>-238.11120196589303</v>
      </c>
      <c r="AA180" s="67"/>
      <c r="AB180" s="77">
        <f t="shared" si="82"/>
        <v>-1621915.9204899715</v>
      </c>
      <c r="AC180" s="123">
        <f t="shared" si="83"/>
        <v>-175.47505360705091</v>
      </c>
      <c r="AE180" s="170"/>
      <c r="AF180" s="177">
        <v>1493883.0583851691</v>
      </c>
      <c r="AG180" s="177">
        <v>1331153.3275004902</v>
      </c>
      <c r="AH180" s="177">
        <v>1178431.2559594302</v>
      </c>
      <c r="AI180" s="178">
        <v>1023819.2860881099</v>
      </c>
      <c r="AK180" s="67">
        <f t="shared" si="84"/>
        <v>15004650.678971993</v>
      </c>
      <c r="AL180" s="67">
        <f t="shared" si="85"/>
        <v>1420263.6242718836</v>
      </c>
      <c r="AM180" s="67">
        <f t="shared" si="86"/>
        <v>32380679.163796254</v>
      </c>
      <c r="AN180" s="67">
        <f t="shared" si="87"/>
        <v>49791057.206793927</v>
      </c>
      <c r="AO180" s="67">
        <f t="shared" si="88"/>
        <v>0</v>
      </c>
      <c r="AP180" s="67">
        <f t="shared" si="89"/>
        <v>1493883.0583851691</v>
      </c>
      <c r="AQ180" s="67">
        <f t="shared" si="90"/>
        <v>1331153.3275004902</v>
      </c>
      <c r="AR180" s="67">
        <f t="shared" si="91"/>
        <v>1178431.2559594302</v>
      </c>
      <c r="AS180" s="67">
        <f t="shared" si="92"/>
        <v>1023819.2860881099</v>
      </c>
      <c r="AT180" s="68">
        <v>4504</v>
      </c>
      <c r="AU180" s="68"/>
      <c r="AV180" s="68"/>
      <c r="AW180" s="68">
        <v>3</v>
      </c>
      <c r="AX180" s="68">
        <v>27719.033188662135</v>
      </c>
      <c r="AY180" s="68">
        <v>-4496.6455459575254</v>
      </c>
      <c r="AZ180" s="68">
        <v>4607.833707379481</v>
      </c>
      <c r="BA180" s="299"/>
      <c r="BB180" s="67"/>
      <c r="BC180" s="67"/>
      <c r="BD180" s="67"/>
      <c r="BE180" s="67"/>
      <c r="BF180" s="67"/>
      <c r="BG180" s="67"/>
      <c r="BH180" s="67"/>
      <c r="BN180" s="299"/>
      <c r="BO180" s="67">
        <v>29169963.689319842</v>
      </c>
      <c r="BP180" s="67">
        <v>45684758.609999977</v>
      </c>
      <c r="BQ180" s="67">
        <v>48710000</v>
      </c>
      <c r="BR180" s="67">
        <v>906919.95000000007</v>
      </c>
      <c r="BS180" s="67">
        <v>1010000</v>
      </c>
      <c r="BT180" s="428">
        <v>0.57957612028218386</v>
      </c>
      <c r="BU180" s="428">
        <v>0.33464287704132489</v>
      </c>
      <c r="BV180" s="67">
        <f t="shared" si="93"/>
        <v>39162810.859030239</v>
      </c>
      <c r="BW180" s="299"/>
      <c r="BX180" s="67">
        <v>76207594.769999996</v>
      </c>
      <c r="BY180" s="67">
        <v>29169963.689319842</v>
      </c>
      <c r="BZ180" s="67">
        <v>32816408.608972244</v>
      </c>
      <c r="CA180" s="67">
        <v>16079650.632079266</v>
      </c>
      <c r="CB180" s="67">
        <f t="shared" si="94"/>
        <v>3867372.7679013442</v>
      </c>
      <c r="CC180" s="67">
        <f t="shared" si="95"/>
        <v>-238.11120196589246</v>
      </c>
      <c r="CD180" s="67">
        <f t="shared" si="96"/>
        <v>-202.50739084251634</v>
      </c>
      <c r="CE180" s="67">
        <f t="shared" si="97"/>
        <v>35.603811123376119</v>
      </c>
      <c r="CF180" s="67">
        <f t="shared" si="98"/>
        <v>-20.603811123376119</v>
      </c>
      <c r="CG180" s="67">
        <f t="shared" si="99"/>
        <v>-5.6038111233761185</v>
      </c>
      <c r="CH180" s="67">
        <f t="shared" si="100"/>
        <v>0</v>
      </c>
      <c r="CI180" s="67">
        <f t="shared" si="101"/>
        <v>0</v>
      </c>
      <c r="CJ180" s="67">
        <f t="shared" si="102"/>
        <v>-190441.02621336546</v>
      </c>
      <c r="CK180" s="67">
        <f t="shared" si="103"/>
        <v>-51796.026213365461</v>
      </c>
      <c r="CL180" s="67">
        <f t="shared" si="104"/>
        <v>0</v>
      </c>
      <c r="CM180" s="67">
        <f t="shared" si="105"/>
        <v>0</v>
      </c>
      <c r="CN180" s="299"/>
      <c r="CO180" s="430">
        <v>25889.007765997212</v>
      </c>
      <c r="CP180" s="430">
        <v>4244.1173014912129</v>
      </c>
      <c r="CQ180" s="430">
        <v>2184.759</v>
      </c>
      <c r="CR180" s="430">
        <v>38068116.557303682</v>
      </c>
      <c r="CS180" s="430">
        <v>5687437.3935074266</v>
      </c>
      <c r="CT180" s="430">
        <v>6565277.7054371508</v>
      </c>
      <c r="CU180" s="430">
        <v>1968519.2471732125</v>
      </c>
      <c r="CV180" s="430">
        <v>-962239</v>
      </c>
      <c r="CW180" s="430">
        <v>73007.976822173121</v>
      </c>
      <c r="CX180" s="430">
        <v>690152.43</v>
      </c>
      <c r="CY180" s="430">
        <v>29088996.393206082</v>
      </c>
      <c r="CZ180" s="519"/>
      <c r="DA180" s="524">
        <v>26639.692760000002</v>
      </c>
      <c r="DB180" s="524">
        <v>4210.9272849604013</v>
      </c>
      <c r="DC180" s="520">
        <f t="shared" si="106"/>
        <v>-1</v>
      </c>
      <c r="DD180" s="440">
        <v>9423</v>
      </c>
      <c r="DE180" s="450">
        <v>29169963.689319842</v>
      </c>
      <c r="DF180" s="440">
        <v>11329986.681779265</v>
      </c>
      <c r="DG180" s="440">
        <v>2209026.3051</v>
      </c>
      <c r="DH180" s="440">
        <v>2540637.6452000001</v>
      </c>
      <c r="DI180" s="440">
        <v>5672554.5421591345</v>
      </c>
      <c r="DJ180" s="440">
        <v>1973262.1200583465</v>
      </c>
      <c r="DK180" s="440">
        <v>3866652.0284846225</v>
      </c>
      <c r="DL180" s="440">
        <v>-962239</v>
      </c>
      <c r="DM180" s="440">
        <v>587982</v>
      </c>
      <c r="DN180" s="440">
        <v>74189.572146454215</v>
      </c>
      <c r="DO180" s="457">
        <f t="shared" si="107"/>
        <v>-1877911.7943920195</v>
      </c>
      <c r="DP180" s="459">
        <f t="shared" si="108"/>
        <v>-199.29022544752408</v>
      </c>
      <c r="DQ180" s="440"/>
      <c r="DR180" s="450">
        <v>76207594.769999996</v>
      </c>
      <c r="DS180" s="440">
        <v>26796425.836072244</v>
      </c>
      <c r="DT180" s="440">
        <v>3810956.4678000002</v>
      </c>
      <c r="DU180" s="440">
        <v>38053291.457303673</v>
      </c>
      <c r="DV180" s="440">
        <v>6581095.8274378274</v>
      </c>
      <c r="DW180" s="440">
        <v>1834769.3051</v>
      </c>
      <c r="DX180" s="457">
        <f t="shared" si="109"/>
        <v>868944.12371374667</v>
      </c>
      <c r="DY180" s="459">
        <f t="shared" si="110"/>
        <v>92.215231212325875</v>
      </c>
      <c r="DZ180" s="440"/>
      <c r="EA180" s="457">
        <f t="shared" si="111"/>
        <v>-2746855.9181057662</v>
      </c>
      <c r="EB180" s="459">
        <f t="shared" si="112"/>
        <v>-291.50545665984998</v>
      </c>
      <c r="ED180" s="457">
        <v>2786109.4491543621</v>
      </c>
      <c r="EE180" s="458">
        <v>2632554.5507363365</v>
      </c>
      <c r="EF180" s="458">
        <v>2480951.0450913152</v>
      </c>
      <c r="EG180" s="458">
        <v>2328390.423069647</v>
      </c>
      <c r="EH180" s="459">
        <v>2177846.6984152491</v>
      </c>
    </row>
    <row r="181" spans="1:138" x14ac:dyDescent="0.2">
      <c r="A181" s="67">
        <v>543</v>
      </c>
      <c r="B181" s="67" t="s">
        <v>303</v>
      </c>
      <c r="C181" s="67">
        <v>35</v>
      </c>
      <c r="D181" s="67">
        <v>44458</v>
      </c>
      <c r="E181" s="82">
        <v>122855684.08401015</v>
      </c>
      <c r="F181" s="67">
        <v>72043601.166967556</v>
      </c>
      <c r="G181" s="67">
        <v>12473531</v>
      </c>
      <c r="H181" s="67">
        <v>8219066.9000701951</v>
      </c>
      <c r="I181" s="67">
        <v>27833065.931889866</v>
      </c>
      <c r="J181" s="67">
        <v>5177628.6164690685</v>
      </c>
      <c r="K181" s="67">
        <v>5907625.994499363</v>
      </c>
      <c r="L181" s="67">
        <v>-6734788</v>
      </c>
      <c r="M181" s="68">
        <v>1300988.6000000001</v>
      </c>
      <c r="N181" s="68">
        <v>578018.03378746612</v>
      </c>
      <c r="O181" s="68">
        <v>-1293877.464069427</v>
      </c>
      <c r="P181" s="168">
        <f t="shared" si="78"/>
        <v>2649176.695603936</v>
      </c>
      <c r="Q181" s="169">
        <f t="shared" si="79"/>
        <v>59.588301219216696</v>
      </c>
      <c r="R181" s="67"/>
      <c r="S181" s="82">
        <v>263137204.88000003</v>
      </c>
      <c r="T181" s="67">
        <v>197948972.26209736</v>
      </c>
      <c r="U181" s="67">
        <v>12352865.275601288</v>
      </c>
      <c r="V181" s="67">
        <v>35265104.029353917</v>
      </c>
      <c r="W181" s="67">
        <v>17268091.11546712</v>
      </c>
      <c r="X181" s="67">
        <v>7039731.5999999996</v>
      </c>
      <c r="Y181" s="168">
        <f t="shared" si="80"/>
        <v>6737559.4025196731</v>
      </c>
      <c r="Z181" s="169">
        <f t="shared" si="81"/>
        <v>151.54886415312595</v>
      </c>
      <c r="AA181" s="67"/>
      <c r="AB181" s="77">
        <f t="shared" si="82"/>
        <v>-4088382.7069157371</v>
      </c>
      <c r="AC181" s="123">
        <f t="shared" si="83"/>
        <v>-91.960562933909245</v>
      </c>
      <c r="AE181" s="170"/>
      <c r="AF181" s="177">
        <v>3472556.1372462576</v>
      </c>
      <c r="AG181" s="177">
        <v>2689840.7444440224</v>
      </c>
      <c r="AH181" s="177">
        <v>1955261.2944199569</v>
      </c>
      <c r="AI181" s="178">
        <v>1211591.6031358324</v>
      </c>
      <c r="AK181" s="67">
        <f t="shared" si="84"/>
        <v>125905371.0951298</v>
      </c>
      <c r="AL181" s="67">
        <f t="shared" si="85"/>
        <v>4133798.3755310932</v>
      </c>
      <c r="AM181" s="67">
        <f t="shared" si="86"/>
        <v>7432038.0974640511</v>
      </c>
      <c r="AN181" s="67">
        <f t="shared" si="87"/>
        <v>140281520.79598987</v>
      </c>
      <c r="AO181" s="67">
        <f t="shared" si="88"/>
        <v>0</v>
      </c>
      <c r="AP181" s="67">
        <f t="shared" si="89"/>
        <v>3472556.1372462576</v>
      </c>
      <c r="AQ181" s="67">
        <f t="shared" si="90"/>
        <v>2689840.7444440224</v>
      </c>
      <c r="AR181" s="67">
        <f t="shared" si="91"/>
        <v>1955261.2944199569</v>
      </c>
      <c r="AS181" s="67">
        <f t="shared" si="92"/>
        <v>1211591.6031358324</v>
      </c>
      <c r="AT181" s="68">
        <v>19068</v>
      </c>
      <c r="AU181" s="68"/>
      <c r="AV181" s="68"/>
      <c r="AW181" s="68">
        <v>0</v>
      </c>
      <c r="AX181" s="68">
        <v>15750.722666467287</v>
      </c>
      <c r="AY181" s="68">
        <v>8468.6499462526426</v>
      </c>
      <c r="AZ181" s="68">
        <v>11957.266758879556</v>
      </c>
      <c r="BA181" s="299"/>
      <c r="BB181" s="67"/>
      <c r="BC181" s="67"/>
      <c r="BD181" s="67"/>
      <c r="BE181" s="67"/>
      <c r="BF181" s="67"/>
      <c r="BG181" s="67"/>
      <c r="BH181" s="67"/>
      <c r="BN181" s="299"/>
      <c r="BO181" s="67">
        <v>115632252.65705913</v>
      </c>
      <c r="BP181" s="67">
        <v>125944979.75</v>
      </c>
      <c r="BQ181" s="67">
        <v>139260000</v>
      </c>
      <c r="BR181" s="67">
        <v>3513944.77</v>
      </c>
      <c r="BS181" s="67">
        <v>2628000</v>
      </c>
      <c r="BT181" s="428">
        <v>0.63604963267211545</v>
      </c>
      <c r="BU181" s="428">
        <v>0.33464287704132484</v>
      </c>
      <c r="BV181" s="67">
        <f t="shared" si="93"/>
        <v>25430126.590961464</v>
      </c>
      <c r="BW181" s="299"/>
      <c r="BX181" s="67">
        <v>253826097.37</v>
      </c>
      <c r="BY181" s="67">
        <v>115632252.65705913</v>
      </c>
      <c r="BZ181" s="67">
        <v>215023519.04368272</v>
      </c>
      <c r="CA181" s="67">
        <v>90731169.892030329</v>
      </c>
      <c r="CB181" s="67">
        <f t="shared" si="94"/>
        <v>2844322.651103117</v>
      </c>
      <c r="CC181" s="67">
        <f t="shared" si="95"/>
        <v>151.54886415312563</v>
      </c>
      <c r="CD181" s="67">
        <f t="shared" si="96"/>
        <v>19.788357917070343</v>
      </c>
      <c r="CE181" s="67">
        <f t="shared" si="97"/>
        <v>-131.76050623605528</v>
      </c>
      <c r="CF181" s="67">
        <f t="shared" si="98"/>
        <v>116.76050623605528</v>
      </c>
      <c r="CG181" s="67">
        <f t="shared" si="99"/>
        <v>101.76050623605528</v>
      </c>
      <c r="CH181" s="67">
        <f t="shared" si="100"/>
        <v>86.760506236055278</v>
      </c>
      <c r="CI181" s="67">
        <f t="shared" si="101"/>
        <v>71.760506236055278</v>
      </c>
      <c r="CJ181" s="67">
        <f t="shared" si="102"/>
        <v>5190938.5862425454</v>
      </c>
      <c r="CK181" s="67">
        <f t="shared" si="103"/>
        <v>4524068.5862425454</v>
      </c>
      <c r="CL181" s="67">
        <f t="shared" si="104"/>
        <v>3857198.5862425454</v>
      </c>
      <c r="CM181" s="67">
        <f t="shared" si="105"/>
        <v>3190328.5862425454</v>
      </c>
      <c r="CN181" s="299"/>
      <c r="CO181" s="430">
        <v>197948.97226209735</v>
      </c>
      <c r="CP181" s="430">
        <v>12352.865275601289</v>
      </c>
      <c r="CQ181" s="430">
        <v>12473.531000000001</v>
      </c>
      <c r="CR181" s="430">
        <v>35265104.029353917</v>
      </c>
      <c r="CS181" s="430">
        <v>27833065.931889866</v>
      </c>
      <c r="CT181" s="430">
        <v>17268091.11546712</v>
      </c>
      <c r="CU181" s="430">
        <v>5177628.6164690685</v>
      </c>
      <c r="CV181" s="430">
        <v>-6734788</v>
      </c>
      <c r="CW181" s="430">
        <v>578018.03378746612</v>
      </c>
      <c r="CX181" s="430">
        <v>1300988.6000000001</v>
      </c>
      <c r="CY181" s="430">
        <v>122855684.08401015</v>
      </c>
      <c r="CZ181" s="519"/>
      <c r="DA181" s="524">
        <v>198107.16172</v>
      </c>
      <c r="DB181" s="524">
        <v>12256.273255078269</v>
      </c>
      <c r="DC181" s="520">
        <f t="shared" si="106"/>
        <v>-1</v>
      </c>
      <c r="DD181" s="440">
        <v>44127</v>
      </c>
      <c r="DE181" s="450">
        <v>115632252.65705913</v>
      </c>
      <c r="DF181" s="440">
        <v>70348898.357430339</v>
      </c>
      <c r="DG181" s="440">
        <v>12987529.0438</v>
      </c>
      <c r="DH181" s="440">
        <v>7394742.4907999998</v>
      </c>
      <c r="DI181" s="440">
        <v>27764121.847259767</v>
      </c>
      <c r="DJ181" s="440">
        <v>5120588.7740572263</v>
      </c>
      <c r="DK181" s="440">
        <v>2860711.8872551038</v>
      </c>
      <c r="DL181" s="440">
        <v>-6603584</v>
      </c>
      <c r="DM181" s="440">
        <v>1155000</v>
      </c>
      <c r="DN181" s="440">
        <v>550954.74388586578</v>
      </c>
      <c r="DO181" s="457">
        <f t="shared" si="107"/>
        <v>5946710.4874291718</v>
      </c>
      <c r="DP181" s="459">
        <f t="shared" si="108"/>
        <v>134.76353451241127</v>
      </c>
      <c r="DQ181" s="440"/>
      <c r="DR181" s="450">
        <v>253826097.37</v>
      </c>
      <c r="DS181" s="440">
        <v>190943876.26368272</v>
      </c>
      <c r="DT181" s="440">
        <v>11092113.736200001</v>
      </c>
      <c r="DU181" s="440">
        <v>35196259.869353928</v>
      </c>
      <c r="DV181" s="440">
        <v>17077855.532936782</v>
      </c>
      <c r="DW181" s="440">
        <v>7538945.0438000001</v>
      </c>
      <c r="DX181" s="457">
        <f t="shared" si="109"/>
        <v>8022953.0759734511</v>
      </c>
      <c r="DY181" s="459">
        <f t="shared" si="110"/>
        <v>181.81505826304647</v>
      </c>
      <c r="DZ181" s="440"/>
      <c r="EA181" s="457">
        <f t="shared" si="111"/>
        <v>-2076242.5885442793</v>
      </c>
      <c r="EB181" s="459">
        <f t="shared" si="112"/>
        <v>-47.051523750635198</v>
      </c>
      <c r="ED181" s="457">
        <v>2260063.0878100526</v>
      </c>
      <c r="EE181" s="458">
        <v>1540980.3113596423</v>
      </c>
      <c r="EF181" s="458">
        <v>831035.71902197204</v>
      </c>
      <c r="EG181" s="458">
        <v>116609.04302174474</v>
      </c>
      <c r="EH181" s="459">
        <v>-16995.285714045778</v>
      </c>
    </row>
    <row r="182" spans="1:138" x14ac:dyDescent="0.2">
      <c r="A182" s="67">
        <v>545</v>
      </c>
      <c r="B182" s="67" t="s">
        <v>304</v>
      </c>
      <c r="C182" s="67">
        <v>15</v>
      </c>
      <c r="D182" s="67">
        <v>9584</v>
      </c>
      <c r="E182" s="82">
        <v>28822494.852646731</v>
      </c>
      <c r="F182" s="67">
        <v>12502305.407579783</v>
      </c>
      <c r="G182" s="67">
        <v>4152611</v>
      </c>
      <c r="H182" s="67">
        <v>3004080.6913821693</v>
      </c>
      <c r="I182" s="67">
        <v>10547114.542636201</v>
      </c>
      <c r="J182" s="67">
        <v>2121957.9720273744</v>
      </c>
      <c r="K182" s="67">
        <v>1675760.1126260478</v>
      </c>
      <c r="L182" s="67">
        <v>363744</v>
      </c>
      <c r="M182" s="68">
        <v>-62083.85</v>
      </c>
      <c r="N182" s="68">
        <v>81209.032828135954</v>
      </c>
      <c r="O182" s="68">
        <v>-278926.66371949681</v>
      </c>
      <c r="P182" s="168">
        <f t="shared" si="78"/>
        <v>5285277.3927134881</v>
      </c>
      <c r="Q182" s="169">
        <f t="shared" si="79"/>
        <v>551.46884314623208</v>
      </c>
      <c r="R182" s="67"/>
      <c r="S182" s="82">
        <v>68809000</v>
      </c>
      <c r="T182" s="67">
        <v>29261336.865230851</v>
      </c>
      <c r="U182" s="67">
        <v>4514989.9019999672</v>
      </c>
      <c r="V182" s="67">
        <v>30239191.998645641</v>
      </c>
      <c r="W182" s="67">
        <v>7077016.5877885977</v>
      </c>
      <c r="X182" s="67">
        <v>4454271.1500000004</v>
      </c>
      <c r="Y182" s="168">
        <f t="shared" si="80"/>
        <v>6737806.5036650598</v>
      </c>
      <c r="Z182" s="169">
        <f t="shared" si="81"/>
        <v>703.02655505687187</v>
      </c>
      <c r="AA182" s="67"/>
      <c r="AB182" s="77">
        <f t="shared" si="82"/>
        <v>-1452529.1109515717</v>
      </c>
      <c r="AC182" s="123">
        <f t="shared" si="83"/>
        <v>-151.5577119106398</v>
      </c>
      <c r="AE182" s="170"/>
      <c r="AF182" s="177">
        <v>1319772.7601550405</v>
      </c>
      <c r="AG182" s="177">
        <v>1151039.4765026807</v>
      </c>
      <c r="AH182" s="177">
        <v>992683.06260572956</v>
      </c>
      <c r="AI182" s="178">
        <v>832367.02676815155</v>
      </c>
      <c r="AK182" s="67">
        <f t="shared" si="84"/>
        <v>16759031.457651068</v>
      </c>
      <c r="AL182" s="67">
        <f t="shared" si="85"/>
        <v>1510909.2106177979</v>
      </c>
      <c r="AM182" s="67">
        <f t="shared" si="86"/>
        <v>19692077.45600944</v>
      </c>
      <c r="AN182" s="67">
        <f t="shared" si="87"/>
        <v>39986505.147353269</v>
      </c>
      <c r="AO182" s="67">
        <f t="shared" si="88"/>
        <v>0</v>
      </c>
      <c r="AP182" s="67">
        <f t="shared" si="89"/>
        <v>1319772.7601550405</v>
      </c>
      <c r="AQ182" s="67">
        <f t="shared" si="90"/>
        <v>1151039.4765026807</v>
      </c>
      <c r="AR182" s="67">
        <f t="shared" si="91"/>
        <v>992683.06260572956</v>
      </c>
      <c r="AS182" s="67">
        <f t="shared" si="92"/>
        <v>832367.02676815155</v>
      </c>
      <c r="AT182" s="68">
        <v>3668</v>
      </c>
      <c r="AU182" s="68"/>
      <c r="AV182" s="68"/>
      <c r="AW182" s="68">
        <v>17</v>
      </c>
      <c r="AX182" s="68">
        <v>15691.85618852579</v>
      </c>
      <c r="AY182" s="68">
        <v>-3664.865564949459</v>
      </c>
      <c r="AZ182" s="68">
        <v>4976.6375421798994</v>
      </c>
      <c r="BA182" s="299"/>
      <c r="BB182" s="67"/>
      <c r="BC182" s="67"/>
      <c r="BD182" s="67"/>
      <c r="BE182" s="67"/>
      <c r="BF182" s="67"/>
      <c r="BG182" s="67"/>
      <c r="BH182" s="67"/>
      <c r="BN182" s="299"/>
      <c r="BO182" s="67">
        <v>31232493.642364934</v>
      </c>
      <c r="BP182" s="67">
        <v>35433628.560000002</v>
      </c>
      <c r="BQ182" s="67">
        <v>40433000</v>
      </c>
      <c r="BR182" s="67">
        <v>727098.62</v>
      </c>
      <c r="BS182" s="67">
        <v>753000</v>
      </c>
      <c r="BT182" s="428">
        <v>0.57273635633389752</v>
      </c>
      <c r="BU182" s="428">
        <v>0.33464287704132473</v>
      </c>
      <c r="BV182" s="67">
        <f t="shared" si="93"/>
        <v>26322896.184396707</v>
      </c>
      <c r="BW182" s="299"/>
      <c r="BX182" s="67">
        <v>71585434</v>
      </c>
      <c r="BY182" s="67">
        <v>31232493.642364934</v>
      </c>
      <c r="BZ182" s="67">
        <v>37317430.470417708</v>
      </c>
      <c r="CA182" s="67">
        <v>19382332.295055006</v>
      </c>
      <c r="CB182" s="67">
        <f t="shared" si="94"/>
        <v>1098090.0335573521</v>
      </c>
      <c r="CC182" s="67">
        <f t="shared" si="95"/>
        <v>703.02655505687142</v>
      </c>
      <c r="CD182" s="67">
        <f t="shared" si="96"/>
        <v>520.29778561814339</v>
      </c>
      <c r="CE182" s="67">
        <f t="shared" si="97"/>
        <v>-182.72876943872802</v>
      </c>
      <c r="CF182" s="67">
        <f t="shared" si="98"/>
        <v>167.72876943872802</v>
      </c>
      <c r="CG182" s="67">
        <f t="shared" si="99"/>
        <v>152.72876943872802</v>
      </c>
      <c r="CH182" s="67">
        <f t="shared" si="100"/>
        <v>137.72876943872802</v>
      </c>
      <c r="CI182" s="67">
        <f t="shared" si="101"/>
        <v>122.72876943872802</v>
      </c>
      <c r="CJ182" s="67">
        <f t="shared" si="102"/>
        <v>1607512.5263007693</v>
      </c>
      <c r="CK182" s="67">
        <f t="shared" si="103"/>
        <v>1463752.5263007693</v>
      </c>
      <c r="CL182" s="67">
        <f t="shared" si="104"/>
        <v>1319992.5263007693</v>
      </c>
      <c r="CM182" s="67">
        <f t="shared" si="105"/>
        <v>1176232.5263007693</v>
      </c>
      <c r="CN182" s="299"/>
      <c r="CO182" s="430">
        <v>29261.336865230849</v>
      </c>
      <c r="CP182" s="430">
        <v>4514.9899019999675</v>
      </c>
      <c r="CQ182" s="430">
        <v>4152.6109999999999</v>
      </c>
      <c r="CR182" s="430">
        <v>30239191.998645641</v>
      </c>
      <c r="CS182" s="430">
        <v>10547114.542636201</v>
      </c>
      <c r="CT182" s="430">
        <v>7077016.5877885977</v>
      </c>
      <c r="CU182" s="430">
        <v>2121957.9720273744</v>
      </c>
      <c r="CV182" s="430">
        <v>363744</v>
      </c>
      <c r="CW182" s="430">
        <v>81209.032828135954</v>
      </c>
      <c r="CX182" s="430">
        <v>-62083.85</v>
      </c>
      <c r="CY182" s="430">
        <v>28822494.852646731</v>
      </c>
      <c r="CZ182" s="519"/>
      <c r="DA182" s="524">
        <v>29615.751530000001</v>
      </c>
      <c r="DB182" s="524">
        <v>4479.6824438900267</v>
      </c>
      <c r="DC182" s="520">
        <f t="shared" si="106"/>
        <v>-1</v>
      </c>
      <c r="DD182" s="440">
        <v>9562</v>
      </c>
      <c r="DE182" s="450">
        <v>31232493.642364934</v>
      </c>
      <c r="DF182" s="440">
        <v>12551830.957655007</v>
      </c>
      <c r="DG182" s="440">
        <v>4127712.3949999996</v>
      </c>
      <c r="DH182" s="440">
        <v>2702788.9424000001</v>
      </c>
      <c r="DI182" s="440">
        <v>10532102.050879579</v>
      </c>
      <c r="DJ182" s="440">
        <v>2131198.9474613033</v>
      </c>
      <c r="DK182" s="440">
        <v>1099149.4054686362</v>
      </c>
      <c r="DL182" s="440">
        <v>342164</v>
      </c>
      <c r="DM182" s="440">
        <v>-11600</v>
      </c>
      <c r="DN182" s="440">
        <v>79501.493770290079</v>
      </c>
      <c r="DO182" s="457">
        <f t="shared" si="107"/>
        <v>2322354.5502698794</v>
      </c>
      <c r="DP182" s="459">
        <f t="shared" si="108"/>
        <v>242.87330582199115</v>
      </c>
      <c r="DQ182" s="440"/>
      <c r="DR182" s="450">
        <v>71585434</v>
      </c>
      <c r="DS182" s="440">
        <v>29135534.661817703</v>
      </c>
      <c r="DT182" s="440">
        <v>4054183.4135999996</v>
      </c>
      <c r="DU182" s="440">
        <v>30224227.048645638</v>
      </c>
      <c r="DV182" s="440">
        <v>7107836.4896412026</v>
      </c>
      <c r="DW182" s="440">
        <v>4458276.3949999996</v>
      </c>
      <c r="DX182" s="457">
        <f t="shared" si="109"/>
        <v>3394624.0087045431</v>
      </c>
      <c r="DY182" s="459">
        <f t="shared" si="110"/>
        <v>355.01192310233665</v>
      </c>
      <c r="DZ182" s="440"/>
      <c r="EA182" s="457">
        <f t="shared" si="111"/>
        <v>-1072269.4584346637</v>
      </c>
      <c r="EB182" s="459">
        <f t="shared" si="112"/>
        <v>-112.1386172803455</v>
      </c>
      <c r="ED182" s="457">
        <v>1112102.0238476607</v>
      </c>
      <c r="EE182" s="458">
        <v>956282.01549860416</v>
      </c>
      <c r="EF182" s="458">
        <v>802442.18519215216</v>
      </c>
      <c r="EG182" s="458">
        <v>647631.11995059543</v>
      </c>
      <c r="EH182" s="459">
        <v>494866.70361340442</v>
      </c>
    </row>
    <row r="183" spans="1:138" x14ac:dyDescent="0.2">
      <c r="A183" s="67">
        <v>560</v>
      </c>
      <c r="B183" s="67" t="s">
        <v>305</v>
      </c>
      <c r="C183" s="67">
        <v>7</v>
      </c>
      <c r="D183" s="67">
        <v>15735</v>
      </c>
      <c r="E183" s="82">
        <v>45161679.75429596</v>
      </c>
      <c r="F183" s="67">
        <v>23228119.052426945</v>
      </c>
      <c r="G183" s="67">
        <v>4554773</v>
      </c>
      <c r="H183" s="67">
        <v>2686777.6404830175</v>
      </c>
      <c r="I183" s="67">
        <v>10988587.987124622</v>
      </c>
      <c r="J183" s="67">
        <v>2812027.5711718397</v>
      </c>
      <c r="K183" s="67">
        <v>575077.6428344422</v>
      </c>
      <c r="L183" s="67">
        <v>-1909711</v>
      </c>
      <c r="M183" s="68">
        <v>813608.99</v>
      </c>
      <c r="N183" s="68">
        <v>149158.49089222957</v>
      </c>
      <c r="O183" s="68">
        <v>-457941.47053696599</v>
      </c>
      <c r="P183" s="168">
        <f t="shared" si="78"/>
        <v>-1721201.8498998322</v>
      </c>
      <c r="Q183" s="169">
        <f t="shared" si="79"/>
        <v>-109.38683507466362</v>
      </c>
      <c r="R183" s="67"/>
      <c r="S183" s="82">
        <v>105551208.85000001</v>
      </c>
      <c r="T183" s="67">
        <v>55433616.676613711</v>
      </c>
      <c r="U183" s="67">
        <v>4038098.560567888</v>
      </c>
      <c r="V183" s="67">
        <v>31780481.683280874</v>
      </c>
      <c r="W183" s="67">
        <v>9378491.9535839241</v>
      </c>
      <c r="X183" s="67">
        <v>3458670.99</v>
      </c>
      <c r="Y183" s="168">
        <f t="shared" si="80"/>
        <v>-1461848.9859536141</v>
      </c>
      <c r="Z183" s="169">
        <f t="shared" si="81"/>
        <v>-92.904288907125149</v>
      </c>
      <c r="AA183" s="67"/>
      <c r="AB183" s="77">
        <f t="shared" si="82"/>
        <v>-259352.86394621804</v>
      </c>
      <c r="AC183" s="123">
        <f t="shared" si="83"/>
        <v>-16.482546167538484</v>
      </c>
      <c r="AE183" s="170"/>
      <c r="AF183" s="177">
        <v>41393.642349432746</v>
      </c>
      <c r="AG183" s="177">
        <v>-22935.329513088484</v>
      </c>
      <c r="AH183" s="177">
        <v>-46899.704791523691</v>
      </c>
      <c r="AI183" s="178">
        <v>-74081.385082038367</v>
      </c>
      <c r="AK183" s="67">
        <f t="shared" si="84"/>
        <v>32205497.624186765</v>
      </c>
      <c r="AL183" s="67">
        <f t="shared" si="85"/>
        <v>1351320.9200848704</v>
      </c>
      <c r="AM183" s="67">
        <f t="shared" si="86"/>
        <v>20791893.696156252</v>
      </c>
      <c r="AN183" s="67">
        <f t="shared" si="87"/>
        <v>60389529.095704049</v>
      </c>
      <c r="AO183" s="67">
        <f t="shared" si="88"/>
        <v>0</v>
      </c>
      <c r="AP183" s="67">
        <f t="shared" si="89"/>
        <v>41393.642349432746</v>
      </c>
      <c r="AQ183" s="67">
        <f t="shared" si="90"/>
        <v>-22935.329513088484</v>
      </c>
      <c r="AR183" s="67">
        <f t="shared" si="91"/>
        <v>-46899.704791523691</v>
      </c>
      <c r="AS183" s="67">
        <f t="shared" si="92"/>
        <v>-74081.385082038367</v>
      </c>
      <c r="AT183" s="68">
        <v>5425</v>
      </c>
      <c r="AU183" s="68"/>
      <c r="AV183" s="68"/>
      <c r="AW183" s="68">
        <v>0</v>
      </c>
      <c r="AX183" s="68">
        <v>16776.5326333948</v>
      </c>
      <c r="AY183" s="68">
        <v>-4139.3932940382247</v>
      </c>
      <c r="AZ183" s="68">
        <v>6566.9262156122986</v>
      </c>
      <c r="BA183" s="299"/>
      <c r="BB183" s="67"/>
      <c r="BC183" s="67"/>
      <c r="BD183" s="67"/>
      <c r="BE183" s="67"/>
      <c r="BF183" s="67"/>
      <c r="BG183" s="67"/>
      <c r="BH183" s="67"/>
      <c r="BN183" s="299"/>
      <c r="BO183" s="67">
        <v>43863311.234538421</v>
      </c>
      <c r="BP183" s="67">
        <v>53785811.720000006</v>
      </c>
      <c r="BQ183" s="67">
        <v>59301000</v>
      </c>
      <c r="BR183" s="67">
        <v>1952940.6700000002</v>
      </c>
      <c r="BS183" s="67">
        <v>1769000</v>
      </c>
      <c r="BT183" s="428">
        <v>0.58097413726522362</v>
      </c>
      <c r="BU183" s="428">
        <v>0.33464287704132478</v>
      </c>
      <c r="BV183" s="67">
        <f t="shared" si="93"/>
        <v>27933435.721402779</v>
      </c>
      <c r="BW183" s="299"/>
      <c r="BX183" s="67">
        <v>102737370</v>
      </c>
      <c r="BY183" s="67">
        <v>43863311.234538421</v>
      </c>
      <c r="BZ183" s="67">
        <v>63619721.470380291</v>
      </c>
      <c r="CA183" s="67">
        <v>30511084.508720625</v>
      </c>
      <c r="CB183" s="67">
        <f t="shared" si="94"/>
        <v>936867.12502787216</v>
      </c>
      <c r="CC183" s="67">
        <f t="shared" si="95"/>
        <v>-92.904288907125149</v>
      </c>
      <c r="CD183" s="67">
        <f t="shared" si="96"/>
        <v>-57.290810115629696</v>
      </c>
      <c r="CE183" s="67">
        <f t="shared" si="97"/>
        <v>35.613478791495453</v>
      </c>
      <c r="CF183" s="67">
        <f t="shared" si="98"/>
        <v>-20.613478791495453</v>
      </c>
      <c r="CG183" s="67">
        <f t="shared" si="99"/>
        <v>-5.6134787914954529</v>
      </c>
      <c r="CH183" s="67">
        <f t="shared" si="100"/>
        <v>0</v>
      </c>
      <c r="CI183" s="67">
        <f t="shared" si="101"/>
        <v>0</v>
      </c>
      <c r="CJ183" s="67">
        <f t="shared" si="102"/>
        <v>-324353.08878418093</v>
      </c>
      <c r="CK183" s="67">
        <f t="shared" si="103"/>
        <v>-88328.088784180945</v>
      </c>
      <c r="CL183" s="67">
        <f t="shared" si="104"/>
        <v>0</v>
      </c>
      <c r="CM183" s="67">
        <f t="shared" si="105"/>
        <v>0</v>
      </c>
      <c r="CN183" s="299"/>
      <c r="CO183" s="430">
        <v>55433.61667661371</v>
      </c>
      <c r="CP183" s="430">
        <v>4038.0985605678879</v>
      </c>
      <c r="CQ183" s="430">
        <v>4554.7730000000001</v>
      </c>
      <c r="CR183" s="430">
        <v>31780481.683280874</v>
      </c>
      <c r="CS183" s="430">
        <v>10988587.987124622</v>
      </c>
      <c r="CT183" s="430">
        <v>9378491.9535839241</v>
      </c>
      <c r="CU183" s="430">
        <v>2812027.5711718397</v>
      </c>
      <c r="CV183" s="430">
        <v>-1909711</v>
      </c>
      <c r="CW183" s="430">
        <v>149158.49089222957</v>
      </c>
      <c r="CX183" s="430">
        <v>813608.99</v>
      </c>
      <c r="CY183" s="430">
        <v>45161679.75429596</v>
      </c>
      <c r="CZ183" s="519"/>
      <c r="DA183" s="524">
        <v>55694.004460000004</v>
      </c>
      <c r="DB183" s="524">
        <v>4006.5208695273591</v>
      </c>
      <c r="DC183" s="520">
        <f t="shared" si="106"/>
        <v>-1</v>
      </c>
      <c r="DD183" s="440">
        <v>15808</v>
      </c>
      <c r="DE183" s="450">
        <v>43863311.234538421</v>
      </c>
      <c r="DF183" s="440">
        <v>23483208.249820624</v>
      </c>
      <c r="DG183" s="440">
        <v>4610566.7244999995</v>
      </c>
      <c r="DH183" s="440">
        <v>2417309.5344000002</v>
      </c>
      <c r="DI183" s="440">
        <v>10963584.776726065</v>
      </c>
      <c r="DJ183" s="440">
        <v>2812225.3469636058</v>
      </c>
      <c r="DK183" s="440">
        <v>938323.15703580657</v>
      </c>
      <c r="DL183" s="440">
        <v>-1927931</v>
      </c>
      <c r="DM183" s="440">
        <v>1803500</v>
      </c>
      <c r="DN183" s="440">
        <v>146761.73330157713</v>
      </c>
      <c r="DO183" s="457">
        <f t="shared" si="107"/>
        <v>1384237.2882092595</v>
      </c>
      <c r="DP183" s="459">
        <f t="shared" si="108"/>
        <v>87.565617928217321</v>
      </c>
      <c r="DQ183" s="440"/>
      <c r="DR183" s="450">
        <v>102737370</v>
      </c>
      <c r="DS183" s="440">
        <v>55383190.444280289</v>
      </c>
      <c r="DT183" s="440">
        <v>3625964.3016000004</v>
      </c>
      <c r="DU183" s="440">
        <v>31755537.69328085</v>
      </c>
      <c r="DV183" s="440">
        <v>9379151.5625759047</v>
      </c>
      <c r="DW183" s="440">
        <v>4486135.7244999995</v>
      </c>
      <c r="DX183" s="457">
        <f t="shared" si="109"/>
        <v>1892609.7262370437</v>
      </c>
      <c r="DY183" s="459">
        <f t="shared" si="110"/>
        <v>119.72480555649315</v>
      </c>
      <c r="DZ183" s="440"/>
      <c r="EA183" s="457">
        <f t="shared" si="111"/>
        <v>-508372.43802778423</v>
      </c>
      <c r="EB183" s="459">
        <f t="shared" si="112"/>
        <v>-32.159187628275824</v>
      </c>
      <c r="ED183" s="457">
        <v>574224.05840518011</v>
      </c>
      <c r="EE183" s="458">
        <v>316620.76495382184</v>
      </c>
      <c r="EF183" s="458">
        <v>62291.122882666066</v>
      </c>
      <c r="EG183" s="458">
        <v>9343.386869258562</v>
      </c>
      <c r="EH183" s="459">
        <v>-6088.3694012200158</v>
      </c>
    </row>
    <row r="184" spans="1:138" x14ac:dyDescent="0.2">
      <c r="A184" s="67">
        <v>561</v>
      </c>
      <c r="B184" s="67" t="s">
        <v>306</v>
      </c>
      <c r="C184" s="67">
        <v>2</v>
      </c>
      <c r="D184" s="67">
        <v>1317</v>
      </c>
      <c r="E184" s="82">
        <v>4174746.9108116589</v>
      </c>
      <c r="F184" s="67">
        <v>1660488.6122805527</v>
      </c>
      <c r="G184" s="67">
        <v>427675</v>
      </c>
      <c r="H184" s="67">
        <v>493555.05940981576</v>
      </c>
      <c r="I184" s="67">
        <v>983055.97034078452</v>
      </c>
      <c r="J184" s="67">
        <v>285287.23308439273</v>
      </c>
      <c r="K184" s="67">
        <v>450825.56534838409</v>
      </c>
      <c r="L184" s="67">
        <v>-296983</v>
      </c>
      <c r="M184" s="68">
        <v>-39487.019999999997</v>
      </c>
      <c r="N184" s="68">
        <v>11261.336811508107</v>
      </c>
      <c r="O184" s="68">
        <v>-38329.133568298967</v>
      </c>
      <c r="P184" s="168">
        <f t="shared" si="78"/>
        <v>-237397.28710451999</v>
      </c>
      <c r="Q184" s="169">
        <f t="shared" si="79"/>
        <v>-180.25610258505694</v>
      </c>
      <c r="R184" s="67"/>
      <c r="S184" s="82">
        <v>9205242.620000001</v>
      </c>
      <c r="T184" s="67">
        <v>3945764.6955070458</v>
      </c>
      <c r="U184" s="67">
        <v>741789.69816254615</v>
      </c>
      <c r="V184" s="67">
        <v>3608072.0526811765</v>
      </c>
      <c r="W184" s="67">
        <v>951471.47466524527</v>
      </c>
      <c r="X184" s="67">
        <v>91204.98000000001</v>
      </c>
      <c r="Y184" s="168">
        <f t="shared" si="80"/>
        <v>133060.28101601265</v>
      </c>
      <c r="Z184" s="169">
        <f t="shared" si="81"/>
        <v>101.03286333789875</v>
      </c>
      <c r="AA184" s="67"/>
      <c r="AB184" s="77">
        <f t="shared" si="82"/>
        <v>-370457.56812053267</v>
      </c>
      <c r="AC184" s="123">
        <f t="shared" si="83"/>
        <v>-281.2889659229557</v>
      </c>
      <c r="AE184" s="170"/>
      <c r="AF184" s="177">
        <v>352214.65138440504</v>
      </c>
      <c r="AG184" s="177">
        <v>329027.90946347866</v>
      </c>
      <c r="AH184" s="177">
        <v>307267.12095113681</v>
      </c>
      <c r="AI184" s="178">
        <v>285237.04799641116</v>
      </c>
      <c r="AK184" s="67">
        <f t="shared" si="84"/>
        <v>2285276.0832264931</v>
      </c>
      <c r="AL184" s="67">
        <f t="shared" si="85"/>
        <v>248234.63875273039</v>
      </c>
      <c r="AM184" s="67">
        <f t="shared" si="86"/>
        <v>2625016.0823403918</v>
      </c>
      <c r="AN184" s="67">
        <f t="shared" si="87"/>
        <v>5030495.7091883421</v>
      </c>
      <c r="AO184" s="67">
        <f t="shared" si="88"/>
        <v>0</v>
      </c>
      <c r="AP184" s="67">
        <f t="shared" si="89"/>
        <v>352214.65138440504</v>
      </c>
      <c r="AQ184" s="67">
        <f t="shared" si="90"/>
        <v>329027.90946347866</v>
      </c>
      <c r="AR184" s="67">
        <f t="shared" si="91"/>
        <v>307267.12095113681</v>
      </c>
      <c r="AS184" s="67">
        <f t="shared" si="92"/>
        <v>285237.04799641116</v>
      </c>
      <c r="AT184" s="68">
        <v>441</v>
      </c>
      <c r="AU184" s="68"/>
      <c r="AV184" s="68"/>
      <c r="AW184" s="68">
        <v>77</v>
      </c>
      <c r="AX184" s="68">
        <v>2058.9309139682741</v>
      </c>
      <c r="AY184" s="68">
        <v>-496.17797715050943</v>
      </c>
      <c r="AZ184" s="68">
        <v>668.81755590410046</v>
      </c>
      <c r="BA184" s="299"/>
      <c r="BB184" s="67"/>
      <c r="BC184" s="67"/>
      <c r="BD184" s="67"/>
      <c r="BE184" s="67"/>
      <c r="BF184" s="67"/>
      <c r="BG184" s="67"/>
      <c r="BH184" s="67"/>
      <c r="BN184" s="299"/>
      <c r="BO184" s="67">
        <v>3809727.0403727386</v>
      </c>
      <c r="BP184" s="67">
        <v>4736326.8599999994</v>
      </c>
      <c r="BQ184" s="67">
        <v>4798000</v>
      </c>
      <c r="BR184" s="67">
        <v>94238.66</v>
      </c>
      <c r="BS184" s="67">
        <v>102000</v>
      </c>
      <c r="BT184" s="428">
        <v>0.57917191205767693</v>
      </c>
      <c r="BU184" s="428">
        <v>0.33464287704132484</v>
      </c>
      <c r="BV184" s="67">
        <f t="shared" si="93"/>
        <v>3742025.8892696286</v>
      </c>
      <c r="BW184" s="299"/>
      <c r="BX184" s="67">
        <v>8910300</v>
      </c>
      <c r="BY184" s="67">
        <v>3809727.0403727386</v>
      </c>
      <c r="BZ184" s="67">
        <v>5089577.0708957575</v>
      </c>
      <c r="CA184" s="67">
        <v>2568328.9144373918</v>
      </c>
      <c r="CB184" s="67">
        <f t="shared" si="94"/>
        <v>379661.35544217739</v>
      </c>
      <c r="CC184" s="67">
        <f t="shared" si="95"/>
        <v>101.03286333789895</v>
      </c>
      <c r="CD184" s="67">
        <f t="shared" si="96"/>
        <v>-205.18782341869982</v>
      </c>
      <c r="CE184" s="67">
        <f t="shared" si="97"/>
        <v>-306.22068675659875</v>
      </c>
      <c r="CF184" s="67">
        <f t="shared" si="98"/>
        <v>291.22068675659875</v>
      </c>
      <c r="CG184" s="67">
        <f t="shared" si="99"/>
        <v>276.22068675659875</v>
      </c>
      <c r="CH184" s="67">
        <f t="shared" si="100"/>
        <v>261.22068675659875</v>
      </c>
      <c r="CI184" s="67">
        <f t="shared" si="101"/>
        <v>246.22068675659875</v>
      </c>
      <c r="CJ184" s="67">
        <f t="shared" si="102"/>
        <v>383537.64445844054</v>
      </c>
      <c r="CK184" s="67">
        <f t="shared" si="103"/>
        <v>363782.64445844054</v>
      </c>
      <c r="CL184" s="67">
        <f t="shared" si="104"/>
        <v>344027.64445844054</v>
      </c>
      <c r="CM184" s="67">
        <f t="shared" si="105"/>
        <v>324272.64445844054</v>
      </c>
      <c r="CN184" s="299"/>
      <c r="CO184" s="430">
        <v>3945.7646955070459</v>
      </c>
      <c r="CP184" s="430">
        <v>741.78969816254619</v>
      </c>
      <c r="CQ184" s="430">
        <v>427.67500000000001</v>
      </c>
      <c r="CR184" s="430">
        <v>3608072.0526811765</v>
      </c>
      <c r="CS184" s="430">
        <v>983055.97034078452</v>
      </c>
      <c r="CT184" s="430">
        <v>951471.47466524527</v>
      </c>
      <c r="CU184" s="430">
        <v>285287.23308439273</v>
      </c>
      <c r="CV184" s="430">
        <v>-296983</v>
      </c>
      <c r="CW184" s="430">
        <v>11261.336811508107</v>
      </c>
      <c r="CX184" s="430">
        <v>-39487.019999999997</v>
      </c>
      <c r="CY184" s="430">
        <v>4174746.9108116589</v>
      </c>
      <c r="CZ184" s="519"/>
      <c r="DA184" s="524">
        <v>4088.4836800000003</v>
      </c>
      <c r="DB184" s="524">
        <v>735.98924460767068</v>
      </c>
      <c r="DC184" s="520">
        <f t="shared" si="106"/>
        <v>-1</v>
      </c>
      <c r="DD184" s="440">
        <v>1337</v>
      </c>
      <c r="DE184" s="450">
        <v>3809727.0403727386</v>
      </c>
      <c r="DF184" s="440">
        <v>1694351.5970373915</v>
      </c>
      <c r="DG184" s="440">
        <v>429922.94800000003</v>
      </c>
      <c r="DH184" s="440">
        <v>444054.36939999997</v>
      </c>
      <c r="DI184" s="440">
        <v>980953.88854088064</v>
      </c>
      <c r="DJ184" s="440">
        <v>286414.92556078429</v>
      </c>
      <c r="DK184" s="440">
        <v>379710.31877004961</v>
      </c>
      <c r="DL184" s="440">
        <v>-296983</v>
      </c>
      <c r="DM184" s="440">
        <v>-44700</v>
      </c>
      <c r="DN184" s="440">
        <v>11176.018812061879</v>
      </c>
      <c r="DO184" s="457">
        <f t="shared" si="107"/>
        <v>75174.025748428889</v>
      </c>
      <c r="DP184" s="459">
        <f t="shared" si="108"/>
        <v>56.225898091569846</v>
      </c>
      <c r="DQ184" s="440"/>
      <c r="DR184" s="450">
        <v>8910300</v>
      </c>
      <c r="DS184" s="440">
        <v>3993572.5687957574</v>
      </c>
      <c r="DT184" s="440">
        <v>666081.55409999995</v>
      </c>
      <c r="DU184" s="440">
        <v>3605974.7226811755</v>
      </c>
      <c r="DV184" s="440">
        <v>955232.48146488471</v>
      </c>
      <c r="DW184" s="440">
        <v>88239.948000000033</v>
      </c>
      <c r="DX184" s="457">
        <f t="shared" si="109"/>
        <v>398801.27504181862</v>
      </c>
      <c r="DY184" s="459">
        <f t="shared" si="110"/>
        <v>298.28068439926597</v>
      </c>
      <c r="DZ184" s="440"/>
      <c r="EA184" s="457">
        <f t="shared" si="111"/>
        <v>-323627.24929338973</v>
      </c>
      <c r="EB184" s="459">
        <f t="shared" si="112"/>
        <v>-242.05478630769613</v>
      </c>
      <c r="ED184" s="457">
        <v>329196.81005025777</v>
      </c>
      <c r="EE184" s="458">
        <v>307409.38574962103</v>
      </c>
      <c r="EF184" s="458">
        <v>285898.83846665447</v>
      </c>
      <c r="EG184" s="458">
        <v>264252.4889343431</v>
      </c>
      <c r="EH184" s="459">
        <v>242892.31066171976</v>
      </c>
    </row>
    <row r="185" spans="1:138" x14ac:dyDescent="0.2">
      <c r="A185" s="67">
        <v>562</v>
      </c>
      <c r="B185" s="67" t="s">
        <v>307</v>
      </c>
      <c r="C185" s="67">
        <v>6</v>
      </c>
      <c r="D185" s="67">
        <v>8935</v>
      </c>
      <c r="E185" s="82">
        <v>24144722.986598745</v>
      </c>
      <c r="F185" s="67">
        <v>13911942.888415718</v>
      </c>
      <c r="G185" s="67">
        <v>3053703</v>
      </c>
      <c r="H185" s="67">
        <v>1785991.0886913671</v>
      </c>
      <c r="I185" s="67">
        <v>4851618.2045474602</v>
      </c>
      <c r="J185" s="67">
        <v>1710905.5069268346</v>
      </c>
      <c r="K185" s="67">
        <v>-360295.99720420444</v>
      </c>
      <c r="L185" s="67">
        <v>-581202</v>
      </c>
      <c r="M185" s="68">
        <v>261254.63000000003</v>
      </c>
      <c r="N185" s="68">
        <v>83125.694429346593</v>
      </c>
      <c r="O185" s="68">
        <v>-260038.57891628795</v>
      </c>
      <c r="P185" s="168">
        <f t="shared" si="78"/>
        <v>312281.45029148925</v>
      </c>
      <c r="Q185" s="169">
        <f t="shared" si="79"/>
        <v>34.950358174760972</v>
      </c>
      <c r="R185" s="67"/>
      <c r="S185" s="82">
        <v>64639241.950000003</v>
      </c>
      <c r="T185" s="67">
        <v>31714814.772313111</v>
      </c>
      <c r="U185" s="67">
        <v>2684259.3654810749</v>
      </c>
      <c r="V185" s="67">
        <v>21739906.92005543</v>
      </c>
      <c r="W185" s="67">
        <v>5706101.0690478776</v>
      </c>
      <c r="X185" s="67">
        <v>2733755.63</v>
      </c>
      <c r="Y185" s="168">
        <f t="shared" si="80"/>
        <v>-60404.193102508783</v>
      </c>
      <c r="Z185" s="169">
        <f t="shared" si="81"/>
        <v>-6.7604021379416661</v>
      </c>
      <c r="AA185" s="67"/>
      <c r="AB185" s="77">
        <f t="shared" si="82"/>
        <v>372685.64339399803</v>
      </c>
      <c r="AC185" s="123">
        <f t="shared" si="83"/>
        <v>41.710760312702632</v>
      </c>
      <c r="AE185" s="170"/>
      <c r="AF185" s="177">
        <v>-228402.12861593821</v>
      </c>
      <c r="AG185" s="177">
        <v>-117659.29571045379</v>
      </c>
      <c r="AH185" s="177">
        <v>-26631.640439292289</v>
      </c>
      <c r="AI185" s="178">
        <v>-42066.55072818639</v>
      </c>
      <c r="AK185" s="67">
        <f t="shared" si="84"/>
        <v>17802871.883897394</v>
      </c>
      <c r="AL185" s="67">
        <f t="shared" si="85"/>
        <v>898268.27678970783</v>
      </c>
      <c r="AM185" s="67">
        <f t="shared" si="86"/>
        <v>16888288.715507969</v>
      </c>
      <c r="AN185" s="67">
        <f t="shared" si="87"/>
        <v>40494518.963401258</v>
      </c>
      <c r="AO185" s="67">
        <f t="shared" si="88"/>
        <v>0</v>
      </c>
      <c r="AP185" s="67">
        <f t="shared" si="89"/>
        <v>-228402.12861593821</v>
      </c>
      <c r="AQ185" s="67">
        <f t="shared" si="90"/>
        <v>-117659.29571045379</v>
      </c>
      <c r="AR185" s="67">
        <f t="shared" si="91"/>
        <v>-26631.640439292289</v>
      </c>
      <c r="AS185" s="67">
        <f t="shared" si="92"/>
        <v>-42066.55072818639</v>
      </c>
      <c r="AT185" s="68">
        <v>2926</v>
      </c>
      <c r="AU185" s="68"/>
      <c r="AV185" s="68"/>
      <c r="AW185" s="68">
        <v>0</v>
      </c>
      <c r="AX185" s="68">
        <v>14393.863977553778</v>
      </c>
      <c r="AY185" s="68">
        <v>-2626.9130498787299</v>
      </c>
      <c r="AZ185" s="68">
        <v>3993.3442210099047</v>
      </c>
      <c r="BA185" s="299"/>
      <c r="BB185" s="67"/>
      <c r="BC185" s="67"/>
      <c r="BD185" s="67"/>
      <c r="BE185" s="67"/>
      <c r="BF185" s="67"/>
      <c r="BG185" s="67"/>
      <c r="BH185" s="67"/>
      <c r="BN185" s="299"/>
      <c r="BO185" s="67">
        <v>24174001.482395358</v>
      </c>
      <c r="BP185" s="67">
        <v>37832026.57</v>
      </c>
      <c r="BQ185" s="67">
        <v>39065000</v>
      </c>
      <c r="BR185" s="67">
        <v>706539.4</v>
      </c>
      <c r="BS185" s="67">
        <v>726000</v>
      </c>
      <c r="BT185" s="428">
        <v>0.56134245183860321</v>
      </c>
      <c r="BU185" s="428">
        <v>0.33464287704132478</v>
      </c>
      <c r="BV185" s="67">
        <f t="shared" si="93"/>
        <v>20523188.280424811</v>
      </c>
      <c r="BW185" s="299"/>
      <c r="BX185" s="67">
        <v>64065078</v>
      </c>
      <c r="BY185" s="67">
        <v>24174001.482395358</v>
      </c>
      <c r="BZ185" s="67">
        <v>37261010.622152612</v>
      </c>
      <c r="CA185" s="67">
        <v>18800612.880602062</v>
      </c>
      <c r="CB185" s="67">
        <f t="shared" si="94"/>
        <v>-302135.80655709904</v>
      </c>
      <c r="CC185" s="67">
        <f t="shared" si="95"/>
        <v>-6.76040213794177</v>
      </c>
      <c r="CD185" s="67">
        <f t="shared" si="96"/>
        <v>70.562979278666219</v>
      </c>
      <c r="CE185" s="67">
        <f t="shared" si="97"/>
        <v>77.323381416607987</v>
      </c>
      <c r="CF185" s="67">
        <f t="shared" si="98"/>
        <v>-62.323381416607987</v>
      </c>
      <c r="CG185" s="67">
        <f t="shared" si="99"/>
        <v>-47.323381416607987</v>
      </c>
      <c r="CH185" s="67">
        <f t="shared" si="100"/>
        <v>-32.323381416607987</v>
      </c>
      <c r="CI185" s="67">
        <f t="shared" si="101"/>
        <v>-17.323381416607987</v>
      </c>
      <c r="CJ185" s="67">
        <f t="shared" si="102"/>
        <v>-556859.4129573924</v>
      </c>
      <c r="CK185" s="67">
        <f t="shared" si="103"/>
        <v>-422834.41295739234</v>
      </c>
      <c r="CL185" s="67">
        <f t="shared" si="104"/>
        <v>-288809.41295739234</v>
      </c>
      <c r="CM185" s="67">
        <f t="shared" si="105"/>
        <v>-154784.41295739237</v>
      </c>
      <c r="CN185" s="299"/>
      <c r="CO185" s="430">
        <v>31714.814772313111</v>
      </c>
      <c r="CP185" s="430">
        <v>2684.2593654810748</v>
      </c>
      <c r="CQ185" s="430">
        <v>3053.703</v>
      </c>
      <c r="CR185" s="430">
        <v>21739906.92005543</v>
      </c>
      <c r="CS185" s="430">
        <v>4851618.2045474602</v>
      </c>
      <c r="CT185" s="430">
        <v>5706101.0690478776</v>
      </c>
      <c r="CU185" s="430">
        <v>1710905.5069268346</v>
      </c>
      <c r="CV185" s="430">
        <v>-581202</v>
      </c>
      <c r="CW185" s="430">
        <v>83125.694429346593</v>
      </c>
      <c r="CX185" s="430">
        <v>261254.63000000003</v>
      </c>
      <c r="CY185" s="430">
        <v>24144722.986598745</v>
      </c>
      <c r="CZ185" s="519"/>
      <c r="DA185" s="524">
        <v>32117.641889999999</v>
      </c>
      <c r="DB185" s="524">
        <v>2663.2685744738487</v>
      </c>
      <c r="DC185" s="520">
        <f t="shared" si="106"/>
        <v>-1</v>
      </c>
      <c r="DD185" s="440">
        <v>8978</v>
      </c>
      <c r="DE185" s="450">
        <v>24174001.482395358</v>
      </c>
      <c r="DF185" s="440">
        <v>14116445.965602061</v>
      </c>
      <c r="DG185" s="440">
        <v>3077300.3020000006</v>
      </c>
      <c r="DH185" s="440">
        <v>1606866.6130000001</v>
      </c>
      <c r="DI185" s="440">
        <v>4837460.0606380608</v>
      </c>
      <c r="DJ185" s="440">
        <v>1710112.6872380413</v>
      </c>
      <c r="DK185" s="440">
        <v>-301344.2472770341</v>
      </c>
      <c r="DL185" s="440">
        <v>-583528</v>
      </c>
      <c r="DM185" s="440">
        <v>-155000</v>
      </c>
      <c r="DN185" s="440">
        <v>81830.006264645315</v>
      </c>
      <c r="DO185" s="457">
        <f t="shared" si="107"/>
        <v>216141.90507041663</v>
      </c>
      <c r="DP185" s="459">
        <f t="shared" si="108"/>
        <v>24.074616292093634</v>
      </c>
      <c r="DQ185" s="440"/>
      <c r="DR185" s="450">
        <v>64065078</v>
      </c>
      <c r="DS185" s="440">
        <v>31773410.40065261</v>
      </c>
      <c r="DT185" s="440">
        <v>2410299.9194999998</v>
      </c>
      <c r="DU185" s="440">
        <v>21725789.830055423</v>
      </c>
      <c r="DV185" s="440">
        <v>5703456.9082479458</v>
      </c>
      <c r="DW185" s="440">
        <v>2338772.3020000006</v>
      </c>
      <c r="DX185" s="457">
        <f t="shared" si="109"/>
        <v>-113348.63954401761</v>
      </c>
      <c r="DY185" s="459">
        <f t="shared" si="110"/>
        <v>-12.625154772111562</v>
      </c>
      <c r="DZ185" s="440"/>
      <c r="EA185" s="457">
        <f t="shared" si="111"/>
        <v>329490.54461443424</v>
      </c>
      <c r="EB185" s="459">
        <f t="shared" si="112"/>
        <v>36.699771064205194</v>
      </c>
      <c r="ED185" s="457">
        <v>-292090.75667489722</v>
      </c>
      <c r="EE185" s="458">
        <v>-169054.04416264358</v>
      </c>
      <c r="EF185" s="458">
        <v>-44158.093157762312</v>
      </c>
      <c r="EG185" s="458">
        <v>5306.4857864501118</v>
      </c>
      <c r="EH185" s="459">
        <v>-3457.8302431777142</v>
      </c>
    </row>
    <row r="186" spans="1:138" x14ac:dyDescent="0.2">
      <c r="A186" s="67">
        <v>563</v>
      </c>
      <c r="B186" s="67" t="s">
        <v>308</v>
      </c>
      <c r="C186" s="67">
        <v>17</v>
      </c>
      <c r="D186" s="67">
        <v>7025</v>
      </c>
      <c r="E186" s="82">
        <v>24050615.564161286</v>
      </c>
      <c r="F186" s="67">
        <v>10169499.280998461</v>
      </c>
      <c r="G186" s="67">
        <v>2137060</v>
      </c>
      <c r="H186" s="67">
        <v>1205362.3926531912</v>
      </c>
      <c r="I186" s="67">
        <v>6410666.6019456359</v>
      </c>
      <c r="J186" s="67">
        <v>1302524.839191502</v>
      </c>
      <c r="K186" s="67">
        <v>268242.8762147766</v>
      </c>
      <c r="L186" s="67">
        <v>-388633</v>
      </c>
      <c r="M186" s="68">
        <v>324835.56</v>
      </c>
      <c r="N186" s="68">
        <v>60146.803738159069</v>
      </c>
      <c r="O186" s="68">
        <v>-204451.14906400928</v>
      </c>
      <c r="P186" s="168">
        <f t="shared" si="78"/>
        <v>-2765361.3584835688</v>
      </c>
      <c r="Q186" s="169">
        <f t="shared" si="79"/>
        <v>-393.64574497986746</v>
      </c>
      <c r="R186" s="67"/>
      <c r="S186" s="82">
        <v>59766000</v>
      </c>
      <c r="T186" s="67">
        <v>23094741.153650504</v>
      </c>
      <c r="U186" s="67">
        <v>1811602.1472697984</v>
      </c>
      <c r="V186" s="67">
        <v>25189654.179884568</v>
      </c>
      <c r="W186" s="67">
        <v>4344096.3555738218</v>
      </c>
      <c r="X186" s="67">
        <v>2073262.56</v>
      </c>
      <c r="Y186" s="168">
        <f t="shared" si="80"/>
        <v>-3252643.603621304</v>
      </c>
      <c r="Z186" s="169">
        <f t="shared" si="81"/>
        <v>-463.00976564004327</v>
      </c>
      <c r="AA186" s="67"/>
      <c r="AB186" s="77">
        <f t="shared" si="82"/>
        <v>487282.24513773527</v>
      </c>
      <c r="AC186" s="123">
        <f t="shared" si="83"/>
        <v>69.364020660175839</v>
      </c>
      <c r="AE186" s="170"/>
      <c r="AF186" s="177">
        <v>-373841.65293674421</v>
      </c>
      <c r="AG186" s="177">
        <v>-286771.88224160956</v>
      </c>
      <c r="AH186" s="177">
        <v>-192095.9439722106</v>
      </c>
      <c r="AI186" s="178">
        <v>-98856.393863590696</v>
      </c>
      <c r="AK186" s="67">
        <f t="shared" si="84"/>
        <v>12925241.872652043</v>
      </c>
      <c r="AL186" s="67">
        <f t="shared" si="85"/>
        <v>606239.75461660721</v>
      </c>
      <c r="AM186" s="67">
        <f t="shared" si="86"/>
        <v>18778987.577938933</v>
      </c>
      <c r="AN186" s="67">
        <f t="shared" si="87"/>
        <v>35715384.435838714</v>
      </c>
      <c r="AO186" s="67">
        <f t="shared" si="88"/>
        <v>0</v>
      </c>
      <c r="AP186" s="67">
        <f t="shared" si="89"/>
        <v>-373841.65293674421</v>
      </c>
      <c r="AQ186" s="67">
        <f t="shared" si="90"/>
        <v>-286771.88224160956</v>
      </c>
      <c r="AR186" s="67">
        <f t="shared" si="91"/>
        <v>-192095.9439722106</v>
      </c>
      <c r="AS186" s="67">
        <f t="shared" si="92"/>
        <v>-98856.393863590696</v>
      </c>
      <c r="AT186" s="68">
        <v>2552</v>
      </c>
      <c r="AU186" s="68"/>
      <c r="AV186" s="68"/>
      <c r="AW186" s="68">
        <v>27</v>
      </c>
      <c r="AX186" s="68">
        <v>16691.590681407386</v>
      </c>
      <c r="AY186" s="68">
        <v>-2753.507725812482</v>
      </c>
      <c r="AZ186" s="68">
        <v>3043.5862050396363</v>
      </c>
      <c r="BA186" s="299"/>
      <c r="BB186" s="67"/>
      <c r="BC186" s="67"/>
      <c r="BD186" s="67"/>
      <c r="BE186" s="67"/>
      <c r="BF186" s="67"/>
      <c r="BG186" s="67"/>
      <c r="BH186" s="67"/>
      <c r="BN186" s="299"/>
      <c r="BO186" s="67">
        <v>21562929.669172376</v>
      </c>
      <c r="BP186" s="67">
        <v>33839844.240000002</v>
      </c>
      <c r="BQ186" s="67">
        <v>33172000</v>
      </c>
      <c r="BR186" s="67">
        <v>975166.02</v>
      </c>
      <c r="BS186" s="67">
        <v>1096000</v>
      </c>
      <c r="BT186" s="428">
        <v>0.55966169036750579</v>
      </c>
      <c r="BU186" s="428">
        <v>0.33464287704132484</v>
      </c>
      <c r="BV186" s="67">
        <f t="shared" si="93"/>
        <v>22088801.970536027</v>
      </c>
      <c r="BW186" s="299"/>
      <c r="BX186" s="67">
        <v>57134017.420000002</v>
      </c>
      <c r="BY186" s="67">
        <v>21562929.669172376</v>
      </c>
      <c r="BZ186" s="67">
        <v>27528378.413696215</v>
      </c>
      <c r="CA186" s="67">
        <v>13782959.921894522</v>
      </c>
      <c r="CB186" s="67">
        <f t="shared" si="94"/>
        <v>359892.44920920004</v>
      </c>
      <c r="CC186" s="67">
        <f t="shared" si="95"/>
        <v>-463.0097656400431</v>
      </c>
      <c r="CD186" s="67">
        <f t="shared" si="96"/>
        <v>-351.49617600357811</v>
      </c>
      <c r="CE186" s="67">
        <f t="shared" si="97"/>
        <v>111.51358963646499</v>
      </c>
      <c r="CF186" s="67">
        <f t="shared" si="98"/>
        <v>-96.513589636464985</v>
      </c>
      <c r="CG186" s="67">
        <f t="shared" si="99"/>
        <v>-81.513589636464985</v>
      </c>
      <c r="CH186" s="67">
        <f t="shared" si="100"/>
        <v>-66.513589636464985</v>
      </c>
      <c r="CI186" s="67">
        <f t="shared" si="101"/>
        <v>-51.513589636464985</v>
      </c>
      <c r="CJ186" s="67">
        <f t="shared" si="102"/>
        <v>-678007.96719616652</v>
      </c>
      <c r="CK186" s="67">
        <f t="shared" si="103"/>
        <v>-572632.96719616652</v>
      </c>
      <c r="CL186" s="67">
        <f t="shared" si="104"/>
        <v>-467257.96719616652</v>
      </c>
      <c r="CM186" s="67">
        <f t="shared" si="105"/>
        <v>-361882.96719616652</v>
      </c>
      <c r="CN186" s="299"/>
      <c r="CO186" s="430">
        <v>23094.741153650502</v>
      </c>
      <c r="CP186" s="430">
        <v>1811.6021472697985</v>
      </c>
      <c r="CQ186" s="430">
        <v>2137.06</v>
      </c>
      <c r="CR186" s="430">
        <v>25189654.179884568</v>
      </c>
      <c r="CS186" s="430">
        <v>6410666.6019456359</v>
      </c>
      <c r="CT186" s="430">
        <v>4344096.3555738218</v>
      </c>
      <c r="CU186" s="430">
        <v>1302524.839191502</v>
      </c>
      <c r="CV186" s="430">
        <v>-388633</v>
      </c>
      <c r="CW186" s="430">
        <v>60146.803738159069</v>
      </c>
      <c r="CX186" s="430">
        <v>324835.56</v>
      </c>
      <c r="CY186" s="430">
        <v>24050615.564161286</v>
      </c>
      <c r="CZ186" s="519"/>
      <c r="DA186" s="524">
        <v>23693.013760000002</v>
      </c>
      <c r="DB186" s="524">
        <v>1797.4349102381429</v>
      </c>
      <c r="DC186" s="520">
        <f t="shared" si="106"/>
        <v>-1</v>
      </c>
      <c r="DD186" s="440">
        <v>7102</v>
      </c>
      <c r="DE186" s="450">
        <v>21562929.669172376</v>
      </c>
      <c r="DF186" s="440">
        <v>10555757.952194523</v>
      </c>
      <c r="DG186" s="440">
        <v>2142730.3854999999</v>
      </c>
      <c r="DH186" s="440">
        <v>1084471.5841999999</v>
      </c>
      <c r="DI186" s="440">
        <v>6399388.4689947842</v>
      </c>
      <c r="DJ186" s="440">
        <v>1303387.6109544765</v>
      </c>
      <c r="DK186" s="440">
        <v>359417.74274852534</v>
      </c>
      <c r="DL186" s="440">
        <v>-345425</v>
      </c>
      <c r="DM186" s="440">
        <v>855706</v>
      </c>
      <c r="DN186" s="440">
        <v>60929.764192601273</v>
      </c>
      <c r="DO186" s="457">
        <f t="shared" si="107"/>
        <v>853434.83961253613</v>
      </c>
      <c r="DP186" s="459">
        <f t="shared" si="108"/>
        <v>120.16823987785639</v>
      </c>
      <c r="DQ186" s="440"/>
      <c r="DR186" s="450">
        <v>57134017.420000002</v>
      </c>
      <c r="DS186" s="440">
        <v>23758940.651896216</v>
      </c>
      <c r="DT186" s="440">
        <v>1626707.3762999999</v>
      </c>
      <c r="DU186" s="440">
        <v>25178400.179884568</v>
      </c>
      <c r="DV186" s="440">
        <v>4346973.8159941128</v>
      </c>
      <c r="DW186" s="440">
        <v>2653011.3854999999</v>
      </c>
      <c r="DX186" s="457">
        <f t="shared" si="109"/>
        <v>430015.98957489431</v>
      </c>
      <c r="DY186" s="459">
        <f t="shared" si="110"/>
        <v>60.548576397478783</v>
      </c>
      <c r="DZ186" s="440"/>
      <c r="EA186" s="457">
        <f t="shared" si="111"/>
        <v>423418.85003764182</v>
      </c>
      <c r="EB186" s="459">
        <f t="shared" si="112"/>
        <v>59.619663480377618</v>
      </c>
      <c r="ED186" s="457">
        <v>-393833.94316008722</v>
      </c>
      <c r="EE186" s="458">
        <v>-296506.39445636421</v>
      </c>
      <c r="EF186" s="458">
        <v>-197708.10485548794</v>
      </c>
      <c r="EG186" s="458">
        <v>-99631.182176711096</v>
      </c>
      <c r="EH186" s="459">
        <v>-2735.2985505734155</v>
      </c>
    </row>
    <row r="187" spans="1:138" x14ac:dyDescent="0.2">
      <c r="A187" s="67">
        <v>564</v>
      </c>
      <c r="B187" s="67" t="s">
        <v>309</v>
      </c>
      <c r="C187" s="67">
        <v>17</v>
      </c>
      <c r="D187" s="67">
        <v>211848</v>
      </c>
      <c r="E187" s="82">
        <v>414581880.29331243</v>
      </c>
      <c r="F187" s="67">
        <v>320487753.74818903</v>
      </c>
      <c r="G187" s="67">
        <v>63462841</v>
      </c>
      <c r="H187" s="67">
        <v>45798259.997830011</v>
      </c>
      <c r="I187" s="67">
        <v>118348006.72697836</v>
      </c>
      <c r="J187" s="67">
        <v>28631186.758485146</v>
      </c>
      <c r="K187" s="67">
        <v>-12366375.192438386</v>
      </c>
      <c r="L187" s="67">
        <v>9631</v>
      </c>
      <c r="M187" s="68">
        <v>15740549.01</v>
      </c>
      <c r="N187" s="68">
        <v>2324198.4578776895</v>
      </c>
      <c r="O187" s="68">
        <v>-6165489.9682437349</v>
      </c>
      <c r="P187" s="168">
        <f t="shared" si="78"/>
        <v>161688681.24536571</v>
      </c>
      <c r="Q187" s="169">
        <f t="shared" si="79"/>
        <v>763.22967998454419</v>
      </c>
      <c r="R187" s="67"/>
      <c r="S187" s="82">
        <v>1158380382.3499999</v>
      </c>
      <c r="T187" s="67">
        <v>820338202.96017098</v>
      </c>
      <c r="U187" s="67">
        <v>68832598.942018852</v>
      </c>
      <c r="V187" s="67">
        <v>249402691.69645357</v>
      </c>
      <c r="W187" s="67">
        <v>95488876.918839708</v>
      </c>
      <c r="X187" s="67">
        <v>79213021.010000005</v>
      </c>
      <c r="Y187" s="168">
        <f t="shared" si="80"/>
        <v>154895009.17748308</v>
      </c>
      <c r="Z187" s="169">
        <f t="shared" si="81"/>
        <v>731.16106443054969</v>
      </c>
      <c r="AA187" s="67"/>
      <c r="AB187" s="77">
        <f t="shared" si="82"/>
        <v>6793672.0678826272</v>
      </c>
      <c r="AC187" s="123">
        <f t="shared" si="83"/>
        <v>32.068615553994505</v>
      </c>
      <c r="AE187" s="170"/>
      <c r="AF187" s="177">
        <v>-3372723.6584028285</v>
      </c>
      <c r="AG187" s="177">
        <v>-747021.62534618983</v>
      </c>
      <c r="AH187" s="177">
        <v>-631433.66130757611</v>
      </c>
      <c r="AI187" s="178">
        <v>-997393.91591100499</v>
      </c>
      <c r="AK187" s="67">
        <f t="shared" si="84"/>
        <v>499850449.21198195</v>
      </c>
      <c r="AL187" s="67">
        <f t="shared" si="85"/>
        <v>23034338.944188841</v>
      </c>
      <c r="AM187" s="67">
        <f t="shared" si="86"/>
        <v>131054684.96947521</v>
      </c>
      <c r="AN187" s="67">
        <f t="shared" si="87"/>
        <v>743798502.05668747</v>
      </c>
      <c r="AO187" s="67">
        <f t="shared" si="88"/>
        <v>0</v>
      </c>
      <c r="AP187" s="67">
        <f t="shared" si="89"/>
        <v>-3372723.6584028285</v>
      </c>
      <c r="AQ187" s="67">
        <f t="shared" si="90"/>
        <v>-747021.62534618983</v>
      </c>
      <c r="AR187" s="67">
        <f t="shared" si="91"/>
        <v>-631433.66130757611</v>
      </c>
      <c r="AS187" s="67">
        <f t="shared" si="92"/>
        <v>-997393.91591100499</v>
      </c>
      <c r="AT187" s="68">
        <v>94966</v>
      </c>
      <c r="AU187" s="68"/>
      <c r="AV187" s="68"/>
      <c r="AW187" s="68">
        <v>953</v>
      </c>
      <c r="AX187" s="68">
        <v>125510.38678729477</v>
      </c>
      <c r="AY187" s="68">
        <v>-4093.7201217709739</v>
      </c>
      <c r="AZ187" s="68">
        <v>66944.202069628227</v>
      </c>
      <c r="BA187" s="299"/>
      <c r="BB187" s="67"/>
      <c r="BC187" s="67"/>
      <c r="BD187" s="67"/>
      <c r="BE187" s="67"/>
      <c r="BF187" s="67"/>
      <c r="BG187" s="67"/>
      <c r="BH187" s="67"/>
      <c r="BN187" s="299"/>
      <c r="BO187" s="67">
        <v>552042380.73809469</v>
      </c>
      <c r="BP187" s="67">
        <v>683329529.27999973</v>
      </c>
      <c r="BQ187" s="67">
        <v>725646000</v>
      </c>
      <c r="BR187" s="67">
        <v>13676401.08</v>
      </c>
      <c r="BS187" s="67">
        <v>16087000</v>
      </c>
      <c r="BT187" s="428">
        <v>0.60932240801206561</v>
      </c>
      <c r="BU187" s="428">
        <v>0.33464287704132484</v>
      </c>
      <c r="BV187" s="67">
        <f t="shared" si="93"/>
        <v>185545999.93739137</v>
      </c>
      <c r="BW187" s="299"/>
      <c r="BX187" s="67">
        <v>1283517437.71</v>
      </c>
      <c r="BY187" s="67">
        <v>552042380.73809469</v>
      </c>
      <c r="BZ187" s="67">
        <v>917706541.15987206</v>
      </c>
      <c r="CA187" s="67">
        <v>419079828.99260467</v>
      </c>
      <c r="CB187" s="67">
        <f t="shared" si="94"/>
        <v>-23229686.805742342</v>
      </c>
      <c r="CC187" s="67">
        <f t="shared" si="95"/>
        <v>731.16106443055037</v>
      </c>
      <c r="CD187" s="67">
        <f t="shared" si="96"/>
        <v>741.05424455413993</v>
      </c>
      <c r="CE187" s="67">
        <f t="shared" si="97"/>
        <v>9.8931801235895591</v>
      </c>
      <c r="CF187" s="67">
        <f t="shared" si="98"/>
        <v>0</v>
      </c>
      <c r="CG187" s="67">
        <f t="shared" si="99"/>
        <v>0</v>
      </c>
      <c r="CH187" s="67">
        <f t="shared" si="100"/>
        <v>0</v>
      </c>
      <c r="CI187" s="67">
        <f t="shared" si="101"/>
        <v>0</v>
      </c>
      <c r="CJ187" s="67">
        <f t="shared" si="102"/>
        <v>0</v>
      </c>
      <c r="CK187" s="67">
        <f t="shared" si="103"/>
        <v>0</v>
      </c>
      <c r="CL187" s="67">
        <f t="shared" si="104"/>
        <v>0</v>
      </c>
      <c r="CM187" s="67">
        <f t="shared" si="105"/>
        <v>0</v>
      </c>
      <c r="CN187" s="299"/>
      <c r="CO187" s="430">
        <v>820338.20296017104</v>
      </c>
      <c r="CP187" s="430">
        <v>68832.598942018856</v>
      </c>
      <c r="CQ187" s="430">
        <v>63462.841</v>
      </c>
      <c r="CR187" s="430">
        <v>249402691.69645357</v>
      </c>
      <c r="CS187" s="430">
        <v>118348006.72697836</v>
      </c>
      <c r="CT187" s="430">
        <v>95488876.918839708</v>
      </c>
      <c r="CU187" s="430">
        <v>28631186.758485146</v>
      </c>
      <c r="CV187" s="430">
        <v>9631</v>
      </c>
      <c r="CW187" s="430">
        <v>2324198.4578776895</v>
      </c>
      <c r="CX187" s="430">
        <v>15740549.01</v>
      </c>
      <c r="CY187" s="430">
        <v>414581880.29331243</v>
      </c>
      <c r="CZ187" s="519"/>
      <c r="DA187" s="524">
        <v>819691.11499999999</v>
      </c>
      <c r="DB187" s="524">
        <v>68294.340712822377</v>
      </c>
      <c r="DC187" s="520">
        <f t="shared" si="106"/>
        <v>-1</v>
      </c>
      <c r="DD187" s="440">
        <v>209551</v>
      </c>
      <c r="DE187" s="450">
        <v>552042380.73809469</v>
      </c>
      <c r="DF187" s="440">
        <v>313130806.70730466</v>
      </c>
      <c r="DG187" s="440">
        <v>64744060.295299999</v>
      </c>
      <c r="DH187" s="440">
        <v>41204961.990000002</v>
      </c>
      <c r="DI187" s="440">
        <v>118021430.97288211</v>
      </c>
      <c r="DJ187" s="440">
        <v>28668234.682595477</v>
      </c>
      <c r="DK187" s="440">
        <v>-23160296.368695986</v>
      </c>
      <c r="DL187" s="440">
        <v>-1815503</v>
      </c>
      <c r="DM187" s="440">
        <v>5026862.08</v>
      </c>
      <c r="DN187" s="440">
        <v>2210278.8656892632</v>
      </c>
      <c r="DO187" s="457">
        <f t="shared" si="107"/>
        <v>-4011544.5130192041</v>
      </c>
      <c r="DP187" s="459">
        <f t="shared" si="108"/>
        <v>-19.143523595779566</v>
      </c>
      <c r="DQ187" s="440"/>
      <c r="DR187" s="450">
        <v>1283517437.71</v>
      </c>
      <c r="DS187" s="440">
        <v>791155037.87957203</v>
      </c>
      <c r="DT187" s="440">
        <v>61807442.984999999</v>
      </c>
      <c r="DU187" s="440">
        <v>249076821.36645353</v>
      </c>
      <c r="DV187" s="440">
        <v>95612436.7522237</v>
      </c>
      <c r="DW187" s="440">
        <v>67955419.375300005</v>
      </c>
      <c r="DX187" s="457">
        <f t="shared" si="109"/>
        <v>-17910279.351450682</v>
      </c>
      <c r="DY187" s="459">
        <f t="shared" si="110"/>
        <v>-85.469787075464595</v>
      </c>
      <c r="DZ187" s="440"/>
      <c r="EA187" s="457">
        <f t="shared" si="111"/>
        <v>13898734.838431478</v>
      </c>
      <c r="EB187" s="459">
        <f t="shared" si="112"/>
        <v>66.326263479685025</v>
      </c>
      <c r="ED187" s="457">
        <v>-13025805.125520181</v>
      </c>
      <c r="EE187" s="458">
        <v>-10154066.86046613</v>
      </c>
      <c r="EF187" s="458">
        <v>-7238933.0412386991</v>
      </c>
      <c r="EG187" s="458">
        <v>-4345083.8122524451</v>
      </c>
      <c r="EH187" s="459">
        <v>-1406382.3217561818</v>
      </c>
    </row>
    <row r="188" spans="1:138" x14ac:dyDescent="0.2">
      <c r="A188" s="67">
        <v>309</v>
      </c>
      <c r="B188" s="67" t="s">
        <v>310</v>
      </c>
      <c r="C188" s="67">
        <v>12</v>
      </c>
      <c r="D188" s="67">
        <v>6457</v>
      </c>
      <c r="E188" s="82">
        <v>16856396.663703166</v>
      </c>
      <c r="F188" s="67">
        <v>8011650.569904319</v>
      </c>
      <c r="G188" s="67">
        <v>1573630</v>
      </c>
      <c r="H188" s="67">
        <v>1008917.1665499614</v>
      </c>
      <c r="I188" s="67">
        <v>4462631.7815837059</v>
      </c>
      <c r="J188" s="67">
        <v>1241762.1980564659</v>
      </c>
      <c r="K188" s="67">
        <v>-1539833.7131683042</v>
      </c>
      <c r="L188" s="67">
        <v>-552696</v>
      </c>
      <c r="M188" s="68">
        <v>-3931137.75</v>
      </c>
      <c r="N188" s="68">
        <v>49720.692421163942</v>
      </c>
      <c r="O188" s="68">
        <v>-187920.4369403997</v>
      </c>
      <c r="P188" s="168">
        <f t="shared" si="78"/>
        <v>-6719672.155296253</v>
      </c>
      <c r="Q188" s="169">
        <f t="shared" si="79"/>
        <v>-1040.6802160904836</v>
      </c>
      <c r="R188" s="67"/>
      <c r="S188" s="82">
        <v>50100228.040000007</v>
      </c>
      <c r="T188" s="67">
        <v>18690088.516662456</v>
      </c>
      <c r="U188" s="67">
        <v>1516354.3482687336</v>
      </c>
      <c r="V188" s="67">
        <v>20720384.226599969</v>
      </c>
      <c r="W188" s="67">
        <v>4141444.7362207561</v>
      </c>
      <c r="X188" s="67">
        <v>-2910203.75</v>
      </c>
      <c r="Y188" s="168">
        <f t="shared" si="80"/>
        <v>-7942159.9622480944</v>
      </c>
      <c r="Z188" s="169">
        <f t="shared" si="81"/>
        <v>-1230.0077376874856</v>
      </c>
      <c r="AA188" s="67"/>
      <c r="AB188" s="77">
        <f t="shared" si="82"/>
        <v>1222487.8069518413</v>
      </c>
      <c r="AC188" s="123">
        <f t="shared" si="83"/>
        <v>189.32752159700192</v>
      </c>
      <c r="AE188" s="170"/>
      <c r="AF188" s="177">
        <v>-1118219.3508889517</v>
      </c>
      <c r="AG188" s="177">
        <v>-1038189.5274898791</v>
      </c>
      <c r="AH188" s="177">
        <v>-951168.5262933654</v>
      </c>
      <c r="AI188" s="178">
        <v>-865467.77539637475</v>
      </c>
      <c r="AK188" s="67">
        <f t="shared" si="84"/>
        <v>10678437.946758136</v>
      </c>
      <c r="AL188" s="67">
        <f t="shared" si="85"/>
        <v>507437.18171877216</v>
      </c>
      <c r="AM188" s="67">
        <f t="shared" si="86"/>
        <v>16257752.445016263</v>
      </c>
      <c r="AN188" s="67">
        <f t="shared" si="87"/>
        <v>33243831.376296841</v>
      </c>
      <c r="AO188" s="67">
        <f t="shared" si="88"/>
        <v>0</v>
      </c>
      <c r="AP188" s="67">
        <f t="shared" si="89"/>
        <v>-1118219.3508889517</v>
      </c>
      <c r="AQ188" s="67">
        <f t="shared" si="90"/>
        <v>-1038189.5274898791</v>
      </c>
      <c r="AR188" s="67">
        <f t="shared" si="91"/>
        <v>-951168.5262933654</v>
      </c>
      <c r="AS188" s="67">
        <f t="shared" si="92"/>
        <v>-865467.77539637475</v>
      </c>
      <c r="AT188" s="68">
        <v>2378</v>
      </c>
      <c r="AU188" s="68"/>
      <c r="AV188" s="68"/>
      <c r="AW188" s="68">
        <v>12</v>
      </c>
      <c r="AX188" s="68">
        <v>13137.534201319548</v>
      </c>
      <c r="AY188" s="68">
        <v>-3316.1502418696973</v>
      </c>
      <c r="AZ188" s="68">
        <v>2906.0807093570484</v>
      </c>
      <c r="BA188" s="299"/>
      <c r="BB188" s="67"/>
      <c r="BC188" s="67"/>
      <c r="BD188" s="67"/>
      <c r="BE188" s="67"/>
      <c r="BF188" s="67"/>
      <c r="BG188" s="67"/>
      <c r="BH188" s="67"/>
      <c r="BN188" s="299"/>
      <c r="BO188" s="67">
        <v>15355378.266276915</v>
      </c>
      <c r="BP188" s="67">
        <v>30033413.589999996</v>
      </c>
      <c r="BQ188" s="67">
        <v>33090000</v>
      </c>
      <c r="BR188" s="67">
        <v>579952</v>
      </c>
      <c r="BS188" s="67">
        <v>601000</v>
      </c>
      <c r="BT188" s="428">
        <v>0.57134228857387004</v>
      </c>
      <c r="BU188" s="428">
        <v>0.33464287704132489</v>
      </c>
      <c r="BV188" s="67">
        <f t="shared" si="93"/>
        <v>17617601.270012248</v>
      </c>
      <c r="BW188" s="299"/>
      <c r="BX188" s="67">
        <v>47010572</v>
      </c>
      <c r="BY188" s="67">
        <v>15355378.266276915</v>
      </c>
      <c r="BZ188" s="67">
        <v>22381737.753759731</v>
      </c>
      <c r="CA188" s="67">
        <v>10920927.230850058</v>
      </c>
      <c r="CB188" s="67">
        <f t="shared" si="94"/>
        <v>-532284.07459963602</v>
      </c>
      <c r="CC188" s="67">
        <f t="shared" si="95"/>
        <v>-1230.0077376874854</v>
      </c>
      <c r="CD188" s="67">
        <f t="shared" si="96"/>
        <v>-855.53694901458641</v>
      </c>
      <c r="CE188" s="67">
        <f t="shared" si="97"/>
        <v>374.47078867289895</v>
      </c>
      <c r="CF188" s="67">
        <f t="shared" si="98"/>
        <v>-359.47078867289895</v>
      </c>
      <c r="CG188" s="67">
        <f t="shared" si="99"/>
        <v>-344.47078867289895</v>
      </c>
      <c r="CH188" s="67">
        <f t="shared" si="100"/>
        <v>-329.47078867289895</v>
      </c>
      <c r="CI188" s="67">
        <f t="shared" si="101"/>
        <v>-314.47078867289895</v>
      </c>
      <c r="CJ188" s="67">
        <f t="shared" si="102"/>
        <v>-2321102.8824609085</v>
      </c>
      <c r="CK188" s="67">
        <f t="shared" si="103"/>
        <v>-2224247.8824609085</v>
      </c>
      <c r="CL188" s="67">
        <f t="shared" si="104"/>
        <v>-2127392.8824609085</v>
      </c>
      <c r="CM188" s="67">
        <f t="shared" si="105"/>
        <v>-2030537.8824609085</v>
      </c>
      <c r="CN188" s="299"/>
      <c r="CO188" s="430">
        <v>18690.088516662458</v>
      </c>
      <c r="CP188" s="430">
        <v>1516.3543482687337</v>
      </c>
      <c r="CQ188" s="430">
        <v>1573.63</v>
      </c>
      <c r="CR188" s="430">
        <v>20720384.226599969</v>
      </c>
      <c r="CS188" s="430">
        <v>4462631.7815837059</v>
      </c>
      <c r="CT188" s="430">
        <v>4141444.7362207561</v>
      </c>
      <c r="CU188" s="430">
        <v>1241762.1980564659</v>
      </c>
      <c r="CV188" s="430">
        <v>-552696</v>
      </c>
      <c r="CW188" s="430">
        <v>49720.692421163942</v>
      </c>
      <c r="CX188" s="430">
        <v>-3931137.75</v>
      </c>
      <c r="CY188" s="430">
        <v>16856396.663703166</v>
      </c>
      <c r="CZ188" s="519"/>
      <c r="DA188" s="524">
        <v>19455.043030000001</v>
      </c>
      <c r="DB188" s="524">
        <v>1504.4958574647103</v>
      </c>
      <c r="DC188" s="520">
        <f t="shared" si="106"/>
        <v>-1</v>
      </c>
      <c r="DD188" s="440">
        <v>6506</v>
      </c>
      <c r="DE188" s="450">
        <v>15355378.266276915</v>
      </c>
      <c r="DF188" s="440">
        <v>8413341.5278500579</v>
      </c>
      <c r="DG188" s="440">
        <v>1599857.0360000001</v>
      </c>
      <c r="DH188" s="440">
        <v>907728.66700000002</v>
      </c>
      <c r="DI188" s="440">
        <v>4452337.8202078752</v>
      </c>
      <c r="DJ188" s="440">
        <v>1244502.1556274421</v>
      </c>
      <c r="DK188" s="440">
        <v>-532927.13107197662</v>
      </c>
      <c r="DL188" s="440">
        <v>-657464</v>
      </c>
      <c r="DM188" s="440">
        <v>957070</v>
      </c>
      <c r="DN188" s="440">
        <v>50802.708046573185</v>
      </c>
      <c r="DO188" s="457">
        <f t="shared" si="107"/>
        <v>1079870.5173830576</v>
      </c>
      <c r="DP188" s="459">
        <f t="shared" si="108"/>
        <v>165.98071278559141</v>
      </c>
      <c r="DQ188" s="440"/>
      <c r="DR188" s="450">
        <v>47010572</v>
      </c>
      <c r="DS188" s="440">
        <v>19420287.717259731</v>
      </c>
      <c r="DT188" s="440">
        <v>1361593.0005000001</v>
      </c>
      <c r="DU188" s="440">
        <v>20710121.096599966</v>
      </c>
      <c r="DV188" s="440">
        <v>4150582.8649844904</v>
      </c>
      <c r="DW188" s="440">
        <v>1899463.0360000001</v>
      </c>
      <c r="DX188" s="457">
        <f t="shared" si="109"/>
        <v>531475.7153441906</v>
      </c>
      <c r="DY188" s="459">
        <f t="shared" si="110"/>
        <v>81.690088432860534</v>
      </c>
      <c r="DZ188" s="440"/>
      <c r="EA188" s="457">
        <f t="shared" si="111"/>
        <v>548394.80203886703</v>
      </c>
      <c r="EB188" s="459">
        <f t="shared" si="112"/>
        <v>84.290624352730873</v>
      </c>
      <c r="ED188" s="457">
        <v>-521292.66121300374</v>
      </c>
      <c r="EE188" s="458">
        <v>-432132.84258917632</v>
      </c>
      <c r="EF188" s="458">
        <v>-341625.70767741901</v>
      </c>
      <c r="EG188" s="458">
        <v>-251779.40255940682</v>
      </c>
      <c r="EH188" s="459">
        <v>-160540.55427345884</v>
      </c>
    </row>
    <row r="189" spans="1:138" x14ac:dyDescent="0.2">
      <c r="A189" s="67">
        <v>576</v>
      </c>
      <c r="B189" s="67" t="s">
        <v>311</v>
      </c>
      <c r="C189" s="67">
        <v>7</v>
      </c>
      <c r="D189" s="67">
        <v>2750</v>
      </c>
      <c r="E189" s="82">
        <v>6833248.8070381209</v>
      </c>
      <c r="F189" s="67">
        <v>3367950.5962099289</v>
      </c>
      <c r="G189" s="67">
        <v>1514789</v>
      </c>
      <c r="H189" s="67">
        <v>989553.56589069555</v>
      </c>
      <c r="I189" s="67">
        <v>447203.33466567774</v>
      </c>
      <c r="J189" s="67">
        <v>629448.88798383507</v>
      </c>
      <c r="K189" s="67">
        <v>542428.54064623767</v>
      </c>
      <c r="L189" s="67">
        <v>-273557</v>
      </c>
      <c r="M189" s="68">
        <v>169327.86</v>
      </c>
      <c r="N189" s="68">
        <v>23393.808995708161</v>
      </c>
      <c r="O189" s="68">
        <v>-80034.257640715383</v>
      </c>
      <c r="P189" s="168">
        <f t="shared" si="78"/>
        <v>497255.52971324726</v>
      </c>
      <c r="Q189" s="169">
        <f t="shared" si="79"/>
        <v>180.820192622999</v>
      </c>
      <c r="R189" s="67"/>
      <c r="S189" s="82">
        <v>21416147.030000005</v>
      </c>
      <c r="T189" s="67">
        <v>8133256.8462451976</v>
      </c>
      <c r="U189" s="67">
        <v>1487251.780653374</v>
      </c>
      <c r="V189" s="67">
        <v>9310077.3839183338</v>
      </c>
      <c r="W189" s="67">
        <v>2099297.1020866297</v>
      </c>
      <c r="X189" s="67">
        <v>1410559.8599999999</v>
      </c>
      <c r="Y189" s="168">
        <f t="shared" si="80"/>
        <v>1024295.9429035299</v>
      </c>
      <c r="Z189" s="169">
        <f t="shared" si="81"/>
        <v>372.47125196491993</v>
      </c>
      <c r="AA189" s="67"/>
      <c r="AB189" s="77">
        <f t="shared" si="82"/>
        <v>-527040.41319028265</v>
      </c>
      <c r="AC189" s="123">
        <f t="shared" si="83"/>
        <v>-191.65105934192096</v>
      </c>
      <c r="AE189" s="170"/>
      <c r="AF189" s="177">
        <v>488947.7624504586</v>
      </c>
      <c r="AG189" s="177">
        <v>440532.01432399888</v>
      </c>
      <c r="AH189" s="177">
        <v>395093.76951842551</v>
      </c>
      <c r="AI189" s="178">
        <v>349093.23753247602</v>
      </c>
      <c r="AK189" s="67">
        <f t="shared" si="84"/>
        <v>4765306.2500352692</v>
      </c>
      <c r="AL189" s="67">
        <f t="shared" si="85"/>
        <v>497698.21476267849</v>
      </c>
      <c r="AM189" s="67">
        <f t="shared" si="86"/>
        <v>8862874.0492526554</v>
      </c>
      <c r="AN189" s="67">
        <f t="shared" si="87"/>
        <v>14582898.222961884</v>
      </c>
      <c r="AO189" s="67">
        <f t="shared" si="88"/>
        <v>0</v>
      </c>
      <c r="AP189" s="67">
        <f t="shared" si="89"/>
        <v>488947.7624504586</v>
      </c>
      <c r="AQ189" s="67">
        <f t="shared" si="90"/>
        <v>440532.01432399888</v>
      </c>
      <c r="AR189" s="67">
        <f t="shared" si="91"/>
        <v>395093.76951842551</v>
      </c>
      <c r="AS189" s="67">
        <f t="shared" si="92"/>
        <v>349093.23753247602</v>
      </c>
      <c r="AT189" s="68">
        <v>1431</v>
      </c>
      <c r="AU189" s="68"/>
      <c r="AV189" s="68"/>
      <c r="AW189" s="68">
        <v>0</v>
      </c>
      <c r="AX189" s="68">
        <v>7559.784259685548</v>
      </c>
      <c r="AY189" s="68">
        <v>-1137.6684034743203</v>
      </c>
      <c r="AZ189" s="68">
        <v>1470.8367134952748</v>
      </c>
      <c r="BA189" s="299"/>
      <c r="BB189" s="67"/>
      <c r="BC189" s="67"/>
      <c r="BD189" s="67"/>
      <c r="BE189" s="67"/>
      <c r="BF189" s="67"/>
      <c r="BG189" s="67"/>
      <c r="BH189" s="67"/>
      <c r="BN189" s="299"/>
      <c r="BO189" s="67">
        <v>7240367.3149704784</v>
      </c>
      <c r="BP189" s="67">
        <v>13852080.759999998</v>
      </c>
      <c r="BQ189" s="67">
        <v>13824000</v>
      </c>
      <c r="BR189" s="67">
        <v>286943</v>
      </c>
      <c r="BS189" s="67">
        <v>245000</v>
      </c>
      <c r="BT189" s="428">
        <v>0.58590381935807456</v>
      </c>
      <c r="BU189" s="428">
        <v>0.33464287704132484</v>
      </c>
      <c r="BV189" s="67">
        <f t="shared" si="93"/>
        <v>10875150.804001689</v>
      </c>
      <c r="BW189" s="299"/>
      <c r="BX189" s="67">
        <v>21680358</v>
      </c>
      <c r="BY189" s="67">
        <v>7240367.3149704784</v>
      </c>
      <c r="BZ189" s="67">
        <v>11302653.219859771</v>
      </c>
      <c r="CA189" s="67">
        <v>5954199.7444025613</v>
      </c>
      <c r="CB189" s="67">
        <f t="shared" si="94"/>
        <v>631299.16128044028</v>
      </c>
      <c r="CC189" s="67">
        <f t="shared" si="95"/>
        <v>372.4712519649201</v>
      </c>
      <c r="CD189" s="67">
        <f t="shared" si="96"/>
        <v>242.24014835933261</v>
      </c>
      <c r="CE189" s="67">
        <f t="shared" si="97"/>
        <v>-130.23110360558749</v>
      </c>
      <c r="CF189" s="67">
        <f t="shared" si="98"/>
        <v>115.23110360558749</v>
      </c>
      <c r="CG189" s="67">
        <f t="shared" si="99"/>
        <v>100.23110360558749</v>
      </c>
      <c r="CH189" s="67">
        <f t="shared" si="100"/>
        <v>85.231103605587492</v>
      </c>
      <c r="CI189" s="67">
        <f t="shared" si="101"/>
        <v>70.231103605587492</v>
      </c>
      <c r="CJ189" s="67">
        <f t="shared" si="102"/>
        <v>316885.53491536563</v>
      </c>
      <c r="CK189" s="67">
        <f t="shared" si="103"/>
        <v>275635.53491536563</v>
      </c>
      <c r="CL189" s="67">
        <f t="shared" si="104"/>
        <v>234385.5349153656</v>
      </c>
      <c r="CM189" s="67">
        <f t="shared" si="105"/>
        <v>193135.5349153656</v>
      </c>
      <c r="CN189" s="299"/>
      <c r="CO189" s="430">
        <v>8133.2568462451973</v>
      </c>
      <c r="CP189" s="430">
        <v>1487.251780653374</v>
      </c>
      <c r="CQ189" s="430">
        <v>1514.789</v>
      </c>
      <c r="CR189" s="430">
        <v>9310077.3839183338</v>
      </c>
      <c r="CS189" s="430">
        <v>447203.33466567774</v>
      </c>
      <c r="CT189" s="430">
        <v>2099297.1020866297</v>
      </c>
      <c r="CU189" s="430">
        <v>629448.88798383507</v>
      </c>
      <c r="CV189" s="430">
        <v>-273557</v>
      </c>
      <c r="CW189" s="430">
        <v>23393.808995708161</v>
      </c>
      <c r="CX189" s="430">
        <v>169327.86</v>
      </c>
      <c r="CY189" s="430">
        <v>6833248.8070381209</v>
      </c>
      <c r="CZ189" s="519"/>
      <c r="DA189" s="524">
        <v>8140.4270099999994</v>
      </c>
      <c r="DB189" s="524">
        <v>1475.6207789452947</v>
      </c>
      <c r="DC189" s="520">
        <f t="shared" si="106"/>
        <v>-1</v>
      </c>
      <c r="DD189" s="440">
        <v>2813</v>
      </c>
      <c r="DE189" s="450">
        <v>7240367.3149704784</v>
      </c>
      <c r="DF189" s="440">
        <v>3546773.8960025613</v>
      </c>
      <c r="DG189" s="440">
        <v>1517118.726</v>
      </c>
      <c r="DH189" s="440">
        <v>890307.12239999999</v>
      </c>
      <c r="DI189" s="440">
        <v>442726.42098654859</v>
      </c>
      <c r="DJ189" s="440">
        <v>629872.20369589445</v>
      </c>
      <c r="DK189" s="440">
        <v>631105.49353377777</v>
      </c>
      <c r="DL189" s="440">
        <v>-246970</v>
      </c>
      <c r="DM189" s="440">
        <v>90000</v>
      </c>
      <c r="DN189" s="440">
        <v>23708.263902555915</v>
      </c>
      <c r="DO189" s="457">
        <f t="shared" si="107"/>
        <v>284274.81155085936</v>
      </c>
      <c r="DP189" s="459">
        <f t="shared" si="108"/>
        <v>101.05752276959096</v>
      </c>
      <c r="DQ189" s="440"/>
      <c r="DR189" s="450">
        <v>21680358</v>
      </c>
      <c r="DS189" s="440">
        <v>8450073.8102597706</v>
      </c>
      <c r="DT189" s="440">
        <v>1335460.6836000001</v>
      </c>
      <c r="DU189" s="440">
        <v>9305619.2639183328</v>
      </c>
      <c r="DV189" s="440">
        <v>2100708.9171911692</v>
      </c>
      <c r="DW189" s="440">
        <v>1360148.726</v>
      </c>
      <c r="DX189" s="457">
        <f t="shared" si="109"/>
        <v>871653.40096927434</v>
      </c>
      <c r="DY189" s="459">
        <f t="shared" si="110"/>
        <v>309.8661219229557</v>
      </c>
      <c r="DZ189" s="440"/>
      <c r="EA189" s="457">
        <f t="shared" si="111"/>
        <v>-587378.58941841498</v>
      </c>
      <c r="EB189" s="459">
        <f t="shared" si="112"/>
        <v>-208.80859915336472</v>
      </c>
      <c r="ED189" s="457">
        <v>599096.74529655266</v>
      </c>
      <c r="EE189" s="458">
        <v>553256.78676424804</v>
      </c>
      <c r="EF189" s="458">
        <v>507999.36753688462</v>
      </c>
      <c r="EG189" s="458">
        <v>462456.22525237314</v>
      </c>
      <c r="EH189" s="459">
        <v>417515.17702433316</v>
      </c>
    </row>
    <row r="190" spans="1:138" x14ac:dyDescent="0.2">
      <c r="A190" s="67">
        <v>577</v>
      </c>
      <c r="B190" s="67" t="s">
        <v>312</v>
      </c>
      <c r="C190" s="67">
        <v>2</v>
      </c>
      <c r="D190" s="67">
        <v>11138</v>
      </c>
      <c r="E190" s="82">
        <v>31371581.037114196</v>
      </c>
      <c r="F190" s="67">
        <v>17471607.891416345</v>
      </c>
      <c r="G190" s="67">
        <v>2514583</v>
      </c>
      <c r="H190" s="67">
        <v>1996672.9263936479</v>
      </c>
      <c r="I190" s="67">
        <v>7835940.1495970683</v>
      </c>
      <c r="J190" s="67">
        <v>1609314.53374825</v>
      </c>
      <c r="K190" s="67">
        <v>489120.82064579474</v>
      </c>
      <c r="L190" s="67">
        <v>80242</v>
      </c>
      <c r="M190" s="68">
        <v>635702.05000000005</v>
      </c>
      <c r="N190" s="68">
        <v>120789.66100459524</v>
      </c>
      <c r="O190" s="68">
        <v>-324153.29512810468</v>
      </c>
      <c r="P190" s="168">
        <f t="shared" si="78"/>
        <v>1058238.7005634033</v>
      </c>
      <c r="Q190" s="169">
        <f t="shared" si="79"/>
        <v>95.011555087394797</v>
      </c>
      <c r="R190" s="67"/>
      <c r="S190" s="82">
        <v>69370316.229999989</v>
      </c>
      <c r="T190" s="67">
        <v>43641939.227016881</v>
      </c>
      <c r="U190" s="67">
        <v>3000904.1122381729</v>
      </c>
      <c r="V190" s="67">
        <v>15054631.744087966</v>
      </c>
      <c r="W190" s="67">
        <v>5367281.4449874097</v>
      </c>
      <c r="X190" s="67">
        <v>3230527.05</v>
      </c>
      <c r="Y190" s="168">
        <f t="shared" si="80"/>
        <v>924967.34833043814</v>
      </c>
      <c r="Z190" s="169">
        <f t="shared" si="81"/>
        <v>83.046089812393447</v>
      </c>
      <c r="AA190" s="67"/>
      <c r="AB190" s="77">
        <f t="shared" si="82"/>
        <v>133271.35223296518</v>
      </c>
      <c r="AC190" s="123">
        <f t="shared" si="83"/>
        <v>11.965465275001362</v>
      </c>
      <c r="AE190" s="170"/>
      <c r="AF190" s="177">
        <v>12787.838567209856</v>
      </c>
      <c r="AG190" s="177">
        <v>-16234.744208247825</v>
      </c>
      <c r="AH190" s="177">
        <v>-33197.89716987549</v>
      </c>
      <c r="AI190" s="178">
        <v>-52438.415446059313</v>
      </c>
      <c r="AK190" s="67">
        <f t="shared" si="84"/>
        <v>26170331.335600536</v>
      </c>
      <c r="AL190" s="67">
        <f t="shared" si="85"/>
        <v>1004231.185844525</v>
      </c>
      <c r="AM190" s="67">
        <f t="shared" si="86"/>
        <v>7218691.5944908978</v>
      </c>
      <c r="AN190" s="67">
        <f t="shared" si="87"/>
        <v>37998735.192885794</v>
      </c>
      <c r="AO190" s="67">
        <f t="shared" si="88"/>
        <v>0</v>
      </c>
      <c r="AP190" s="67">
        <f t="shared" si="89"/>
        <v>12787.838567209856</v>
      </c>
      <c r="AQ190" s="67">
        <f t="shared" si="90"/>
        <v>-16234.744208247825</v>
      </c>
      <c r="AR190" s="67">
        <f t="shared" si="91"/>
        <v>-33197.89716987549</v>
      </c>
      <c r="AS190" s="67">
        <f t="shared" si="92"/>
        <v>-52438.415446059313</v>
      </c>
      <c r="AT190" s="68">
        <v>2495</v>
      </c>
      <c r="AU190" s="68"/>
      <c r="AV190" s="68"/>
      <c r="AW190" s="68">
        <v>0</v>
      </c>
      <c r="AX190" s="68">
        <v>7398.0326006186342</v>
      </c>
      <c r="AY190" s="68">
        <v>-280.0108932024317</v>
      </c>
      <c r="AZ190" s="68">
        <v>3766.4035918914165</v>
      </c>
      <c r="BA190" s="299"/>
      <c r="BB190" s="67"/>
      <c r="BC190" s="67"/>
      <c r="BD190" s="67"/>
      <c r="BE190" s="67"/>
      <c r="BF190" s="67"/>
      <c r="BG190" s="67"/>
      <c r="BH190" s="67"/>
      <c r="BN190" s="299"/>
      <c r="BO190" s="67">
        <v>30086392.574019104</v>
      </c>
      <c r="BP190" s="67">
        <v>34202810.450000003</v>
      </c>
      <c r="BQ190" s="67">
        <v>37575000</v>
      </c>
      <c r="BR190" s="67">
        <v>810087.14999999991</v>
      </c>
      <c r="BS190" s="67">
        <v>913000</v>
      </c>
      <c r="BT190" s="428">
        <v>0.5996601388281021</v>
      </c>
      <c r="BU190" s="428">
        <v>0.33464287704132484</v>
      </c>
      <c r="BV190" s="67">
        <f t="shared" si="93"/>
        <v>11465779.326375853</v>
      </c>
      <c r="BW190" s="299"/>
      <c r="BX190" s="67">
        <v>67456170</v>
      </c>
      <c r="BY190" s="67">
        <v>30086392.574019104</v>
      </c>
      <c r="BZ190" s="67">
        <v>47962553.532957621</v>
      </c>
      <c r="CA190" s="67">
        <v>21662475.511803094</v>
      </c>
      <c r="CB190" s="67">
        <f t="shared" si="94"/>
        <v>149475.47480779089</v>
      </c>
      <c r="CC190" s="67">
        <f t="shared" si="95"/>
        <v>83.046089812393603</v>
      </c>
      <c r="CD190" s="67">
        <f t="shared" si="96"/>
        <v>93.620636546372992</v>
      </c>
      <c r="CE190" s="67">
        <f t="shared" si="97"/>
        <v>10.574546733979389</v>
      </c>
      <c r="CF190" s="67">
        <f t="shared" si="98"/>
        <v>0</v>
      </c>
      <c r="CG190" s="67">
        <f t="shared" si="99"/>
        <v>0</v>
      </c>
      <c r="CH190" s="67">
        <f t="shared" si="100"/>
        <v>0</v>
      </c>
      <c r="CI190" s="67">
        <f t="shared" si="101"/>
        <v>0</v>
      </c>
      <c r="CJ190" s="67">
        <f t="shared" si="102"/>
        <v>0</v>
      </c>
      <c r="CK190" s="67">
        <f t="shared" si="103"/>
        <v>0</v>
      </c>
      <c r="CL190" s="67">
        <f t="shared" si="104"/>
        <v>0</v>
      </c>
      <c r="CM190" s="67">
        <f t="shared" si="105"/>
        <v>0</v>
      </c>
      <c r="CN190" s="299"/>
      <c r="CO190" s="430">
        <v>43641.939227016883</v>
      </c>
      <c r="CP190" s="430">
        <v>3000.9041122381727</v>
      </c>
      <c r="CQ190" s="430">
        <v>2514.5830000000001</v>
      </c>
      <c r="CR190" s="430">
        <v>15054631.744087966</v>
      </c>
      <c r="CS190" s="430">
        <v>7835940.1495970683</v>
      </c>
      <c r="CT190" s="430">
        <v>5367281.4449874097</v>
      </c>
      <c r="CU190" s="430">
        <v>1609314.53374825</v>
      </c>
      <c r="CV190" s="430">
        <v>80242</v>
      </c>
      <c r="CW190" s="430">
        <v>120789.66100459524</v>
      </c>
      <c r="CX190" s="430">
        <v>635702.05000000005</v>
      </c>
      <c r="CY190" s="430">
        <v>31371581.037114196</v>
      </c>
      <c r="CZ190" s="519"/>
      <c r="DA190" s="524">
        <v>43949.201300000001</v>
      </c>
      <c r="DB190" s="524">
        <v>2977.444973967742</v>
      </c>
      <c r="DC190" s="520">
        <f t="shared" si="106"/>
        <v>-1</v>
      </c>
      <c r="DD190" s="440">
        <v>11041</v>
      </c>
      <c r="DE190" s="450">
        <v>30086392.574019104</v>
      </c>
      <c r="DF190" s="440">
        <v>17338532.087003093</v>
      </c>
      <c r="DG190" s="440">
        <v>2527525.1320000002</v>
      </c>
      <c r="DH190" s="440">
        <v>1796418.2928000002</v>
      </c>
      <c r="DI190" s="440">
        <v>7818707.3728570892</v>
      </c>
      <c r="DJ190" s="440">
        <v>1612927.4641201701</v>
      </c>
      <c r="DK190" s="440">
        <v>152044.8658024623</v>
      </c>
      <c r="DL190" s="440">
        <v>134603</v>
      </c>
      <c r="DM190" s="440">
        <v>785000</v>
      </c>
      <c r="DN190" s="440">
        <v>116581.2123531728</v>
      </c>
      <c r="DO190" s="457">
        <f t="shared" si="107"/>
        <v>2195946.8529168852</v>
      </c>
      <c r="DP190" s="459">
        <f t="shared" si="108"/>
        <v>198.89021401294133</v>
      </c>
      <c r="DQ190" s="440"/>
      <c r="DR190" s="450">
        <v>67456170</v>
      </c>
      <c r="DS190" s="440">
        <v>42740400.961757623</v>
      </c>
      <c r="DT190" s="440">
        <v>2694627.4392000004</v>
      </c>
      <c r="DU190" s="440">
        <v>15037428.73408797</v>
      </c>
      <c r="DV190" s="440">
        <v>5379331.0560115865</v>
      </c>
      <c r="DW190" s="440">
        <v>3447128.1320000002</v>
      </c>
      <c r="DX190" s="457">
        <f t="shared" si="109"/>
        <v>1842746.3230571747</v>
      </c>
      <c r="DY190" s="459">
        <f t="shared" si="110"/>
        <v>166.90031003144412</v>
      </c>
      <c r="DZ190" s="440"/>
      <c r="EA190" s="457">
        <f t="shared" si="111"/>
        <v>353200.52985971048</v>
      </c>
      <c r="EB190" s="459">
        <f t="shared" si="112"/>
        <v>31.989903981497189</v>
      </c>
      <c r="ED190" s="457">
        <v>-307206.87218089186</v>
      </c>
      <c r="EE190" s="458">
        <v>-155898.30202631486</v>
      </c>
      <c r="EF190" s="458">
        <v>-2303.2702770506367</v>
      </c>
      <c r="EG190" s="458">
        <v>6525.8308719309071</v>
      </c>
      <c r="EH190" s="459">
        <v>-4252.3840181471533</v>
      </c>
    </row>
    <row r="191" spans="1:138" x14ac:dyDescent="0.2">
      <c r="A191" s="67">
        <v>578</v>
      </c>
      <c r="B191" s="67" t="s">
        <v>313</v>
      </c>
      <c r="C191" s="67">
        <v>18</v>
      </c>
      <c r="D191" s="67">
        <v>3100</v>
      </c>
      <c r="E191" s="82">
        <v>8755032.7613576315</v>
      </c>
      <c r="F191" s="67">
        <v>4332924.5576425251</v>
      </c>
      <c r="G191" s="67">
        <v>1337755</v>
      </c>
      <c r="H191" s="67">
        <v>592501.95274383016</v>
      </c>
      <c r="I191" s="67">
        <v>2201329.2591393837</v>
      </c>
      <c r="J191" s="67">
        <v>686559.97341075726</v>
      </c>
      <c r="K191" s="67">
        <v>-290900.41572442633</v>
      </c>
      <c r="L191" s="67">
        <v>-27899</v>
      </c>
      <c r="M191" s="68">
        <v>-149146.32999999999</v>
      </c>
      <c r="N191" s="68">
        <v>25726.294323776805</v>
      </c>
      <c r="O191" s="68">
        <v>-90220.435885897328</v>
      </c>
      <c r="P191" s="168">
        <f t="shared" si="78"/>
        <v>-136401.90570768196</v>
      </c>
      <c r="Q191" s="169">
        <f t="shared" si="79"/>
        <v>-44.000614744413532</v>
      </c>
      <c r="R191" s="67"/>
      <c r="S191" s="82">
        <v>26105585.660000004</v>
      </c>
      <c r="T191" s="67">
        <v>9822677.9393273219</v>
      </c>
      <c r="U191" s="67">
        <v>890502.15635946544</v>
      </c>
      <c r="V191" s="67">
        <v>11537100.848089065</v>
      </c>
      <c r="W191" s="67">
        <v>2289770.2896996615</v>
      </c>
      <c r="X191" s="67">
        <v>1160709.67</v>
      </c>
      <c r="Y191" s="168">
        <f t="shared" si="80"/>
        <v>-404824.75652448833</v>
      </c>
      <c r="Z191" s="169">
        <f t="shared" si="81"/>
        <v>-130.58863113693172</v>
      </c>
      <c r="AA191" s="67"/>
      <c r="AB191" s="77">
        <f t="shared" si="82"/>
        <v>268422.85081680637</v>
      </c>
      <c r="AC191" s="123">
        <f t="shared" si="83"/>
        <v>86.588016392518185</v>
      </c>
      <c r="AE191" s="170"/>
      <c r="AF191" s="177">
        <v>-218363.65710533515</v>
      </c>
      <c r="AG191" s="177">
        <v>-179941.40953879882</v>
      </c>
      <c r="AH191" s="177">
        <v>-138162.70368326336</v>
      </c>
      <c r="AI191" s="178">
        <v>-97017.848831060968</v>
      </c>
      <c r="AK191" s="67">
        <f t="shared" si="84"/>
        <v>5489753.3816847969</v>
      </c>
      <c r="AL191" s="67">
        <f t="shared" si="85"/>
        <v>298000.20361563528</v>
      </c>
      <c r="AM191" s="67">
        <f t="shared" si="86"/>
        <v>9335771.5889496822</v>
      </c>
      <c r="AN191" s="67">
        <f t="shared" si="87"/>
        <v>17350552.898642372</v>
      </c>
      <c r="AO191" s="67">
        <f t="shared" si="88"/>
        <v>0</v>
      </c>
      <c r="AP191" s="67">
        <f t="shared" si="89"/>
        <v>-218363.65710533515</v>
      </c>
      <c r="AQ191" s="67">
        <f t="shared" si="90"/>
        <v>-179941.40953879882</v>
      </c>
      <c r="AR191" s="67">
        <f t="shared" si="91"/>
        <v>-138162.70368326336</v>
      </c>
      <c r="AS191" s="67">
        <f t="shared" si="92"/>
        <v>-97017.848831060968</v>
      </c>
      <c r="AT191" s="68">
        <v>1574</v>
      </c>
      <c r="AU191" s="68"/>
      <c r="AV191" s="68"/>
      <c r="AW191" s="68">
        <v>1</v>
      </c>
      <c r="AX191" s="68">
        <v>7778.5125942983323</v>
      </c>
      <c r="AY191" s="68">
        <v>-1631.7482349852085</v>
      </c>
      <c r="AZ191" s="68">
        <v>1607.0907833951037</v>
      </c>
      <c r="BA191" s="299"/>
      <c r="BB191" s="67"/>
      <c r="BC191" s="67"/>
      <c r="BD191" s="67"/>
      <c r="BE191" s="67"/>
      <c r="BF191" s="67"/>
      <c r="BG191" s="67"/>
      <c r="BH191" s="67"/>
      <c r="BN191" s="299"/>
      <c r="BO191" s="67">
        <v>8920519.267310176</v>
      </c>
      <c r="BP191" s="67">
        <v>16496766.309999997</v>
      </c>
      <c r="BQ191" s="67">
        <v>16126000</v>
      </c>
      <c r="BR191" s="67">
        <v>504979.1</v>
      </c>
      <c r="BS191" s="67">
        <v>433000</v>
      </c>
      <c r="BT191" s="428">
        <v>0.55888561302670048</v>
      </c>
      <c r="BU191" s="428">
        <v>0.33464287704132489</v>
      </c>
      <c r="BV191" s="67">
        <f t="shared" si="93"/>
        <v>10648081.489514161</v>
      </c>
      <c r="BW191" s="299"/>
      <c r="BX191" s="67">
        <v>26297407</v>
      </c>
      <c r="BY191" s="67">
        <v>8920519.267310176</v>
      </c>
      <c r="BZ191" s="67">
        <v>11894788.121216943</v>
      </c>
      <c r="CA191" s="67">
        <v>6243989.922686697</v>
      </c>
      <c r="CB191" s="67">
        <f t="shared" si="94"/>
        <v>-441485.49169107463</v>
      </c>
      <c r="CC191" s="67">
        <f t="shared" si="95"/>
        <v>-130.58863113693201</v>
      </c>
      <c r="CD191" s="67">
        <f t="shared" si="96"/>
        <v>-63.473079286591343</v>
      </c>
      <c r="CE191" s="67">
        <f t="shared" si="97"/>
        <v>67.115551850340665</v>
      </c>
      <c r="CF191" s="67">
        <f t="shared" si="98"/>
        <v>-52.115551850340665</v>
      </c>
      <c r="CG191" s="67">
        <f t="shared" si="99"/>
        <v>-37.115551850340665</v>
      </c>
      <c r="CH191" s="67">
        <f t="shared" si="100"/>
        <v>-22.115551850340665</v>
      </c>
      <c r="CI191" s="67">
        <f t="shared" si="101"/>
        <v>-7.1155518503406654</v>
      </c>
      <c r="CJ191" s="67">
        <f t="shared" si="102"/>
        <v>-161558.21073605606</v>
      </c>
      <c r="CK191" s="67">
        <f t="shared" si="103"/>
        <v>-115058.21073605606</v>
      </c>
      <c r="CL191" s="67">
        <f t="shared" si="104"/>
        <v>-68558.210736056062</v>
      </c>
      <c r="CM191" s="67">
        <f t="shared" si="105"/>
        <v>-22058.210736056062</v>
      </c>
      <c r="CN191" s="299"/>
      <c r="CO191" s="430">
        <v>9822.6779393273227</v>
      </c>
      <c r="CP191" s="430">
        <v>890.5021563594654</v>
      </c>
      <c r="CQ191" s="430">
        <v>1337.7550000000001</v>
      </c>
      <c r="CR191" s="430">
        <v>11537100.848089065</v>
      </c>
      <c r="CS191" s="430">
        <v>2201329.2591393837</v>
      </c>
      <c r="CT191" s="430">
        <v>2289770.2896996615</v>
      </c>
      <c r="CU191" s="430">
        <v>686559.97341075726</v>
      </c>
      <c r="CV191" s="430">
        <v>-27899</v>
      </c>
      <c r="CW191" s="430">
        <v>25726.294323776805</v>
      </c>
      <c r="CX191" s="430">
        <v>-149146.32999999999</v>
      </c>
      <c r="CY191" s="430">
        <v>8755032.7613576315</v>
      </c>
      <c r="CZ191" s="519"/>
      <c r="DA191" s="524">
        <v>9816.021490000001</v>
      </c>
      <c r="DB191" s="524">
        <v>883.53786263160919</v>
      </c>
      <c r="DC191" s="520">
        <f t="shared" si="106"/>
        <v>-1</v>
      </c>
      <c r="DD191" s="440">
        <v>3183</v>
      </c>
      <c r="DE191" s="450">
        <v>8920519.267310176</v>
      </c>
      <c r="DF191" s="440">
        <v>4374506.738486697</v>
      </c>
      <c r="DG191" s="440">
        <v>1336405.7170000002</v>
      </c>
      <c r="DH191" s="440">
        <v>533077.46719999996</v>
      </c>
      <c r="DI191" s="440">
        <v>2196254.7950524236</v>
      </c>
      <c r="DJ191" s="440">
        <v>688221.7475187378</v>
      </c>
      <c r="DK191" s="440">
        <v>-441089.73889290687</v>
      </c>
      <c r="DL191" s="440">
        <v>-116112</v>
      </c>
      <c r="DM191" s="440">
        <v>348700</v>
      </c>
      <c r="DN191" s="440">
        <v>25048.477202915223</v>
      </c>
      <c r="DO191" s="457">
        <f t="shared" si="107"/>
        <v>24493.936257690191</v>
      </c>
      <c r="DP191" s="459">
        <f t="shared" si="108"/>
        <v>7.6952360218944991</v>
      </c>
      <c r="DQ191" s="440"/>
      <c r="DR191" s="450">
        <v>26297407</v>
      </c>
      <c r="DS191" s="440">
        <v>9758766.2034169436</v>
      </c>
      <c r="DT191" s="440">
        <v>799616.20079999999</v>
      </c>
      <c r="DU191" s="440">
        <v>11532043.838089064</v>
      </c>
      <c r="DV191" s="440">
        <v>2295312.5309138414</v>
      </c>
      <c r="DW191" s="440">
        <v>1568993.7170000002</v>
      </c>
      <c r="DX191" s="457">
        <f t="shared" si="109"/>
        <v>-342674.50978015363</v>
      </c>
      <c r="DY191" s="459">
        <f t="shared" si="110"/>
        <v>-107.65771592213434</v>
      </c>
      <c r="DZ191" s="440"/>
      <c r="EA191" s="457">
        <f t="shared" si="111"/>
        <v>367168.44603784382</v>
      </c>
      <c r="EB191" s="459">
        <f t="shared" si="112"/>
        <v>115.35295194402885</v>
      </c>
      <c r="ED191" s="457">
        <v>-353908.97566453036</v>
      </c>
      <c r="EE191" s="458">
        <v>-310288.36350965139</v>
      </c>
      <c r="EF191" s="458">
        <v>-266008.58938974305</v>
      </c>
      <c r="EG191" s="458">
        <v>-222052.12010129663</v>
      </c>
      <c r="EH191" s="459">
        <v>-177414.36201734756</v>
      </c>
    </row>
    <row r="192" spans="1:138" x14ac:dyDescent="0.2">
      <c r="A192" s="67">
        <v>445</v>
      </c>
      <c r="B192" s="67" t="s">
        <v>128</v>
      </c>
      <c r="C192" s="67">
        <v>2</v>
      </c>
      <c r="D192" s="67">
        <v>14991</v>
      </c>
      <c r="E192" s="82">
        <v>44484276.280461982</v>
      </c>
      <c r="F192" s="67">
        <v>24319383.212502744</v>
      </c>
      <c r="G192" s="67">
        <v>9963347</v>
      </c>
      <c r="H192" s="67">
        <v>2443628.3227494326</v>
      </c>
      <c r="I192" s="67">
        <v>12019173.317575591</v>
      </c>
      <c r="J192" s="67">
        <v>2172749.395259141</v>
      </c>
      <c r="K192" s="67">
        <v>-4341360.2286292827</v>
      </c>
      <c r="L192" s="67">
        <v>-292032</v>
      </c>
      <c r="M192" s="68">
        <v>-746600.37</v>
      </c>
      <c r="N192" s="68">
        <v>174679.62156544687</v>
      </c>
      <c r="O192" s="68">
        <v>-436288.56592435064</v>
      </c>
      <c r="P192" s="168">
        <f t="shared" si="78"/>
        <v>792403.42463673977</v>
      </c>
      <c r="Q192" s="169">
        <f t="shared" si="79"/>
        <v>52.858610141867771</v>
      </c>
      <c r="R192" s="67"/>
      <c r="S192" s="82">
        <v>110737472.10000001</v>
      </c>
      <c r="T192" s="67">
        <v>62388770.386977293</v>
      </c>
      <c r="U192" s="67">
        <v>3672656.7409141636</v>
      </c>
      <c r="V192" s="67">
        <v>28377477.758460645</v>
      </c>
      <c r="W192" s="67">
        <v>7246412.8479723809</v>
      </c>
      <c r="X192" s="67">
        <v>8924714.6300000008</v>
      </c>
      <c r="Y192" s="168">
        <f t="shared" si="80"/>
        <v>-127439.73567552865</v>
      </c>
      <c r="Z192" s="169">
        <f t="shared" si="81"/>
        <v>-8.5010830281854872</v>
      </c>
      <c r="AA192" s="67"/>
      <c r="AB192" s="77">
        <f t="shared" si="82"/>
        <v>919843.16031226842</v>
      </c>
      <c r="AC192" s="123">
        <f t="shared" si="83"/>
        <v>61.359693170053262</v>
      </c>
      <c r="AE192" s="170"/>
      <c r="AF192" s="177">
        <v>-677766.58839980676</v>
      </c>
      <c r="AG192" s="177">
        <v>-491964.03573208238</v>
      </c>
      <c r="AH192" s="177">
        <v>-289930.30041584617</v>
      </c>
      <c r="AI192" s="178">
        <v>-90961.745870889412</v>
      </c>
      <c r="AK192" s="67">
        <f t="shared" si="84"/>
        <v>38069387.174474552</v>
      </c>
      <c r="AL192" s="67">
        <f t="shared" si="85"/>
        <v>1229028.418164731</v>
      </c>
      <c r="AM192" s="67">
        <f t="shared" si="86"/>
        <v>16358304.440885054</v>
      </c>
      <c r="AN192" s="67">
        <f t="shared" si="87"/>
        <v>66253195.819538027</v>
      </c>
      <c r="AO192" s="67">
        <f t="shared" si="88"/>
        <v>0</v>
      </c>
      <c r="AP192" s="67">
        <f t="shared" si="89"/>
        <v>-677766.58839980676</v>
      </c>
      <c r="AQ192" s="67">
        <f t="shared" si="90"/>
        <v>-491964.03573208238</v>
      </c>
      <c r="AR192" s="67">
        <f t="shared" si="91"/>
        <v>-289930.30041584617</v>
      </c>
      <c r="AS192" s="67">
        <f t="shared" si="92"/>
        <v>-90961.745870889412</v>
      </c>
      <c r="AT192" s="68">
        <v>5148</v>
      </c>
      <c r="AU192" s="68"/>
      <c r="AV192" s="68"/>
      <c r="AW192" s="68">
        <v>563</v>
      </c>
      <c r="AX192" s="68">
        <v>15774.324198260048</v>
      </c>
      <c r="AY192" s="68">
        <v>1390.4167494822352</v>
      </c>
      <c r="AZ192" s="68">
        <v>5077.8643325552712</v>
      </c>
      <c r="BA192" s="299"/>
      <c r="BB192" s="67"/>
      <c r="BC192" s="67"/>
      <c r="BD192" s="67"/>
      <c r="BE192" s="67"/>
      <c r="BF192" s="67"/>
      <c r="BG192" s="67"/>
      <c r="BH192" s="67"/>
      <c r="BN192" s="299"/>
      <c r="BO192" s="67">
        <v>43138274.995394297</v>
      </c>
      <c r="BP192" s="67">
        <v>59738078.740000002</v>
      </c>
      <c r="BQ192" s="67">
        <v>65665000</v>
      </c>
      <c r="BR192" s="67">
        <v>1350056.4100000001</v>
      </c>
      <c r="BS192" s="67">
        <v>1401000</v>
      </c>
      <c r="BT192" s="428">
        <v>0.6101961448886154</v>
      </c>
      <c r="BU192" s="428">
        <v>0.33464287704132478</v>
      </c>
      <c r="BV192" s="67">
        <f t="shared" si="93"/>
        <v>17090607.664969012</v>
      </c>
      <c r="BW192" s="299"/>
      <c r="BX192" s="67">
        <v>107161400.69</v>
      </c>
      <c r="BY192" s="67">
        <v>43138274.995394297</v>
      </c>
      <c r="BZ192" s="67">
        <v>75794383.492406532</v>
      </c>
      <c r="CA192" s="67">
        <v>36718986.171770126</v>
      </c>
      <c r="CB192" s="67">
        <f t="shared" si="94"/>
        <v>-3400284.0415738495</v>
      </c>
      <c r="CC192" s="67">
        <f t="shared" si="95"/>
        <v>-8.5010830281851142</v>
      </c>
      <c r="CD192" s="67">
        <f t="shared" si="96"/>
        <v>144.73805467390588</v>
      </c>
      <c r="CE192" s="67">
        <f t="shared" si="97"/>
        <v>153.239137702091</v>
      </c>
      <c r="CF192" s="67">
        <f t="shared" si="98"/>
        <v>-138.239137702091</v>
      </c>
      <c r="CG192" s="67">
        <f t="shared" si="99"/>
        <v>-123.239137702091</v>
      </c>
      <c r="CH192" s="67">
        <f t="shared" si="100"/>
        <v>-108.239137702091</v>
      </c>
      <c r="CI192" s="67">
        <f t="shared" si="101"/>
        <v>-93.239137702091</v>
      </c>
      <c r="CJ192" s="67">
        <f t="shared" si="102"/>
        <v>-2072342.9132920462</v>
      </c>
      <c r="CK192" s="67">
        <f t="shared" si="103"/>
        <v>-1847477.9132920462</v>
      </c>
      <c r="CL192" s="67">
        <f t="shared" si="104"/>
        <v>-1622612.9132920462</v>
      </c>
      <c r="CM192" s="67">
        <f t="shared" si="105"/>
        <v>-1397747.9132920462</v>
      </c>
      <c r="CN192" s="299"/>
      <c r="CO192" s="430">
        <v>62388.770386977296</v>
      </c>
      <c r="CP192" s="430">
        <v>3672.6567409141635</v>
      </c>
      <c r="CQ192" s="430">
        <v>9963.3469999999998</v>
      </c>
      <c r="CR192" s="430">
        <v>28377477.758460645</v>
      </c>
      <c r="CS192" s="430">
        <v>12019173.317575591</v>
      </c>
      <c r="CT192" s="430">
        <v>7246412.8479723809</v>
      </c>
      <c r="CU192" s="430">
        <v>2172749.395259141</v>
      </c>
      <c r="CV192" s="430">
        <v>-292032</v>
      </c>
      <c r="CW192" s="430">
        <v>174679.62156544687</v>
      </c>
      <c r="CX192" s="430">
        <v>-746600.37</v>
      </c>
      <c r="CY192" s="430">
        <v>44484276.280461982</v>
      </c>
      <c r="CZ192" s="519"/>
      <c r="DA192" s="524">
        <v>63132.576340000007</v>
      </c>
      <c r="DB192" s="524">
        <v>3643.9349757045829</v>
      </c>
      <c r="DC192" s="520">
        <f t="shared" si="106"/>
        <v>-1</v>
      </c>
      <c r="DD192" s="440">
        <v>15086</v>
      </c>
      <c r="DE192" s="450">
        <v>43138274.995394297</v>
      </c>
      <c r="DF192" s="440">
        <v>24676963.067970131</v>
      </c>
      <c r="DG192" s="440">
        <v>9843476.4306000005</v>
      </c>
      <c r="DH192" s="440">
        <v>2198546.6732000001</v>
      </c>
      <c r="DI192" s="440">
        <v>11995406.438590975</v>
      </c>
      <c r="DJ192" s="440">
        <v>2174548.3831544602</v>
      </c>
      <c r="DK192" s="440">
        <v>-3399389.9714153982</v>
      </c>
      <c r="DL192" s="440">
        <v>-334651</v>
      </c>
      <c r="DM192" s="440">
        <v>-850000</v>
      </c>
      <c r="DN192" s="440">
        <v>173210.78626297301</v>
      </c>
      <c r="DO192" s="457">
        <f t="shared" si="107"/>
        <v>3339835.8129688427</v>
      </c>
      <c r="DP192" s="459">
        <f t="shared" si="108"/>
        <v>221.38643861652145</v>
      </c>
      <c r="DQ192" s="440"/>
      <c r="DR192" s="450">
        <v>107161400.69</v>
      </c>
      <c r="DS192" s="440">
        <v>62653087.052006535</v>
      </c>
      <c r="DT192" s="440">
        <v>3297820.0098000001</v>
      </c>
      <c r="DU192" s="440">
        <v>28353771.248460636</v>
      </c>
      <c r="DV192" s="440">
        <v>7252412.715709731</v>
      </c>
      <c r="DW192" s="440">
        <v>8658825.4306000005</v>
      </c>
      <c r="DX192" s="457">
        <f t="shared" si="109"/>
        <v>3054515.766576916</v>
      </c>
      <c r="DY192" s="459">
        <f t="shared" si="110"/>
        <v>202.47353616445153</v>
      </c>
      <c r="DZ192" s="440"/>
      <c r="EA192" s="457">
        <f t="shared" si="111"/>
        <v>285320.04639192671</v>
      </c>
      <c r="EB192" s="459">
        <f t="shared" si="112"/>
        <v>18.912902452069911</v>
      </c>
      <c r="ED192" s="457">
        <v>-222476.07213752973</v>
      </c>
      <c r="EE192" s="458">
        <v>-15733.830551446143</v>
      </c>
      <c r="EF192" s="458">
        <v>26872.591075452037</v>
      </c>
      <c r="EG192" s="458">
        <v>8916.6456420568484</v>
      </c>
      <c r="EH192" s="459">
        <v>-5810.2948372219862</v>
      </c>
    </row>
    <row r="193" spans="1:138" x14ac:dyDescent="0.2">
      <c r="A193" s="67">
        <v>580</v>
      </c>
      <c r="B193" s="67" t="s">
        <v>314</v>
      </c>
      <c r="C193" s="67">
        <v>9</v>
      </c>
      <c r="D193" s="67">
        <v>4438</v>
      </c>
      <c r="E193" s="82">
        <v>10286666.492421769</v>
      </c>
      <c r="F193" s="67">
        <v>5955961.0450451821</v>
      </c>
      <c r="G193" s="67">
        <v>1363039</v>
      </c>
      <c r="H193" s="67">
        <v>1071954.2507472052</v>
      </c>
      <c r="I193" s="67">
        <v>1420300.7109251353</v>
      </c>
      <c r="J193" s="67">
        <v>1012751.7011421002</v>
      </c>
      <c r="K193" s="67">
        <v>-504900.56676241627</v>
      </c>
      <c r="L193" s="67">
        <v>-308852</v>
      </c>
      <c r="M193" s="68">
        <v>6655.2</v>
      </c>
      <c r="N193" s="68">
        <v>37954.712545281538</v>
      </c>
      <c r="O193" s="68">
        <v>-129160.74014890722</v>
      </c>
      <c r="P193" s="168">
        <f t="shared" si="78"/>
        <v>-360963.17892818683</v>
      </c>
      <c r="Q193" s="169">
        <f t="shared" si="79"/>
        <v>-81.334650502070033</v>
      </c>
      <c r="R193" s="67"/>
      <c r="S193" s="82">
        <v>35936905.709999993</v>
      </c>
      <c r="T193" s="67">
        <v>13955651.933785781</v>
      </c>
      <c r="U193" s="67">
        <v>1611096.0772171421</v>
      </c>
      <c r="V193" s="67">
        <v>15456110.167144036</v>
      </c>
      <c r="W193" s="67">
        <v>3377663.7816468976</v>
      </c>
      <c r="X193" s="67">
        <v>1060842.2</v>
      </c>
      <c r="Y193" s="168">
        <f t="shared" si="80"/>
        <v>-475541.55020613968</v>
      </c>
      <c r="Z193" s="169">
        <f t="shared" si="81"/>
        <v>-107.15221951467771</v>
      </c>
      <c r="AA193" s="67"/>
      <c r="AB193" s="77">
        <f t="shared" si="82"/>
        <v>114578.37127795286</v>
      </c>
      <c r="AC193" s="123">
        <f t="shared" si="83"/>
        <v>25.817569012607674</v>
      </c>
      <c r="AE193" s="170"/>
      <c r="AF193" s="177">
        <v>-42912.983635524812</v>
      </c>
      <c r="AG193" s="177">
        <v>-6468.8269703900023</v>
      </c>
      <c r="AH193" s="177">
        <v>-13227.892587529846</v>
      </c>
      <c r="AI193" s="178">
        <v>-20894.387479763984</v>
      </c>
      <c r="AK193" s="67">
        <f t="shared" si="84"/>
        <v>7999690.8887405992</v>
      </c>
      <c r="AL193" s="67">
        <f t="shared" si="85"/>
        <v>539141.82646993687</v>
      </c>
      <c r="AM193" s="67">
        <f t="shared" si="86"/>
        <v>14035809.4562189</v>
      </c>
      <c r="AN193" s="67">
        <f t="shared" si="87"/>
        <v>25650239.217578225</v>
      </c>
      <c r="AO193" s="67">
        <f t="shared" si="88"/>
        <v>0</v>
      </c>
      <c r="AP193" s="67">
        <f t="shared" si="89"/>
        <v>-42912.983635524812</v>
      </c>
      <c r="AQ193" s="67">
        <f t="shared" si="90"/>
        <v>-6468.8269703900023</v>
      </c>
      <c r="AR193" s="67">
        <f t="shared" si="91"/>
        <v>-13227.892587529846</v>
      </c>
      <c r="AS193" s="67">
        <f t="shared" si="92"/>
        <v>-20894.387479763984</v>
      </c>
      <c r="AT193" s="68">
        <v>1978</v>
      </c>
      <c r="AU193" s="68"/>
      <c r="AV193" s="68"/>
      <c r="AW193" s="68">
        <v>53</v>
      </c>
      <c r="AX193" s="68">
        <v>12043.755283681465</v>
      </c>
      <c r="AY193" s="68">
        <v>-1770.0321659737842</v>
      </c>
      <c r="AZ193" s="68">
        <v>2368.9947555211875</v>
      </c>
      <c r="BA193" s="299"/>
      <c r="BB193" s="67"/>
      <c r="BC193" s="67"/>
      <c r="BD193" s="67"/>
      <c r="BE193" s="67"/>
      <c r="BF193" s="67"/>
      <c r="BG193" s="67"/>
      <c r="BH193" s="67"/>
      <c r="BN193" s="299"/>
      <c r="BO193" s="67">
        <v>11287968.711292908</v>
      </c>
      <c r="BP193" s="67">
        <v>23325813.080000002</v>
      </c>
      <c r="BQ193" s="67">
        <v>25183000</v>
      </c>
      <c r="BR193" s="67">
        <v>535557.91</v>
      </c>
      <c r="BS193" s="67">
        <v>571000</v>
      </c>
      <c r="BT193" s="428">
        <v>0.5732222992301661</v>
      </c>
      <c r="BU193" s="428">
        <v>0.33464287704132484</v>
      </c>
      <c r="BV193" s="67">
        <f t="shared" si="93"/>
        <v>15895820.969961284</v>
      </c>
      <c r="BW193" s="299"/>
      <c r="BX193" s="67">
        <v>36442486</v>
      </c>
      <c r="BY193" s="67">
        <v>11287968.711292908</v>
      </c>
      <c r="BZ193" s="67">
        <v>17568190.278421592</v>
      </c>
      <c r="CA193" s="67">
        <v>8670343.6106414329</v>
      </c>
      <c r="CB193" s="67">
        <f t="shared" si="94"/>
        <v>-68261.134487211762</v>
      </c>
      <c r="CC193" s="67">
        <f t="shared" si="95"/>
        <v>-107.15221951467682</v>
      </c>
      <c r="CD193" s="67">
        <f t="shared" si="96"/>
        <v>46.155248647121219</v>
      </c>
      <c r="CE193" s="67">
        <f t="shared" si="97"/>
        <v>153.30746816179803</v>
      </c>
      <c r="CF193" s="67">
        <f t="shared" si="98"/>
        <v>-138.30746816179803</v>
      </c>
      <c r="CG193" s="67">
        <f t="shared" si="99"/>
        <v>-123.30746816179803</v>
      </c>
      <c r="CH193" s="67">
        <f t="shared" si="100"/>
        <v>-108.30746816179803</v>
      </c>
      <c r="CI193" s="67">
        <f t="shared" si="101"/>
        <v>-93.307468161798027</v>
      </c>
      <c r="CJ193" s="67">
        <f t="shared" si="102"/>
        <v>-613808.54370205966</v>
      </c>
      <c r="CK193" s="67">
        <f t="shared" si="103"/>
        <v>-547238.54370205966</v>
      </c>
      <c r="CL193" s="67">
        <f t="shared" si="104"/>
        <v>-480668.54370205966</v>
      </c>
      <c r="CM193" s="67">
        <f t="shared" si="105"/>
        <v>-414098.54370205966</v>
      </c>
      <c r="CN193" s="299"/>
      <c r="CO193" s="430">
        <v>13955.651933785781</v>
      </c>
      <c r="CP193" s="430">
        <v>1611.096077217142</v>
      </c>
      <c r="CQ193" s="430">
        <v>1363.039</v>
      </c>
      <c r="CR193" s="430">
        <v>15456110.167144036</v>
      </c>
      <c r="CS193" s="430">
        <v>1420300.7109251353</v>
      </c>
      <c r="CT193" s="430">
        <v>3377663.7816468976</v>
      </c>
      <c r="CU193" s="430">
        <v>1012751.7011421002</v>
      </c>
      <c r="CV193" s="430">
        <v>-308852</v>
      </c>
      <c r="CW193" s="430">
        <v>37954.712545281538</v>
      </c>
      <c r="CX193" s="430">
        <v>6655.2</v>
      </c>
      <c r="CY193" s="430">
        <v>10286666.492421769</v>
      </c>
      <c r="CZ193" s="519"/>
      <c r="DA193" s="524">
        <v>14246.24244</v>
      </c>
      <c r="DB193" s="524">
        <v>1598.4958563240461</v>
      </c>
      <c r="DC193" s="520">
        <f t="shared" si="106"/>
        <v>-1</v>
      </c>
      <c r="DD193" s="440">
        <v>4567</v>
      </c>
      <c r="DE193" s="450">
        <v>11287968.711292908</v>
      </c>
      <c r="DF193" s="440">
        <v>6331844.2648414336</v>
      </c>
      <c r="DG193" s="440">
        <v>1374055.8460000001</v>
      </c>
      <c r="DH193" s="440">
        <v>964443.49980000011</v>
      </c>
      <c r="DI193" s="440">
        <v>1413017.2562196238</v>
      </c>
      <c r="DJ193" s="440">
        <v>1014500.0689153252</v>
      </c>
      <c r="DK193" s="440">
        <v>-69168.421515403068</v>
      </c>
      <c r="DL193" s="440">
        <v>-235989</v>
      </c>
      <c r="DM193" s="440">
        <v>12000</v>
      </c>
      <c r="DN193" s="440">
        <v>39441.774698465815</v>
      </c>
      <c r="DO193" s="457">
        <f t="shared" si="107"/>
        <v>-443823.42233346216</v>
      </c>
      <c r="DP193" s="459">
        <f t="shared" si="108"/>
        <v>-97.180517261541965</v>
      </c>
      <c r="DQ193" s="440"/>
      <c r="DR193" s="450">
        <v>36442486</v>
      </c>
      <c r="DS193" s="440">
        <v>14747469.182721592</v>
      </c>
      <c r="DT193" s="440">
        <v>1446665.2497</v>
      </c>
      <c r="DU193" s="440">
        <v>15448857.277144028</v>
      </c>
      <c r="DV193" s="440">
        <v>3383494.8244365128</v>
      </c>
      <c r="DW193" s="440">
        <v>1150066.8460000001</v>
      </c>
      <c r="DX193" s="457">
        <f t="shared" si="109"/>
        <v>-265932.6199978739</v>
      </c>
      <c r="DY193" s="459">
        <f t="shared" si="110"/>
        <v>-58.229170133101356</v>
      </c>
      <c r="DZ193" s="440"/>
      <c r="EA193" s="457">
        <f t="shared" si="111"/>
        <v>-177890.80233558826</v>
      </c>
      <c r="EB193" s="459">
        <f t="shared" si="112"/>
        <v>-38.951347128440609</v>
      </c>
      <c r="ED193" s="457">
        <v>196915.62206380712</v>
      </c>
      <c r="EE193" s="458">
        <v>122492.90943777266</v>
      </c>
      <c r="EF193" s="458">
        <v>49015.968943151674</v>
      </c>
      <c r="EG193" s="458">
        <v>2699.345131066792</v>
      </c>
      <c r="EH193" s="459">
        <v>-1758.9564179764559</v>
      </c>
    </row>
    <row r="194" spans="1:138" x14ac:dyDescent="0.2">
      <c r="A194" s="67">
        <v>581</v>
      </c>
      <c r="B194" s="67" t="s">
        <v>315</v>
      </c>
      <c r="C194" s="67">
        <v>6</v>
      </c>
      <c r="D194" s="67">
        <v>6240</v>
      </c>
      <c r="E194" s="82">
        <v>17860625.667684618</v>
      </c>
      <c r="F194" s="67">
        <v>8869526.5005875938</v>
      </c>
      <c r="G194" s="67">
        <v>2021419</v>
      </c>
      <c r="H194" s="67">
        <v>2076403.1455349112</v>
      </c>
      <c r="I194" s="67">
        <v>3328170.5478133834</v>
      </c>
      <c r="J194" s="67">
        <v>1235397.0917646484</v>
      </c>
      <c r="K194" s="67">
        <v>-110430.20908119342</v>
      </c>
      <c r="L194" s="67">
        <v>-360824</v>
      </c>
      <c r="M194" s="68">
        <v>-587520.98</v>
      </c>
      <c r="N194" s="68">
        <v>54155.927299708157</v>
      </c>
      <c r="O194" s="68">
        <v>-181605.0064283869</v>
      </c>
      <c r="P194" s="168">
        <f t="shared" si="78"/>
        <v>-1515933.6501939539</v>
      </c>
      <c r="Q194" s="169">
        <f t="shared" si="79"/>
        <v>-242.9380849669798</v>
      </c>
      <c r="R194" s="67"/>
      <c r="S194" s="82">
        <v>48477705.710000001</v>
      </c>
      <c r="T194" s="67">
        <v>20008883.55671199</v>
      </c>
      <c r="U194" s="67">
        <v>3120734.8262864766</v>
      </c>
      <c r="V194" s="67">
        <v>18455188.372585651</v>
      </c>
      <c r="W194" s="67">
        <v>4120216.2465880457</v>
      </c>
      <c r="X194" s="67">
        <v>1073074.02</v>
      </c>
      <c r="Y194" s="168">
        <f t="shared" si="80"/>
        <v>-1699608.6878278404</v>
      </c>
      <c r="Z194" s="169">
        <f t="shared" si="81"/>
        <v>-272.37318715189753</v>
      </c>
      <c r="AA194" s="67"/>
      <c r="AB194" s="77">
        <f t="shared" si="82"/>
        <v>183675.03763388656</v>
      </c>
      <c r="AC194" s="123">
        <f t="shared" si="83"/>
        <v>29.435102184917717</v>
      </c>
      <c r="AE194" s="170"/>
      <c r="AF194" s="177">
        <v>-82910.725130793522</v>
      </c>
      <c r="AG194" s="177">
        <v>-9095.4214274974347</v>
      </c>
      <c r="AH194" s="177">
        <v>-18598.929640871167</v>
      </c>
      <c r="AI194" s="178">
        <v>-29378.318583534758</v>
      </c>
      <c r="AK194" s="67">
        <f t="shared" si="84"/>
        <v>11139357.056124397</v>
      </c>
      <c r="AL194" s="67">
        <f t="shared" si="85"/>
        <v>1044331.6807515654</v>
      </c>
      <c r="AM194" s="67">
        <f t="shared" si="86"/>
        <v>15127017.824772267</v>
      </c>
      <c r="AN194" s="67">
        <f t="shared" si="87"/>
        <v>30617080.042315383</v>
      </c>
      <c r="AO194" s="67">
        <f t="shared" si="88"/>
        <v>0</v>
      </c>
      <c r="AP194" s="67">
        <f t="shared" si="89"/>
        <v>-82910.725130793522</v>
      </c>
      <c r="AQ194" s="67">
        <f t="shared" si="90"/>
        <v>-9095.4214274974347</v>
      </c>
      <c r="AR194" s="67">
        <f t="shared" si="91"/>
        <v>-18598.929640871167</v>
      </c>
      <c r="AS194" s="67">
        <f t="shared" si="92"/>
        <v>-29378.318583534758</v>
      </c>
      <c r="AT194" s="68">
        <v>2253</v>
      </c>
      <c r="AU194" s="68"/>
      <c r="AV194" s="68"/>
      <c r="AW194" s="68">
        <v>395</v>
      </c>
      <c r="AX194" s="68">
        <v>12901.000168517508</v>
      </c>
      <c r="AY194" s="68">
        <v>-2336.0725545011906</v>
      </c>
      <c r="AZ194" s="68">
        <v>2887.0746934870481</v>
      </c>
      <c r="BA194" s="299"/>
      <c r="BB194" s="67"/>
      <c r="BC194" s="67"/>
      <c r="BD194" s="67"/>
      <c r="BE194" s="67"/>
      <c r="BF194" s="67"/>
      <c r="BG194" s="67"/>
      <c r="BH194" s="67"/>
      <c r="BN194" s="299"/>
      <c r="BO194" s="67">
        <v>17757198.293870769</v>
      </c>
      <c r="BP194" s="67">
        <v>27896959.150000006</v>
      </c>
      <c r="BQ194" s="67">
        <v>30320000</v>
      </c>
      <c r="BR194" s="67">
        <v>493632.54</v>
      </c>
      <c r="BS194" s="67">
        <v>513000</v>
      </c>
      <c r="BT194" s="428">
        <v>0.55672056986846197</v>
      </c>
      <c r="BU194" s="428">
        <v>0.33464287704132478</v>
      </c>
      <c r="BV194" s="67">
        <f t="shared" si="93"/>
        <v>17901406.770514477</v>
      </c>
      <c r="BW194" s="299"/>
      <c r="BX194" s="67">
        <v>46828488</v>
      </c>
      <c r="BY194" s="67">
        <v>17757198.293870769</v>
      </c>
      <c r="BZ194" s="67">
        <v>25433447.918797757</v>
      </c>
      <c r="CA194" s="67">
        <v>13112156.161592567</v>
      </c>
      <c r="CB194" s="67">
        <f t="shared" si="94"/>
        <v>790371.78733711038</v>
      </c>
      <c r="CC194" s="67">
        <f t="shared" si="95"/>
        <v>-272.37318715189713</v>
      </c>
      <c r="CD194" s="67">
        <f t="shared" si="96"/>
        <v>-69.475424254369074</v>
      </c>
      <c r="CE194" s="67">
        <f t="shared" si="97"/>
        <v>202.89776289752805</v>
      </c>
      <c r="CF194" s="67">
        <f t="shared" si="98"/>
        <v>-187.89776289752805</v>
      </c>
      <c r="CG194" s="67">
        <f t="shared" si="99"/>
        <v>-172.89776289752805</v>
      </c>
      <c r="CH194" s="67">
        <f t="shared" si="100"/>
        <v>-157.89776289752805</v>
      </c>
      <c r="CI194" s="67">
        <f t="shared" si="101"/>
        <v>-142.89776289752805</v>
      </c>
      <c r="CJ194" s="67">
        <f t="shared" si="102"/>
        <v>-1172482.0404805751</v>
      </c>
      <c r="CK194" s="67">
        <f t="shared" si="103"/>
        <v>-1078882.0404805751</v>
      </c>
      <c r="CL194" s="67">
        <f t="shared" si="104"/>
        <v>-985282.04048057506</v>
      </c>
      <c r="CM194" s="67">
        <f t="shared" si="105"/>
        <v>-891682.04048057506</v>
      </c>
      <c r="CN194" s="299"/>
      <c r="CO194" s="430">
        <v>20008.88355671199</v>
      </c>
      <c r="CP194" s="430">
        <v>3120.7348262864766</v>
      </c>
      <c r="CQ194" s="430">
        <v>2021.4190000000001</v>
      </c>
      <c r="CR194" s="430">
        <v>18455188.372585651</v>
      </c>
      <c r="CS194" s="430">
        <v>3328170.5478133834</v>
      </c>
      <c r="CT194" s="430">
        <v>4120216.2465880457</v>
      </c>
      <c r="CU194" s="430">
        <v>1235397.0917646484</v>
      </c>
      <c r="CV194" s="430">
        <v>-360824</v>
      </c>
      <c r="CW194" s="430">
        <v>54155.927299708157</v>
      </c>
      <c r="CX194" s="430">
        <v>-587520.98</v>
      </c>
      <c r="CY194" s="430">
        <v>17860625.667684618</v>
      </c>
      <c r="CZ194" s="519"/>
      <c r="DA194" s="524">
        <v>20180.105500000001</v>
      </c>
      <c r="DB194" s="524">
        <v>3096.3311090137936</v>
      </c>
      <c r="DC194" s="520">
        <f t="shared" si="106"/>
        <v>-1</v>
      </c>
      <c r="DD194" s="440">
        <v>6286</v>
      </c>
      <c r="DE194" s="450">
        <v>17757198.293870769</v>
      </c>
      <c r="DF194" s="440">
        <v>9172373.8633925691</v>
      </c>
      <c r="DG194" s="440">
        <v>2071630.2615999999</v>
      </c>
      <c r="DH194" s="440">
        <v>1868152.0366</v>
      </c>
      <c r="DI194" s="440">
        <v>3318202.7865931862</v>
      </c>
      <c r="DJ194" s="440">
        <v>1236363.0053127431</v>
      </c>
      <c r="DK194" s="440">
        <v>790103.50519285083</v>
      </c>
      <c r="DL194" s="440">
        <v>-355742</v>
      </c>
      <c r="DM194" s="440">
        <v>-579000</v>
      </c>
      <c r="DN194" s="440">
        <v>54616.991236936214</v>
      </c>
      <c r="DO194" s="457">
        <f t="shared" si="107"/>
        <v>-180497.84394248575</v>
      </c>
      <c r="DP194" s="459">
        <f t="shared" si="108"/>
        <v>-28.714260888082364</v>
      </c>
      <c r="DQ194" s="440"/>
      <c r="DR194" s="450">
        <v>46828488</v>
      </c>
      <c r="DS194" s="440">
        <v>20559589.602297757</v>
      </c>
      <c r="DT194" s="440">
        <v>2802228.0549000003</v>
      </c>
      <c r="DU194" s="440">
        <v>18445253.912585653</v>
      </c>
      <c r="DV194" s="440">
        <v>4123437.6987997913</v>
      </c>
      <c r="DW194" s="440">
        <v>1136888.2615999999</v>
      </c>
      <c r="DX194" s="457">
        <f t="shared" si="109"/>
        <v>238909.53018320352</v>
      </c>
      <c r="DY194" s="459">
        <f t="shared" si="110"/>
        <v>38.006606774292635</v>
      </c>
      <c r="DZ194" s="440"/>
      <c r="EA194" s="457">
        <f t="shared" si="111"/>
        <v>-419407.37412568927</v>
      </c>
      <c r="EB194" s="459">
        <f t="shared" si="112"/>
        <v>-66.720867662374999</v>
      </c>
      <c r="ED194" s="457">
        <v>445593.05768416025</v>
      </c>
      <c r="EE194" s="458">
        <v>343157.94238587847</v>
      </c>
      <c r="EF194" s="458">
        <v>242024.5839560148</v>
      </c>
      <c r="EG194" s="458">
        <v>140252.74165226816</v>
      </c>
      <c r="EH194" s="459">
        <v>39826.353752709176</v>
      </c>
    </row>
    <row r="195" spans="1:138" x14ac:dyDescent="0.2">
      <c r="A195" s="67">
        <v>599</v>
      </c>
      <c r="B195" s="67" t="s">
        <v>562</v>
      </c>
      <c r="C195" s="67">
        <v>15</v>
      </c>
      <c r="D195" s="67">
        <v>11206</v>
      </c>
      <c r="E195" s="82">
        <v>33136954.334270097</v>
      </c>
      <c r="F195" s="67">
        <v>14460171.916455401</v>
      </c>
      <c r="G195" s="67">
        <v>2449354</v>
      </c>
      <c r="H195" s="67">
        <v>2756066.6365261287</v>
      </c>
      <c r="I195" s="67">
        <v>17553874.288712289</v>
      </c>
      <c r="J195" s="67">
        <v>1970430.45633497</v>
      </c>
      <c r="K195" s="67">
        <v>-2253755.0919483542</v>
      </c>
      <c r="L195" s="67">
        <v>-919269</v>
      </c>
      <c r="M195" s="68">
        <v>18082.59</v>
      </c>
      <c r="N195" s="68">
        <v>95226.005530367416</v>
      </c>
      <c r="O195" s="68">
        <v>-326132.32404431148</v>
      </c>
      <c r="P195" s="168">
        <f t="shared" si="78"/>
        <v>2667095.1432963964</v>
      </c>
      <c r="Q195" s="169">
        <f t="shared" si="79"/>
        <v>238.00599172732433</v>
      </c>
      <c r="R195" s="67"/>
      <c r="S195" s="82">
        <v>72649088.75999999</v>
      </c>
      <c r="T195" s="67">
        <v>34497400.426519029</v>
      </c>
      <c r="U195" s="67">
        <v>4142236.6146327495</v>
      </c>
      <c r="V195" s="67">
        <v>26426250.837361664</v>
      </c>
      <c r="W195" s="67">
        <v>6571651.8462631181</v>
      </c>
      <c r="X195" s="67">
        <v>1548167.59</v>
      </c>
      <c r="Y195" s="168">
        <f t="shared" si="80"/>
        <v>536618.55477656424</v>
      </c>
      <c r="Z195" s="169">
        <f t="shared" si="81"/>
        <v>47.886717363605591</v>
      </c>
      <c r="AA195" s="67"/>
      <c r="AB195" s="77">
        <f t="shared" si="82"/>
        <v>2130476.5885198321</v>
      </c>
      <c r="AC195" s="123">
        <f t="shared" si="83"/>
        <v>190.11927436371874</v>
      </c>
      <c r="AE195" s="170"/>
      <c r="AF195" s="177">
        <v>-1949520.6773163578</v>
      </c>
      <c r="AG195" s="177">
        <v>-1810630.4495000332</v>
      </c>
      <c r="AH195" s="177">
        <v>-1659607.1663332172</v>
      </c>
      <c r="AI195" s="178">
        <v>-1510875.152309417</v>
      </c>
      <c r="AK195" s="67">
        <f t="shared" si="84"/>
        <v>20037228.510063626</v>
      </c>
      <c r="AL195" s="67">
        <f t="shared" si="85"/>
        <v>1386169.9781066207</v>
      </c>
      <c r="AM195" s="67">
        <f t="shared" si="86"/>
        <v>8872376.5486493744</v>
      </c>
      <c r="AN195" s="67">
        <f t="shared" si="87"/>
        <v>39512134.425729893</v>
      </c>
      <c r="AO195" s="67">
        <f t="shared" si="88"/>
        <v>0</v>
      </c>
      <c r="AP195" s="67">
        <f t="shared" si="89"/>
        <v>-1949520.6773163578</v>
      </c>
      <c r="AQ195" s="67">
        <f t="shared" si="90"/>
        <v>-1810630.4495000332</v>
      </c>
      <c r="AR195" s="67">
        <f t="shared" si="91"/>
        <v>-1659607.1663332172</v>
      </c>
      <c r="AS195" s="67">
        <f t="shared" si="92"/>
        <v>-1510875.152309417</v>
      </c>
      <c r="AT195" s="68">
        <v>3187</v>
      </c>
      <c r="AU195" s="68"/>
      <c r="AV195" s="68"/>
      <c r="AW195" s="68">
        <v>0</v>
      </c>
      <c r="AX195" s="68">
        <v>5278.9355512875391</v>
      </c>
      <c r="AY195" s="68">
        <v>-4221.4141912494442</v>
      </c>
      <c r="AZ195" s="68">
        <v>4642.9929080809698</v>
      </c>
      <c r="BA195" s="299"/>
      <c r="BB195" s="67"/>
      <c r="BC195" s="67"/>
      <c r="BD195" s="67"/>
      <c r="BE195" s="67"/>
      <c r="BF195" s="67"/>
      <c r="BG195" s="67"/>
      <c r="BH195" s="67"/>
      <c r="BN195" s="299"/>
      <c r="BO195" s="67">
        <v>32314923.911107644</v>
      </c>
      <c r="BP195" s="67">
        <v>36195760.909999996</v>
      </c>
      <c r="BQ195" s="67">
        <v>38501000</v>
      </c>
      <c r="BR195" s="67">
        <v>850662.87</v>
      </c>
      <c r="BS195" s="67">
        <v>881000</v>
      </c>
      <c r="BT195" s="428">
        <v>0.58083299791657628</v>
      </c>
      <c r="BU195" s="428">
        <v>0.33464287704132484</v>
      </c>
      <c r="BV195" s="67">
        <f t="shared" si="93"/>
        <v>11219842.846629167</v>
      </c>
      <c r="BW195" s="299"/>
      <c r="BX195" s="67">
        <v>71345907.879999995</v>
      </c>
      <c r="BY195" s="67">
        <v>32314923.911107644</v>
      </c>
      <c r="BZ195" s="67">
        <v>40912980.396933742</v>
      </c>
      <c r="CA195" s="67">
        <v>19746940.920366965</v>
      </c>
      <c r="CB195" s="67">
        <f t="shared" si="94"/>
        <v>-2293013.7465704144</v>
      </c>
      <c r="CC195" s="67">
        <f t="shared" si="95"/>
        <v>47.886717363605946</v>
      </c>
      <c r="CD195" s="67">
        <f t="shared" si="96"/>
        <v>263.60599792242067</v>
      </c>
      <c r="CE195" s="67">
        <f t="shared" si="97"/>
        <v>215.71928055881472</v>
      </c>
      <c r="CF195" s="67">
        <f t="shared" si="98"/>
        <v>-200.71928055881472</v>
      </c>
      <c r="CG195" s="67">
        <f t="shared" si="99"/>
        <v>-185.71928055881472</v>
      </c>
      <c r="CH195" s="67">
        <f t="shared" si="100"/>
        <v>-170.71928055881472</v>
      </c>
      <c r="CI195" s="67">
        <f t="shared" si="101"/>
        <v>-155.71928055881472</v>
      </c>
      <c r="CJ195" s="67">
        <f t="shared" si="102"/>
        <v>-2249260.2579420777</v>
      </c>
      <c r="CK195" s="67">
        <f t="shared" si="103"/>
        <v>-2081170.2579420777</v>
      </c>
      <c r="CL195" s="67">
        <f t="shared" si="104"/>
        <v>-1913080.2579420777</v>
      </c>
      <c r="CM195" s="67">
        <f t="shared" si="105"/>
        <v>-1744990.2579420777</v>
      </c>
      <c r="CN195" s="299"/>
      <c r="CO195" s="430">
        <v>34497.400426519031</v>
      </c>
      <c r="CP195" s="430">
        <v>4142.2366146327495</v>
      </c>
      <c r="CQ195" s="430">
        <v>2449.3539999999998</v>
      </c>
      <c r="CR195" s="430">
        <v>26426250.837361664</v>
      </c>
      <c r="CS195" s="430">
        <v>17553874.288712289</v>
      </c>
      <c r="CT195" s="430">
        <v>6571651.8462631181</v>
      </c>
      <c r="CU195" s="430">
        <v>1970430.45633497</v>
      </c>
      <c r="CV195" s="430">
        <v>-919269</v>
      </c>
      <c r="CW195" s="430">
        <v>95226.005530367416</v>
      </c>
      <c r="CX195" s="430">
        <v>18082.59</v>
      </c>
      <c r="CY195" s="430">
        <v>33136954.334270097</v>
      </c>
      <c r="CZ195" s="519"/>
      <c r="DA195" s="524">
        <v>35652.280729999999</v>
      </c>
      <c r="DB195" s="524">
        <v>4109.8458234005811</v>
      </c>
      <c r="DC195" s="520">
        <f t="shared" si="106"/>
        <v>-1</v>
      </c>
      <c r="DD195" s="440">
        <v>11172</v>
      </c>
      <c r="DE195" s="450">
        <v>32314923.911107644</v>
      </c>
      <c r="DF195" s="440">
        <v>14667579.482466962</v>
      </c>
      <c r="DG195" s="440">
        <v>2599712.1891000005</v>
      </c>
      <c r="DH195" s="440">
        <v>2479649.2488000002</v>
      </c>
      <c r="DI195" s="440">
        <v>17527469.466187034</v>
      </c>
      <c r="DJ195" s="440">
        <v>1988318.7222106038</v>
      </c>
      <c r="DK195" s="440">
        <v>-2312518.0982698658</v>
      </c>
      <c r="DL195" s="440">
        <v>-853420</v>
      </c>
      <c r="DM195" s="440">
        <v>104700</v>
      </c>
      <c r="DN195" s="440">
        <v>93823.392497485387</v>
      </c>
      <c r="DO195" s="457">
        <f t="shared" si="107"/>
        <v>3980390.4918845743</v>
      </c>
      <c r="DP195" s="459">
        <f t="shared" si="108"/>
        <v>356.28271499145848</v>
      </c>
      <c r="DQ195" s="440"/>
      <c r="DR195" s="450">
        <v>71345907.879999995</v>
      </c>
      <c r="DS195" s="440">
        <v>34593794.334633745</v>
      </c>
      <c r="DT195" s="440">
        <v>3719473.8732000003</v>
      </c>
      <c r="DU195" s="440">
        <v>26360091.622693948</v>
      </c>
      <c r="DV195" s="440">
        <v>6631311.6302915737</v>
      </c>
      <c r="DW195" s="440">
        <v>1850992.1891000005</v>
      </c>
      <c r="DX195" s="457">
        <f t="shared" si="109"/>
        <v>1809755.7699192762</v>
      </c>
      <c r="DY195" s="459">
        <f t="shared" si="110"/>
        <v>161.99031238088759</v>
      </c>
      <c r="DZ195" s="440"/>
      <c r="EA195" s="457">
        <f t="shared" si="111"/>
        <v>2170634.7219652981</v>
      </c>
      <c r="EB195" s="459">
        <f t="shared" si="112"/>
        <v>194.29240261057089</v>
      </c>
      <c r="ED195" s="457">
        <v>-2124095.3556408961</v>
      </c>
      <c r="EE195" s="458">
        <v>-1970991.5293781541</v>
      </c>
      <c r="EF195" s="458">
        <v>-1815574.1129572883</v>
      </c>
      <c r="EG195" s="458">
        <v>-1661291.4629759737</v>
      </c>
      <c r="EH195" s="459">
        <v>-1504617.5599555909</v>
      </c>
    </row>
    <row r="196" spans="1:138" x14ac:dyDescent="0.2">
      <c r="A196" s="67">
        <v>583</v>
      </c>
      <c r="B196" s="67" t="s">
        <v>316</v>
      </c>
      <c r="C196" s="67">
        <v>19</v>
      </c>
      <c r="D196" s="67">
        <v>947</v>
      </c>
      <c r="E196" s="82">
        <v>3166219.0221534809</v>
      </c>
      <c r="F196" s="67">
        <v>1366604.1923153289</v>
      </c>
      <c r="G196" s="67">
        <v>2066305</v>
      </c>
      <c r="H196" s="67">
        <v>304555.49999102234</v>
      </c>
      <c r="I196" s="67">
        <v>778013.54954019852</v>
      </c>
      <c r="J196" s="67">
        <v>194648.58204048802</v>
      </c>
      <c r="K196" s="67">
        <v>-629030.17722693109</v>
      </c>
      <c r="L196" s="67">
        <v>-156686</v>
      </c>
      <c r="M196" s="68">
        <v>426.16</v>
      </c>
      <c r="N196" s="68">
        <v>8325.9720002042523</v>
      </c>
      <c r="O196" s="68">
        <v>-27560.887994820896</v>
      </c>
      <c r="P196" s="168">
        <f t="shared" si="78"/>
        <v>739382.86851200904</v>
      </c>
      <c r="Q196" s="169">
        <f t="shared" si="79"/>
        <v>780.76332472229046</v>
      </c>
      <c r="R196" s="67"/>
      <c r="S196" s="82">
        <v>9792334.9400000013</v>
      </c>
      <c r="T196" s="67">
        <v>3086556.5577228311</v>
      </c>
      <c r="U196" s="67">
        <v>457732.38082541438</v>
      </c>
      <c r="V196" s="67">
        <v>4691561.9957051016</v>
      </c>
      <c r="W196" s="67">
        <v>649179.32496746571</v>
      </c>
      <c r="X196" s="67">
        <v>1910045.16</v>
      </c>
      <c r="Y196" s="168">
        <f t="shared" si="80"/>
        <v>1002740.4792208113</v>
      </c>
      <c r="Z196" s="169">
        <f t="shared" si="81"/>
        <v>1058.8600625351755</v>
      </c>
      <c r="AA196" s="67"/>
      <c r="AB196" s="77">
        <f t="shared" si="82"/>
        <v>-263357.61070880224</v>
      </c>
      <c r="AC196" s="123">
        <f t="shared" si="83"/>
        <v>-278.09673781288518</v>
      </c>
      <c r="AE196" s="170"/>
      <c r="AF196" s="177">
        <v>250239.88698130535</v>
      </c>
      <c r="AG196" s="177">
        <v>233567.26389921177</v>
      </c>
      <c r="AH196" s="177">
        <v>217919.98468798341</v>
      </c>
      <c r="AI196" s="178">
        <v>202079.07421864007</v>
      </c>
      <c r="AK196" s="67">
        <f t="shared" si="84"/>
        <v>1719952.3654075023</v>
      </c>
      <c r="AL196" s="67">
        <f t="shared" si="85"/>
        <v>153176.88083439204</v>
      </c>
      <c r="AM196" s="67">
        <f t="shared" si="86"/>
        <v>3913548.4461649032</v>
      </c>
      <c r="AN196" s="67">
        <f t="shared" si="87"/>
        <v>6626115.9178465204</v>
      </c>
      <c r="AO196" s="67">
        <f t="shared" si="88"/>
        <v>0</v>
      </c>
      <c r="AP196" s="67">
        <f t="shared" si="89"/>
        <v>250239.88698130535</v>
      </c>
      <c r="AQ196" s="67">
        <f t="shared" si="90"/>
        <v>233567.26389921177</v>
      </c>
      <c r="AR196" s="67">
        <f t="shared" si="91"/>
        <v>217919.98468798341</v>
      </c>
      <c r="AS196" s="67">
        <f t="shared" si="92"/>
        <v>202079.07421864007</v>
      </c>
      <c r="AT196" s="68">
        <v>264</v>
      </c>
      <c r="AU196" s="68"/>
      <c r="AV196" s="68"/>
      <c r="AW196" s="68">
        <v>1</v>
      </c>
      <c r="AX196" s="68">
        <v>2926.9852288909115</v>
      </c>
      <c r="AY196" s="68">
        <v>-303.85215508056859</v>
      </c>
      <c r="AZ196" s="68">
        <v>457.3698034239635</v>
      </c>
      <c r="BA196" s="299"/>
      <c r="BB196" s="67"/>
      <c r="BC196" s="67"/>
      <c r="BD196" s="67"/>
      <c r="BE196" s="67"/>
      <c r="BF196" s="67"/>
      <c r="BG196" s="67"/>
      <c r="BH196" s="67"/>
      <c r="BN196" s="299"/>
      <c r="BO196" s="67">
        <v>3777209.5436497461</v>
      </c>
      <c r="BP196" s="67">
        <v>5988599</v>
      </c>
      <c r="BQ196" s="67">
        <v>6409000</v>
      </c>
      <c r="BR196" s="67">
        <v>202971</v>
      </c>
      <c r="BS196" s="67">
        <v>216000</v>
      </c>
      <c r="BT196" s="428">
        <v>0.5572398669008779</v>
      </c>
      <c r="BU196" s="428">
        <v>0.33464287704132489</v>
      </c>
      <c r="BV196" s="67">
        <f t="shared" si="93"/>
        <v>3739049.0118649499</v>
      </c>
      <c r="BW196" s="299"/>
      <c r="BX196" s="67">
        <v>10527511</v>
      </c>
      <c r="BY196" s="67">
        <v>3777209.5436497461</v>
      </c>
      <c r="BZ196" s="67">
        <v>5487728.1764072273</v>
      </c>
      <c r="CA196" s="67">
        <v>3696021.9564245185</v>
      </c>
      <c r="CB196" s="67">
        <f t="shared" si="94"/>
        <v>-767474.9265224837</v>
      </c>
      <c r="CC196" s="67">
        <f t="shared" si="95"/>
        <v>1058.8600625351758</v>
      </c>
      <c r="CD196" s="67">
        <f t="shared" si="96"/>
        <v>663.6737140562592</v>
      </c>
      <c r="CE196" s="67">
        <f t="shared" si="97"/>
        <v>-395.18634847891656</v>
      </c>
      <c r="CF196" s="67">
        <f t="shared" si="98"/>
        <v>380.18634847891656</v>
      </c>
      <c r="CG196" s="67">
        <f t="shared" si="99"/>
        <v>365.18634847891656</v>
      </c>
      <c r="CH196" s="67">
        <f t="shared" si="100"/>
        <v>350.18634847891656</v>
      </c>
      <c r="CI196" s="67">
        <f t="shared" si="101"/>
        <v>335.18634847891656</v>
      </c>
      <c r="CJ196" s="67">
        <f t="shared" si="102"/>
        <v>360036.47200953396</v>
      </c>
      <c r="CK196" s="67">
        <f t="shared" si="103"/>
        <v>345831.47200953396</v>
      </c>
      <c r="CL196" s="67">
        <f t="shared" si="104"/>
        <v>331626.47200953396</v>
      </c>
      <c r="CM196" s="67">
        <f t="shared" si="105"/>
        <v>317421.47200953396</v>
      </c>
      <c r="CN196" s="299"/>
      <c r="CO196" s="430">
        <v>3086.5565577228313</v>
      </c>
      <c r="CP196" s="430">
        <v>457.7323808254144</v>
      </c>
      <c r="CQ196" s="430">
        <v>2066.3049999999998</v>
      </c>
      <c r="CR196" s="430">
        <v>4691561.9957051016</v>
      </c>
      <c r="CS196" s="430">
        <v>778013.54954019852</v>
      </c>
      <c r="CT196" s="430">
        <v>649179.32496746571</v>
      </c>
      <c r="CU196" s="430">
        <v>194648.58204048802</v>
      </c>
      <c r="CV196" s="430">
        <v>-156686</v>
      </c>
      <c r="CW196" s="430">
        <v>8325.9720002042523</v>
      </c>
      <c r="CX196" s="430">
        <v>426.16</v>
      </c>
      <c r="CY196" s="430">
        <v>3166219.0221534809</v>
      </c>
      <c r="CZ196" s="519"/>
      <c r="DA196" s="524">
        <v>3164.0442799999996</v>
      </c>
      <c r="DB196" s="524">
        <v>454.15255390423812</v>
      </c>
      <c r="DC196" s="520">
        <f t="shared" si="106"/>
        <v>-1</v>
      </c>
      <c r="DD196" s="440">
        <v>924</v>
      </c>
      <c r="DE196" s="450">
        <v>3777209.5436497461</v>
      </c>
      <c r="DF196" s="440">
        <v>1354192.3024245184</v>
      </c>
      <c r="DG196" s="440">
        <v>2067819.2919999999</v>
      </c>
      <c r="DH196" s="440">
        <v>274010.36200000002</v>
      </c>
      <c r="DI196" s="440">
        <v>776560.86938306922</v>
      </c>
      <c r="DJ196" s="440">
        <v>195864.38341072551</v>
      </c>
      <c r="DK196" s="440">
        <v>-767234.31895424612</v>
      </c>
      <c r="DL196" s="440">
        <v>-156686</v>
      </c>
      <c r="DM196" s="440">
        <v>-10390</v>
      </c>
      <c r="DN196" s="440">
        <v>7942.1545114159808</v>
      </c>
      <c r="DO196" s="457">
        <f t="shared" si="107"/>
        <v>-35130.498874263372</v>
      </c>
      <c r="DP196" s="459">
        <f t="shared" si="108"/>
        <v>-38.020020426691964</v>
      </c>
      <c r="DQ196" s="440"/>
      <c r="DR196" s="450">
        <v>10527511</v>
      </c>
      <c r="DS196" s="440">
        <v>3008893.3414072278</v>
      </c>
      <c r="DT196" s="440">
        <v>411015.54300000001</v>
      </c>
      <c r="DU196" s="440">
        <v>4690116.5157051012</v>
      </c>
      <c r="DV196" s="440">
        <v>653234.186834689</v>
      </c>
      <c r="DW196" s="440">
        <v>1900743.2919999999</v>
      </c>
      <c r="DX196" s="457">
        <f t="shared" si="109"/>
        <v>136491.87894701771</v>
      </c>
      <c r="DY196" s="459">
        <f t="shared" si="110"/>
        <v>147.71848370889364</v>
      </c>
      <c r="DZ196" s="440"/>
      <c r="EA196" s="457">
        <f t="shared" si="111"/>
        <v>-171622.37782128109</v>
      </c>
      <c r="EB196" s="459">
        <f t="shared" si="112"/>
        <v>-185.7385041355856</v>
      </c>
      <c r="ED196" s="457">
        <v>175471.49834435165</v>
      </c>
      <c r="EE196" s="458">
        <v>160414.22081721001</v>
      </c>
      <c r="EF196" s="458">
        <v>145548.29285201847</v>
      </c>
      <c r="EG196" s="458">
        <v>130588.51202340536</v>
      </c>
      <c r="EH196" s="459">
        <v>115826.50400253478</v>
      </c>
    </row>
    <row r="197" spans="1:138" x14ac:dyDescent="0.2">
      <c r="A197" s="67">
        <v>854</v>
      </c>
      <c r="B197" s="67" t="s">
        <v>317</v>
      </c>
      <c r="C197" s="67">
        <v>19</v>
      </c>
      <c r="D197" s="67">
        <v>3262</v>
      </c>
      <c r="E197" s="82">
        <v>8773313.3835232668</v>
      </c>
      <c r="F197" s="67">
        <v>4279869.4143510871</v>
      </c>
      <c r="G197" s="67">
        <v>969355</v>
      </c>
      <c r="H197" s="67">
        <v>793852.59771055321</v>
      </c>
      <c r="I197" s="67">
        <v>2602161.5267423694</v>
      </c>
      <c r="J197" s="67">
        <v>680070.52048472036</v>
      </c>
      <c r="K197" s="67">
        <v>-537094.95409285265</v>
      </c>
      <c r="L197" s="67">
        <v>-344028</v>
      </c>
      <c r="M197" s="68">
        <v>694523.5</v>
      </c>
      <c r="N197" s="68">
        <v>28316.333887165994</v>
      </c>
      <c r="O197" s="68">
        <v>-94935.181245095839</v>
      </c>
      <c r="P197" s="168">
        <f t="shared" si="78"/>
        <v>298777.37431468087</v>
      </c>
      <c r="Q197" s="169">
        <f t="shared" si="79"/>
        <v>91.593309109344233</v>
      </c>
      <c r="R197" s="67"/>
      <c r="S197" s="82">
        <v>30306964.27</v>
      </c>
      <c r="T197" s="67">
        <v>10251045.221144149</v>
      </c>
      <c r="U197" s="67">
        <v>1193122.5657891675</v>
      </c>
      <c r="V197" s="67">
        <v>15050930.88087628</v>
      </c>
      <c r="W197" s="67">
        <v>2268127.0872382307</v>
      </c>
      <c r="X197" s="67">
        <v>1319850.5</v>
      </c>
      <c r="Y197" s="168">
        <f t="shared" si="80"/>
        <v>-223888.01495217159</v>
      </c>
      <c r="Z197" s="169">
        <f t="shared" si="81"/>
        <v>-68.635197716790799</v>
      </c>
      <c r="AA197" s="67"/>
      <c r="AB197" s="77">
        <f t="shared" si="82"/>
        <v>522665.38926685246</v>
      </c>
      <c r="AC197" s="123">
        <f t="shared" si="83"/>
        <v>160.22850682613503</v>
      </c>
      <c r="AE197" s="170"/>
      <c r="AF197" s="177">
        <v>-469990.19898078125</v>
      </c>
      <c r="AG197" s="177">
        <v>-429560.07912205817</v>
      </c>
      <c r="AH197" s="177">
        <v>-385598.09896052378</v>
      </c>
      <c r="AI197" s="178">
        <v>-342303.09362894826</v>
      </c>
      <c r="AK197" s="67">
        <f t="shared" si="84"/>
        <v>5971175.806793062</v>
      </c>
      <c r="AL197" s="67">
        <f t="shared" si="85"/>
        <v>399269.96807861433</v>
      </c>
      <c r="AM197" s="67">
        <f t="shared" si="86"/>
        <v>12448769.354133911</v>
      </c>
      <c r="AN197" s="67">
        <f t="shared" si="87"/>
        <v>21533650.886476733</v>
      </c>
      <c r="AO197" s="67">
        <f t="shared" si="88"/>
        <v>0</v>
      </c>
      <c r="AP197" s="67">
        <f t="shared" si="89"/>
        <v>-469990.19898078125</v>
      </c>
      <c r="AQ197" s="67">
        <f t="shared" si="90"/>
        <v>-429560.07912205817</v>
      </c>
      <c r="AR197" s="67">
        <f t="shared" si="91"/>
        <v>-385598.09896052378</v>
      </c>
      <c r="AS197" s="67">
        <f t="shared" si="92"/>
        <v>-342303.09362894826</v>
      </c>
      <c r="AT197" s="68">
        <v>1080</v>
      </c>
      <c r="AU197" s="68"/>
      <c r="AV197" s="68"/>
      <c r="AW197" s="68">
        <v>226</v>
      </c>
      <c r="AX197" s="68">
        <v>11334.474369078674</v>
      </c>
      <c r="AY197" s="68">
        <v>-1278.8970715935238</v>
      </c>
      <c r="AZ197" s="68">
        <v>1592.9701746957037</v>
      </c>
      <c r="BA197" s="299"/>
      <c r="BB197" s="67"/>
      <c r="BC197" s="67"/>
      <c r="BD197" s="67"/>
      <c r="BE197" s="67"/>
      <c r="BF197" s="67"/>
      <c r="BG197" s="67"/>
      <c r="BH197" s="67"/>
      <c r="BN197" s="299"/>
      <c r="BO197" s="67">
        <v>8941569.2440343499</v>
      </c>
      <c r="BP197" s="67">
        <v>19275300.16</v>
      </c>
      <c r="BQ197" s="67">
        <v>21603000</v>
      </c>
      <c r="BR197" s="67">
        <v>379747.44</v>
      </c>
      <c r="BS197" s="67">
        <v>395000</v>
      </c>
      <c r="BT197" s="428">
        <v>0.58249433867257894</v>
      </c>
      <c r="BU197" s="428">
        <v>0.33464287704132478</v>
      </c>
      <c r="BV197" s="67">
        <f t="shared" si="93"/>
        <v>13499730.966794567</v>
      </c>
      <c r="BW197" s="299"/>
      <c r="BX197" s="67">
        <v>28771140</v>
      </c>
      <c r="BY197" s="67">
        <v>8941569.2440343499</v>
      </c>
      <c r="BZ197" s="67">
        <v>12733729.155698789</v>
      </c>
      <c r="CA197" s="67">
        <v>6220912.6388481893</v>
      </c>
      <c r="CB197" s="67">
        <f t="shared" si="94"/>
        <v>515913.49292802199</v>
      </c>
      <c r="CC197" s="67">
        <f t="shared" si="95"/>
        <v>-68.635197716790515</v>
      </c>
      <c r="CD197" s="67">
        <f t="shared" si="96"/>
        <v>443.50735824054294</v>
      </c>
      <c r="CE197" s="67">
        <f t="shared" si="97"/>
        <v>512.14255595733346</v>
      </c>
      <c r="CF197" s="67">
        <f t="shared" si="98"/>
        <v>-497.14255595733346</v>
      </c>
      <c r="CG197" s="67">
        <f t="shared" si="99"/>
        <v>-482.14255595733346</v>
      </c>
      <c r="CH197" s="67">
        <f t="shared" si="100"/>
        <v>-467.14255595733346</v>
      </c>
      <c r="CI197" s="67">
        <f t="shared" si="101"/>
        <v>-452.14255595733346</v>
      </c>
      <c r="CJ197" s="67">
        <f t="shared" si="102"/>
        <v>-1621679.0175328217</v>
      </c>
      <c r="CK197" s="67">
        <f t="shared" si="103"/>
        <v>-1572749.0175328217</v>
      </c>
      <c r="CL197" s="67">
        <f t="shared" si="104"/>
        <v>-1523819.0175328217</v>
      </c>
      <c r="CM197" s="67">
        <f t="shared" si="105"/>
        <v>-1474889.0175328217</v>
      </c>
      <c r="CN197" s="299"/>
      <c r="CO197" s="430">
        <v>10251.04522114415</v>
      </c>
      <c r="CP197" s="430">
        <v>1193.1225657891675</v>
      </c>
      <c r="CQ197" s="430">
        <v>969.35500000000002</v>
      </c>
      <c r="CR197" s="430">
        <v>15050930.88087628</v>
      </c>
      <c r="CS197" s="430">
        <v>2602161.5267423694</v>
      </c>
      <c r="CT197" s="430">
        <v>2268127.0872382307</v>
      </c>
      <c r="CU197" s="430">
        <v>680070.52048472036</v>
      </c>
      <c r="CV197" s="430">
        <v>-344028</v>
      </c>
      <c r="CW197" s="430">
        <v>28316.333887165994</v>
      </c>
      <c r="CX197" s="430">
        <v>694523.5</v>
      </c>
      <c r="CY197" s="430">
        <v>8773313.3835232668</v>
      </c>
      <c r="CZ197" s="519"/>
      <c r="DA197" s="524">
        <v>10654.01597</v>
      </c>
      <c r="DB197" s="524">
        <v>1183.7918269676888</v>
      </c>
      <c r="DC197" s="520">
        <f t="shared" si="106"/>
        <v>-1</v>
      </c>
      <c r="DD197" s="440">
        <v>3296</v>
      </c>
      <c r="DE197" s="450">
        <v>8941569.2440343499</v>
      </c>
      <c r="DF197" s="440">
        <v>4510442.0809481889</v>
      </c>
      <c r="DG197" s="440">
        <v>996236.73949999991</v>
      </c>
      <c r="DH197" s="440">
        <v>714233.81839999999</v>
      </c>
      <c r="DI197" s="440">
        <v>2596995.5866483622</v>
      </c>
      <c r="DJ197" s="440">
        <v>682174.72758959653</v>
      </c>
      <c r="DK197" s="440">
        <v>515586.66422165488</v>
      </c>
      <c r="DL197" s="440">
        <v>-318879</v>
      </c>
      <c r="DM197" s="440">
        <v>154000</v>
      </c>
      <c r="DN197" s="440">
        <v>28869.573875693022</v>
      </c>
      <c r="DO197" s="457">
        <f t="shared" si="107"/>
        <v>938090.94714914635</v>
      </c>
      <c r="DP197" s="459">
        <f t="shared" si="108"/>
        <v>284.61497182923131</v>
      </c>
      <c r="DQ197" s="440"/>
      <c r="DR197" s="450">
        <v>28771140</v>
      </c>
      <c r="DS197" s="440">
        <v>10666141.688598789</v>
      </c>
      <c r="DT197" s="440">
        <v>1071350.7275999999</v>
      </c>
      <c r="DU197" s="440">
        <v>15045788.050876277</v>
      </c>
      <c r="DV197" s="440">
        <v>2275144.9022853002</v>
      </c>
      <c r="DW197" s="440">
        <v>831357.73949999991</v>
      </c>
      <c r="DX197" s="457">
        <f t="shared" si="109"/>
        <v>1118643.108860366</v>
      </c>
      <c r="DY197" s="459">
        <f t="shared" si="110"/>
        <v>339.39414710569361</v>
      </c>
      <c r="DZ197" s="440"/>
      <c r="EA197" s="457">
        <f t="shared" si="111"/>
        <v>-180552.1617112197</v>
      </c>
      <c r="EB197" s="459">
        <f t="shared" si="112"/>
        <v>-54.77917527646229</v>
      </c>
      <c r="ED197" s="457">
        <v>194282.357862782</v>
      </c>
      <c r="EE197" s="458">
        <v>140571.54971401702</v>
      </c>
      <c r="EF197" s="458">
        <v>87543.304504848915</v>
      </c>
      <c r="EG197" s="458">
        <v>34180.276787198745</v>
      </c>
      <c r="EH197" s="459">
        <v>-1269.4373447887888</v>
      </c>
    </row>
    <row r="198" spans="1:138" x14ac:dyDescent="0.2">
      <c r="A198" s="67">
        <v>584</v>
      </c>
      <c r="B198" s="67" t="s">
        <v>318</v>
      </c>
      <c r="C198" s="67">
        <v>16</v>
      </c>
      <c r="D198" s="67">
        <v>2653</v>
      </c>
      <c r="E198" s="82">
        <v>10417361.030116037</v>
      </c>
      <c r="F198" s="67">
        <v>2841891.3156854305</v>
      </c>
      <c r="G198" s="67">
        <v>859002</v>
      </c>
      <c r="H198" s="67">
        <v>626080.18959739013</v>
      </c>
      <c r="I198" s="67">
        <v>5525774.1407506019</v>
      </c>
      <c r="J198" s="67">
        <v>531683.76091442816</v>
      </c>
      <c r="K198" s="67">
        <v>-485502.29660352558</v>
      </c>
      <c r="L198" s="67">
        <v>241881</v>
      </c>
      <c r="M198" s="68">
        <v>-497942.89</v>
      </c>
      <c r="N198" s="68">
        <v>17724.499742156702</v>
      </c>
      <c r="O198" s="68">
        <v>-77211.231098479242</v>
      </c>
      <c r="P198" s="168">
        <f t="shared" si="78"/>
        <v>-833980.54112803435</v>
      </c>
      <c r="Q198" s="169">
        <f t="shared" si="79"/>
        <v>-314.35376597362773</v>
      </c>
      <c r="R198" s="67"/>
      <c r="S198" s="82">
        <v>22831125.629999999</v>
      </c>
      <c r="T198" s="67">
        <v>6514558.7698708083</v>
      </c>
      <c r="U198" s="67">
        <v>940968.64374633809</v>
      </c>
      <c r="V198" s="67">
        <v>11667265.84597639</v>
      </c>
      <c r="W198" s="67">
        <v>1773237.1918064989</v>
      </c>
      <c r="X198" s="67">
        <v>602940.11</v>
      </c>
      <c r="Y198" s="168">
        <f t="shared" si="80"/>
        <v>-1332155.0685999654</v>
      </c>
      <c r="Z198" s="169">
        <f t="shared" si="81"/>
        <v>-502.13157504710341</v>
      </c>
      <c r="AA198" s="67"/>
      <c r="AB198" s="77">
        <f t="shared" si="82"/>
        <v>498174.52747193107</v>
      </c>
      <c r="AC198" s="123">
        <f t="shared" si="83"/>
        <v>187.77780907347571</v>
      </c>
      <c r="AE198" s="170"/>
      <c r="AF198" s="177">
        <v>-455333.54653111566</v>
      </c>
      <c r="AG198" s="177">
        <v>-422451.53917820571</v>
      </c>
      <c r="AH198" s="177">
        <v>-386697.0531670007</v>
      </c>
      <c r="AI198" s="178">
        <v>-351485.0209338094</v>
      </c>
      <c r="AK198" s="67">
        <f t="shared" si="84"/>
        <v>3672667.4541853778</v>
      </c>
      <c r="AL198" s="67">
        <f t="shared" si="85"/>
        <v>314888.45414894796</v>
      </c>
      <c r="AM198" s="67">
        <f t="shared" si="86"/>
        <v>6141491.7052257881</v>
      </c>
      <c r="AN198" s="67">
        <f t="shared" si="87"/>
        <v>12413764.599883962</v>
      </c>
      <c r="AO198" s="67">
        <f t="shared" si="88"/>
        <v>0</v>
      </c>
      <c r="AP198" s="67">
        <f t="shared" si="89"/>
        <v>-455333.54653111566</v>
      </c>
      <c r="AQ198" s="67">
        <f t="shared" si="90"/>
        <v>-422451.53917820571</v>
      </c>
      <c r="AR198" s="67">
        <f t="shared" si="91"/>
        <v>-386697.0531670007</v>
      </c>
      <c r="AS198" s="67">
        <f t="shared" si="92"/>
        <v>-351485.0209338094</v>
      </c>
      <c r="AT198" s="68">
        <v>1677</v>
      </c>
      <c r="AU198" s="68"/>
      <c r="AV198" s="68"/>
      <c r="AW198" s="68">
        <v>55</v>
      </c>
      <c r="AX198" s="68">
        <v>4411.3829963040553</v>
      </c>
      <c r="AY198" s="68">
        <v>-1904.6150386579825</v>
      </c>
      <c r="AZ198" s="68">
        <v>1244.2729753530039</v>
      </c>
      <c r="BA198" s="299"/>
      <c r="BB198" s="67"/>
      <c r="BC198" s="67"/>
      <c r="BD198" s="67"/>
      <c r="BE198" s="67"/>
      <c r="BF198" s="67"/>
      <c r="BG198" s="67"/>
      <c r="BH198" s="67"/>
      <c r="BN198" s="299"/>
      <c r="BO198" s="67">
        <v>10323354.80207249</v>
      </c>
      <c r="BP198" s="67">
        <v>11260131.07</v>
      </c>
      <c r="BQ198" s="67">
        <v>11954000</v>
      </c>
      <c r="BR198" s="67">
        <v>346170.32999999996</v>
      </c>
      <c r="BS198" s="67">
        <v>451000</v>
      </c>
      <c r="BT198" s="428">
        <v>0.56376303966603269</v>
      </c>
      <c r="BU198" s="428">
        <v>0.33464287704132478</v>
      </c>
      <c r="BV198" s="67">
        <f t="shared" si="93"/>
        <v>6897542.8395143328</v>
      </c>
      <c r="BW198" s="299"/>
      <c r="BX198" s="67">
        <v>22483990</v>
      </c>
      <c r="BY198" s="67">
        <v>10323354.80207249</v>
      </c>
      <c r="BZ198" s="67">
        <v>8445572.9623848721</v>
      </c>
      <c r="CA198" s="67">
        <v>4381408.7286729608</v>
      </c>
      <c r="CB198" s="67">
        <f t="shared" si="94"/>
        <v>-333045.27564965439</v>
      </c>
      <c r="CC198" s="67">
        <f t="shared" si="95"/>
        <v>-502.13157504710256</v>
      </c>
      <c r="CD198" s="67">
        <f t="shared" si="96"/>
        <v>-227.78450398631097</v>
      </c>
      <c r="CE198" s="67">
        <f t="shared" si="97"/>
        <v>274.34707106079156</v>
      </c>
      <c r="CF198" s="67">
        <f t="shared" si="98"/>
        <v>-259.34707106079156</v>
      </c>
      <c r="CG198" s="67">
        <f t="shared" si="99"/>
        <v>-244.34707106079156</v>
      </c>
      <c r="CH198" s="67">
        <f t="shared" si="100"/>
        <v>-229.34707106079156</v>
      </c>
      <c r="CI198" s="67">
        <f t="shared" si="101"/>
        <v>-214.34707106079156</v>
      </c>
      <c r="CJ198" s="67">
        <f t="shared" si="102"/>
        <v>-688047.77952427999</v>
      </c>
      <c r="CK198" s="67">
        <f t="shared" si="103"/>
        <v>-648252.77952427999</v>
      </c>
      <c r="CL198" s="67">
        <f t="shared" si="104"/>
        <v>-608457.77952427999</v>
      </c>
      <c r="CM198" s="67">
        <f t="shared" si="105"/>
        <v>-568662.77952427999</v>
      </c>
      <c r="CN198" s="299"/>
      <c r="CO198" s="430">
        <v>6514.5587698708086</v>
      </c>
      <c r="CP198" s="430">
        <v>940.9686437463381</v>
      </c>
      <c r="CQ198" s="430">
        <v>859.00199999999995</v>
      </c>
      <c r="CR198" s="430">
        <v>11667265.84597639</v>
      </c>
      <c r="CS198" s="430">
        <v>5525774.1407506019</v>
      </c>
      <c r="CT198" s="430">
        <v>1773237.1918064989</v>
      </c>
      <c r="CU198" s="430">
        <v>531683.76091442816</v>
      </c>
      <c r="CV198" s="430">
        <v>241881</v>
      </c>
      <c r="CW198" s="430">
        <v>17724.499742156702</v>
      </c>
      <c r="CX198" s="430">
        <v>-497942.89</v>
      </c>
      <c r="CY198" s="430">
        <v>10417361.030116037</v>
      </c>
      <c r="CZ198" s="519"/>
      <c r="DA198" s="524">
        <v>6735.7464900000004</v>
      </c>
      <c r="DB198" s="524">
        <v>933.60993534194665</v>
      </c>
      <c r="DC198" s="520">
        <f t="shared" si="106"/>
        <v>-1</v>
      </c>
      <c r="DD198" s="440">
        <v>2676</v>
      </c>
      <c r="DE198" s="450">
        <v>10323354.80207249</v>
      </c>
      <c r="DF198" s="440">
        <v>2981066.5618729605</v>
      </c>
      <c r="DG198" s="440">
        <v>837054.1638000001</v>
      </c>
      <c r="DH198" s="440">
        <v>563288.00300000003</v>
      </c>
      <c r="DI198" s="440">
        <v>5521482.3392354855</v>
      </c>
      <c r="DJ198" s="440">
        <v>532848.38064885698</v>
      </c>
      <c r="DK198" s="440">
        <v>-333224.47355662909</v>
      </c>
      <c r="DL198" s="440">
        <v>300087</v>
      </c>
      <c r="DM198" s="440">
        <v>330150</v>
      </c>
      <c r="DN198" s="440">
        <v>18015.353155508958</v>
      </c>
      <c r="DO198" s="457">
        <f t="shared" si="107"/>
        <v>427412.52608369291</v>
      </c>
      <c r="DP198" s="459">
        <f t="shared" si="108"/>
        <v>159.72067491916775</v>
      </c>
      <c r="DQ198" s="440"/>
      <c r="DR198" s="450">
        <v>22483990</v>
      </c>
      <c r="DS198" s="440">
        <v>6763586.7940848721</v>
      </c>
      <c r="DT198" s="440">
        <v>844932.00450000004</v>
      </c>
      <c r="DU198" s="440">
        <v>11662975.58597639</v>
      </c>
      <c r="DV198" s="440">
        <v>1777121.3560018609</v>
      </c>
      <c r="DW198" s="440">
        <v>1467291.1638000002</v>
      </c>
      <c r="DX198" s="457">
        <f t="shared" si="109"/>
        <v>31916.904363121837</v>
      </c>
      <c r="DY198" s="459">
        <f t="shared" si="110"/>
        <v>11.927094306099342</v>
      </c>
      <c r="DZ198" s="440"/>
      <c r="EA198" s="457">
        <f t="shared" si="111"/>
        <v>395495.62172057107</v>
      </c>
      <c r="EB198" s="459">
        <f t="shared" si="112"/>
        <v>147.7935806130684</v>
      </c>
      <c r="ED198" s="457">
        <v>-384348.16877712845</v>
      </c>
      <c r="EE198" s="458">
        <v>-347675.60888820101</v>
      </c>
      <c r="EF198" s="458">
        <v>-310448.88078739215</v>
      </c>
      <c r="EG198" s="458">
        <v>-273493.96032999887</v>
      </c>
      <c r="EH198" s="459">
        <v>-235966.26927355913</v>
      </c>
    </row>
    <row r="199" spans="1:138" x14ac:dyDescent="0.2">
      <c r="A199" s="67">
        <v>588</v>
      </c>
      <c r="B199" s="67" t="s">
        <v>319</v>
      </c>
      <c r="C199" s="67">
        <v>10</v>
      </c>
      <c r="D199" s="67">
        <v>1600</v>
      </c>
      <c r="E199" s="82">
        <v>4673003.4454298411</v>
      </c>
      <c r="F199" s="67">
        <v>1892923.8712007941</v>
      </c>
      <c r="G199" s="67">
        <v>941897</v>
      </c>
      <c r="H199" s="67">
        <v>659907.23888497381</v>
      </c>
      <c r="I199" s="67">
        <v>419008.31234798656</v>
      </c>
      <c r="J199" s="67">
        <v>387658.98398264812</v>
      </c>
      <c r="K199" s="67">
        <v>-721788.82450356137</v>
      </c>
      <c r="L199" s="67">
        <v>-353048</v>
      </c>
      <c r="M199" s="68">
        <v>101203.47</v>
      </c>
      <c r="N199" s="68">
        <v>12706.125171523527</v>
      </c>
      <c r="O199" s="68">
        <v>-46565.386263688946</v>
      </c>
      <c r="P199" s="168">
        <f t="shared" si="78"/>
        <v>-1379100.6546091652</v>
      </c>
      <c r="Q199" s="169">
        <f t="shared" si="79"/>
        <v>-861.93790913072826</v>
      </c>
      <c r="R199" s="67"/>
      <c r="S199" s="82">
        <v>14567924.560000001</v>
      </c>
      <c r="T199" s="67">
        <v>4419572.9150058068</v>
      </c>
      <c r="U199" s="67">
        <v>991809.08434636262</v>
      </c>
      <c r="V199" s="67">
        <v>5360933.760418538</v>
      </c>
      <c r="W199" s="67">
        <v>1292895.0979313189</v>
      </c>
      <c r="X199" s="67">
        <v>690052.47</v>
      </c>
      <c r="Y199" s="168">
        <f t="shared" si="80"/>
        <v>-1812661.2322979737</v>
      </c>
      <c r="Z199" s="169">
        <f t="shared" si="81"/>
        <v>-1132.9132701862336</v>
      </c>
      <c r="AA199" s="67"/>
      <c r="AB199" s="77">
        <f t="shared" si="82"/>
        <v>433560.57768880855</v>
      </c>
      <c r="AC199" s="123">
        <f t="shared" si="83"/>
        <v>270.97536105550535</v>
      </c>
      <c r="AE199" s="170"/>
      <c r="AF199" s="177">
        <v>-407723.57448289101</v>
      </c>
      <c r="AG199" s="177">
        <v>-387892.73702919483</v>
      </c>
      <c r="AH199" s="177">
        <v>-366329.53400698304</v>
      </c>
      <c r="AI199" s="178">
        <v>-345093.47988971724</v>
      </c>
      <c r="AK199" s="67">
        <f t="shared" si="84"/>
        <v>2526649.0438050125</v>
      </c>
      <c r="AL199" s="67">
        <f t="shared" si="85"/>
        <v>331901.84546138882</v>
      </c>
      <c r="AM199" s="67">
        <f t="shared" si="86"/>
        <v>4941925.4480705513</v>
      </c>
      <c r="AN199" s="67">
        <f t="shared" si="87"/>
        <v>9894921.1145701595</v>
      </c>
      <c r="AO199" s="67">
        <f t="shared" si="88"/>
        <v>0</v>
      </c>
      <c r="AP199" s="67">
        <f t="shared" si="89"/>
        <v>-407723.57448289101</v>
      </c>
      <c r="AQ199" s="67">
        <f t="shared" si="90"/>
        <v>-387892.73702919483</v>
      </c>
      <c r="AR199" s="67">
        <f t="shared" si="91"/>
        <v>-366329.53400698304</v>
      </c>
      <c r="AS199" s="67">
        <f t="shared" si="92"/>
        <v>-345093.47988971724</v>
      </c>
      <c r="AT199" s="68">
        <v>618</v>
      </c>
      <c r="AU199" s="68"/>
      <c r="AV199" s="68"/>
      <c r="AW199" s="68">
        <v>0</v>
      </c>
      <c r="AX199" s="68">
        <v>4114.572946478982</v>
      </c>
      <c r="AY199" s="68">
        <v>-779.72052961134011</v>
      </c>
      <c r="AZ199" s="68">
        <v>906.17459597087236</v>
      </c>
      <c r="BA199" s="299"/>
      <c r="BB199" s="67"/>
      <c r="BC199" s="67"/>
      <c r="BD199" s="67"/>
      <c r="BE199" s="67"/>
      <c r="BF199" s="67"/>
      <c r="BG199" s="67"/>
      <c r="BH199" s="67"/>
      <c r="BN199" s="299"/>
      <c r="BO199" s="67">
        <v>4406372.5962401554</v>
      </c>
      <c r="BP199" s="67">
        <v>9319979.0800000001</v>
      </c>
      <c r="BQ199" s="67">
        <v>9496000</v>
      </c>
      <c r="BR199" s="67">
        <v>155084.85</v>
      </c>
      <c r="BS199" s="67">
        <v>169000</v>
      </c>
      <c r="BT199" s="428">
        <v>0.57169529554004261</v>
      </c>
      <c r="BU199" s="428">
        <v>0.33464287704132484</v>
      </c>
      <c r="BV199" s="67">
        <f t="shared" si="93"/>
        <v>5125372.7375156609</v>
      </c>
      <c r="BW199" s="299"/>
      <c r="BX199" s="67">
        <v>13875900</v>
      </c>
      <c r="BY199" s="67">
        <v>4406372.5962401554</v>
      </c>
      <c r="BZ199" s="67">
        <v>6512314.1513809133</v>
      </c>
      <c r="CA199" s="67">
        <v>3582250.159489491</v>
      </c>
      <c r="CB199" s="67">
        <f t="shared" si="94"/>
        <v>-451437.37561086292</v>
      </c>
      <c r="CC199" s="67">
        <f t="shared" si="95"/>
        <v>-1132.9132701862334</v>
      </c>
      <c r="CD199" s="67">
        <f t="shared" si="96"/>
        <v>-663.86488715798612</v>
      </c>
      <c r="CE199" s="67">
        <f t="shared" si="97"/>
        <v>469.04838302824726</v>
      </c>
      <c r="CF199" s="67">
        <f t="shared" si="98"/>
        <v>-454.04838302824726</v>
      </c>
      <c r="CG199" s="67">
        <f t="shared" si="99"/>
        <v>-439.04838302824726</v>
      </c>
      <c r="CH199" s="67">
        <f t="shared" si="100"/>
        <v>-424.04838302824726</v>
      </c>
      <c r="CI199" s="67">
        <f t="shared" si="101"/>
        <v>-409.04838302824726</v>
      </c>
      <c r="CJ199" s="67">
        <f t="shared" si="102"/>
        <v>-726477.41284519562</v>
      </c>
      <c r="CK199" s="67">
        <f t="shared" si="103"/>
        <v>-702477.41284519562</v>
      </c>
      <c r="CL199" s="67">
        <f t="shared" si="104"/>
        <v>-678477.41284519562</v>
      </c>
      <c r="CM199" s="67">
        <f t="shared" si="105"/>
        <v>-654477.41284519562</v>
      </c>
      <c r="CN199" s="299"/>
      <c r="CO199" s="430">
        <v>4419.5729150058069</v>
      </c>
      <c r="CP199" s="430">
        <v>991.80908434636262</v>
      </c>
      <c r="CQ199" s="430">
        <v>941.89700000000005</v>
      </c>
      <c r="CR199" s="430">
        <v>5360933.760418538</v>
      </c>
      <c r="CS199" s="430">
        <v>419008.31234798656</v>
      </c>
      <c r="CT199" s="430">
        <v>1292895.0979313189</v>
      </c>
      <c r="CU199" s="430">
        <v>387658.98398264812</v>
      </c>
      <c r="CV199" s="430">
        <v>-353048</v>
      </c>
      <c r="CW199" s="430">
        <v>12706.125171523527</v>
      </c>
      <c r="CX199" s="430">
        <v>101203.47</v>
      </c>
      <c r="CY199" s="430">
        <v>4673003.4454298411</v>
      </c>
      <c r="CZ199" s="519"/>
      <c r="DA199" s="524">
        <v>4732.4804100000001</v>
      </c>
      <c r="DB199" s="524">
        <v>984.05222219912378</v>
      </c>
      <c r="DC199" s="520">
        <f t="shared" si="106"/>
        <v>-1</v>
      </c>
      <c r="DD199" s="440">
        <v>1644</v>
      </c>
      <c r="DE199" s="450">
        <v>4406372.5962401554</v>
      </c>
      <c r="DF199" s="440">
        <v>2023448.1841894905</v>
      </c>
      <c r="DG199" s="440">
        <v>965079.57850000006</v>
      </c>
      <c r="DH199" s="440">
        <v>593722.39679999999</v>
      </c>
      <c r="DI199" s="440">
        <v>416420.42685479089</v>
      </c>
      <c r="DJ199" s="440">
        <v>388060.88021900854</v>
      </c>
      <c r="DK199" s="440">
        <v>-451611.41258085769</v>
      </c>
      <c r="DL199" s="440">
        <v>-353048</v>
      </c>
      <c r="DM199" s="440">
        <v>43280</v>
      </c>
      <c r="DN199" s="440">
        <v>12988.190079600527</v>
      </c>
      <c r="DO199" s="457">
        <f t="shared" si="107"/>
        <v>-768032.35217812285</v>
      </c>
      <c r="DP199" s="459">
        <f t="shared" si="108"/>
        <v>-467.17296361199686</v>
      </c>
      <c r="DQ199" s="440"/>
      <c r="DR199" s="450">
        <v>13875900</v>
      </c>
      <c r="DS199" s="440">
        <v>4656650.9776809132</v>
      </c>
      <c r="DT199" s="440">
        <v>890583.59519999998</v>
      </c>
      <c r="DU199" s="440">
        <v>5358356.8704185365</v>
      </c>
      <c r="DV199" s="440">
        <v>1294235.4761898809</v>
      </c>
      <c r="DW199" s="440">
        <v>655311.57850000006</v>
      </c>
      <c r="DX199" s="457">
        <f t="shared" si="109"/>
        <v>-1020761.5020106696</v>
      </c>
      <c r="DY199" s="459">
        <f t="shared" si="110"/>
        <v>-620.90115694079657</v>
      </c>
      <c r="DZ199" s="440"/>
      <c r="EA199" s="457">
        <f t="shared" si="111"/>
        <v>252729.14983254671</v>
      </c>
      <c r="EB199" s="459">
        <f t="shared" si="112"/>
        <v>153.7281933287997</v>
      </c>
      <c r="ED199" s="457">
        <v>-245880.71461617234</v>
      </c>
      <c r="EE199" s="458">
        <v>-223350.93567095682</v>
      </c>
      <c r="EF199" s="458">
        <v>-200480.7036090249</v>
      </c>
      <c r="EG199" s="458">
        <v>-177777.45651188196</v>
      </c>
      <c r="EH199" s="459">
        <v>-154722.3279256387</v>
      </c>
    </row>
    <row r="200" spans="1:138" x14ac:dyDescent="0.2">
      <c r="A200" s="67">
        <v>592</v>
      </c>
      <c r="B200" s="67" t="s">
        <v>320</v>
      </c>
      <c r="C200" s="67">
        <v>13</v>
      </c>
      <c r="D200" s="67">
        <v>3651</v>
      </c>
      <c r="E200" s="82">
        <v>12636642.791164754</v>
      </c>
      <c r="F200" s="67">
        <v>5232788.663220088</v>
      </c>
      <c r="G200" s="67">
        <v>1084918</v>
      </c>
      <c r="H200" s="67">
        <v>1041503.422735902</v>
      </c>
      <c r="I200" s="67">
        <v>3563856.7121611363</v>
      </c>
      <c r="J200" s="67">
        <v>700478.59328419995</v>
      </c>
      <c r="K200" s="67">
        <v>-241310.5960531543</v>
      </c>
      <c r="L200" s="67">
        <v>-165857</v>
      </c>
      <c r="M200" s="68">
        <v>-46432.12</v>
      </c>
      <c r="N200" s="68">
        <v>32393.709744239433</v>
      </c>
      <c r="O200" s="68">
        <v>-106256.39078045521</v>
      </c>
      <c r="P200" s="168">
        <f t="shared" si="78"/>
        <v>-1540559.796852798</v>
      </c>
      <c r="Q200" s="169">
        <f t="shared" si="79"/>
        <v>-421.9555729533821</v>
      </c>
      <c r="R200" s="67"/>
      <c r="S200" s="82">
        <v>27416068.940000001</v>
      </c>
      <c r="T200" s="67">
        <v>11996712.470788643</v>
      </c>
      <c r="U200" s="67">
        <v>1565329.936056894</v>
      </c>
      <c r="V200" s="67">
        <v>8864301.2029203698</v>
      </c>
      <c r="W200" s="67">
        <v>2336190.767872171</v>
      </c>
      <c r="X200" s="67">
        <v>872628.88</v>
      </c>
      <c r="Y200" s="168">
        <f t="shared" si="80"/>
        <v>-1780905.6823619269</v>
      </c>
      <c r="Z200" s="169">
        <f t="shared" si="81"/>
        <v>-487.78572510597832</v>
      </c>
      <c r="AA200" s="67"/>
      <c r="AB200" s="77">
        <f t="shared" si="82"/>
        <v>240345.88550912892</v>
      </c>
      <c r="AC200" s="123">
        <f t="shared" si="83"/>
        <v>65.830152152596256</v>
      </c>
      <c r="AE200" s="170"/>
      <c r="AF200" s="177">
        <v>-181389.073818623</v>
      </c>
      <c r="AG200" s="177">
        <v>-136137.58160397012</v>
      </c>
      <c r="AH200" s="177">
        <v>-86933.047707660415</v>
      </c>
      <c r="AI200" s="178">
        <v>-38475.026718824643</v>
      </c>
      <c r="AK200" s="67">
        <f t="shared" si="84"/>
        <v>6763923.8075685548</v>
      </c>
      <c r="AL200" s="67">
        <f t="shared" si="85"/>
        <v>523826.513320992</v>
      </c>
      <c r="AM200" s="67">
        <f t="shared" si="86"/>
        <v>5300444.490759233</v>
      </c>
      <c r="AN200" s="67">
        <f t="shared" si="87"/>
        <v>14779426.148835247</v>
      </c>
      <c r="AO200" s="67">
        <f t="shared" si="88"/>
        <v>0</v>
      </c>
      <c r="AP200" s="67">
        <f t="shared" si="89"/>
        <v>-181389.073818623</v>
      </c>
      <c r="AQ200" s="67">
        <f t="shared" si="90"/>
        <v>-136137.58160397012</v>
      </c>
      <c r="AR200" s="67">
        <f t="shared" si="91"/>
        <v>-86933.047707660415</v>
      </c>
      <c r="AS200" s="67">
        <f t="shared" si="92"/>
        <v>-38475.026718824643</v>
      </c>
      <c r="AT200" s="68">
        <v>957</v>
      </c>
      <c r="AU200" s="68"/>
      <c r="AV200" s="68"/>
      <c r="AW200" s="68">
        <v>17</v>
      </c>
      <c r="AX200" s="68">
        <v>3985.427349941016</v>
      </c>
      <c r="AY200" s="68">
        <v>-1394.4892956252452</v>
      </c>
      <c r="AZ200" s="68">
        <v>1636.2079469416653</v>
      </c>
      <c r="BA200" s="299"/>
      <c r="BB200" s="67"/>
      <c r="BC200" s="67"/>
      <c r="BD200" s="67"/>
      <c r="BE200" s="67"/>
      <c r="BF200" s="67"/>
      <c r="BG200" s="67"/>
      <c r="BH200" s="67"/>
      <c r="BN200" s="299"/>
      <c r="BO200" s="67">
        <v>12654949.607371395</v>
      </c>
      <c r="BP200" s="67">
        <v>13666920.51</v>
      </c>
      <c r="BQ200" s="67">
        <v>14211000</v>
      </c>
      <c r="BR200" s="67">
        <v>346796.04</v>
      </c>
      <c r="BS200" s="67">
        <v>363000</v>
      </c>
      <c r="BT200" s="428">
        <v>0.56381478042741706</v>
      </c>
      <c r="BU200" s="428">
        <v>0.33464287704132478</v>
      </c>
      <c r="BV200" s="67">
        <f t="shared" si="93"/>
        <v>6694846.0692940513</v>
      </c>
      <c r="BW200" s="299"/>
      <c r="BX200" s="67">
        <v>26505400</v>
      </c>
      <c r="BY200" s="67">
        <v>12654949.607371395</v>
      </c>
      <c r="BZ200" s="67">
        <v>14669693.330234336</v>
      </c>
      <c r="CA200" s="67">
        <v>7393095.165978699</v>
      </c>
      <c r="CB200" s="67">
        <f t="shared" si="94"/>
        <v>244976.79940142695</v>
      </c>
      <c r="CC200" s="67">
        <f t="shared" si="95"/>
        <v>-487.78572510597769</v>
      </c>
      <c r="CD200" s="67">
        <f t="shared" si="96"/>
        <v>-259.65927434066305</v>
      </c>
      <c r="CE200" s="67">
        <f t="shared" si="97"/>
        <v>228.12645076531464</v>
      </c>
      <c r="CF200" s="67">
        <f t="shared" si="98"/>
        <v>-213.12645076531464</v>
      </c>
      <c r="CG200" s="67">
        <f t="shared" si="99"/>
        <v>-198.12645076531464</v>
      </c>
      <c r="CH200" s="67">
        <f t="shared" si="100"/>
        <v>-183.12645076531464</v>
      </c>
      <c r="CI200" s="67">
        <f t="shared" si="101"/>
        <v>-168.12645076531464</v>
      </c>
      <c r="CJ200" s="67">
        <f t="shared" si="102"/>
        <v>-778124.67174416373</v>
      </c>
      <c r="CK200" s="67">
        <f t="shared" si="103"/>
        <v>-723359.67174416373</v>
      </c>
      <c r="CL200" s="67">
        <f t="shared" si="104"/>
        <v>-668594.67174416373</v>
      </c>
      <c r="CM200" s="67">
        <f t="shared" si="105"/>
        <v>-613829.67174416373</v>
      </c>
      <c r="CN200" s="299"/>
      <c r="CO200" s="430">
        <v>11996.712470788643</v>
      </c>
      <c r="CP200" s="430">
        <v>1565.329936056894</v>
      </c>
      <c r="CQ200" s="430">
        <v>1084.9179999999999</v>
      </c>
      <c r="CR200" s="430">
        <v>8864301.2029203698</v>
      </c>
      <c r="CS200" s="430">
        <v>3563856.7121611363</v>
      </c>
      <c r="CT200" s="430">
        <v>2336190.767872171</v>
      </c>
      <c r="CU200" s="430">
        <v>700478.59328419995</v>
      </c>
      <c r="CV200" s="430">
        <v>-165857</v>
      </c>
      <c r="CW200" s="430">
        <v>32393.709744239433</v>
      </c>
      <c r="CX200" s="430">
        <v>-46432.12</v>
      </c>
      <c r="CY200" s="430">
        <v>12636642.791164754</v>
      </c>
      <c r="CZ200" s="519"/>
      <c r="DA200" s="524">
        <v>12140.738230000001</v>
      </c>
      <c r="DB200" s="524">
        <v>1553.0876152323808</v>
      </c>
      <c r="DC200" s="520">
        <f t="shared" si="106"/>
        <v>-1</v>
      </c>
      <c r="DD200" s="440">
        <v>3678</v>
      </c>
      <c r="DE200" s="450">
        <v>12654949.607371395</v>
      </c>
      <c r="DF200" s="440">
        <v>5358072.7699786983</v>
      </c>
      <c r="DG200" s="440">
        <v>1097975.6839999999</v>
      </c>
      <c r="DH200" s="440">
        <v>937046.71200000006</v>
      </c>
      <c r="DI200" s="440">
        <v>3557898.1141264164</v>
      </c>
      <c r="DJ200" s="440">
        <v>700690.90320418682</v>
      </c>
      <c r="DK200" s="440">
        <v>245058.35564861374</v>
      </c>
      <c r="DL200" s="440">
        <v>-80318</v>
      </c>
      <c r="DM200" s="440">
        <v>159500</v>
      </c>
      <c r="DN200" s="440">
        <v>32255.213658052646</v>
      </c>
      <c r="DO200" s="457">
        <f t="shared" si="107"/>
        <v>-646769.85475542769</v>
      </c>
      <c r="DP200" s="459">
        <f t="shared" si="108"/>
        <v>-175.84824762246538</v>
      </c>
      <c r="DQ200" s="440"/>
      <c r="DR200" s="450">
        <v>26505400</v>
      </c>
      <c r="DS200" s="440">
        <v>12166147.578234335</v>
      </c>
      <c r="DT200" s="440">
        <v>1405570.0680000002</v>
      </c>
      <c r="DU200" s="440">
        <v>8858350.9829203635</v>
      </c>
      <c r="DV200" s="440">
        <v>2336898.8501458522</v>
      </c>
      <c r="DW200" s="440">
        <v>1177157.6839999999</v>
      </c>
      <c r="DX200" s="457">
        <f t="shared" si="109"/>
        <v>-561274.83669944853</v>
      </c>
      <c r="DY200" s="459">
        <f t="shared" si="110"/>
        <v>-152.60327262083973</v>
      </c>
      <c r="DZ200" s="440"/>
      <c r="EA200" s="457">
        <f t="shared" si="111"/>
        <v>-85495.018055979162</v>
      </c>
      <c r="EB200" s="459">
        <f t="shared" si="112"/>
        <v>-23.244975001625654</v>
      </c>
      <c r="ED200" s="457">
        <v>100816.51728093054</v>
      </c>
      <c r="EE200" s="458">
        <v>40880.730760555052</v>
      </c>
      <c r="EF200" s="458">
        <v>6551.5968431335414</v>
      </c>
      <c r="EG200" s="458">
        <v>2173.8978305372589</v>
      </c>
      <c r="EH200" s="459">
        <v>-1416.5626681229264</v>
      </c>
    </row>
    <row r="201" spans="1:138" x14ac:dyDescent="0.2">
      <c r="A201" s="67">
        <v>593</v>
      </c>
      <c r="B201" s="67" t="s">
        <v>321</v>
      </c>
      <c r="C201" s="67">
        <v>10</v>
      </c>
      <c r="D201" s="67">
        <v>17077</v>
      </c>
      <c r="E201" s="82">
        <v>41022789.97054112</v>
      </c>
      <c r="F201" s="67">
        <v>26085340.296480134</v>
      </c>
      <c r="G201" s="67">
        <v>4855378</v>
      </c>
      <c r="H201" s="67">
        <v>4168815.4642426493</v>
      </c>
      <c r="I201" s="67">
        <v>4222742.5045052171</v>
      </c>
      <c r="J201" s="67">
        <v>3313749.6288933894</v>
      </c>
      <c r="K201" s="67">
        <v>-1911299.8023453685</v>
      </c>
      <c r="L201" s="67">
        <v>-1963133</v>
      </c>
      <c r="M201" s="68">
        <v>2225400.5499999998</v>
      </c>
      <c r="N201" s="68">
        <v>157083.87925007389</v>
      </c>
      <c r="O201" s="68">
        <v>-496998.18826563511</v>
      </c>
      <c r="P201" s="168">
        <f t="shared" si="78"/>
        <v>-365710.6377806649</v>
      </c>
      <c r="Q201" s="169">
        <f t="shared" si="79"/>
        <v>-21.415391332240141</v>
      </c>
      <c r="R201" s="67"/>
      <c r="S201" s="82">
        <v>130373937.06</v>
      </c>
      <c r="T201" s="67">
        <v>59328451.873847574</v>
      </c>
      <c r="U201" s="67">
        <v>6265530.6757745063</v>
      </c>
      <c r="V201" s="67">
        <v>46281380.653800882</v>
      </c>
      <c r="W201" s="67">
        <v>11051802.816363364</v>
      </c>
      <c r="X201" s="67">
        <v>5117645.55</v>
      </c>
      <c r="Y201" s="168">
        <f t="shared" si="80"/>
        <v>-2329125.4902136773</v>
      </c>
      <c r="Z201" s="169">
        <f t="shared" si="81"/>
        <v>-136.3896170412647</v>
      </c>
      <c r="AA201" s="67"/>
      <c r="AB201" s="77">
        <f t="shared" si="82"/>
        <v>1963414.8524330123</v>
      </c>
      <c r="AC201" s="123">
        <f t="shared" si="83"/>
        <v>114.97422570902455</v>
      </c>
      <c r="AE201" s="170"/>
      <c r="AF201" s="177">
        <v>-1687653.2875908348</v>
      </c>
      <c r="AG201" s="177">
        <v>-1475996.2805928539</v>
      </c>
      <c r="AH201" s="177">
        <v>-1245849.5193364089</v>
      </c>
      <c r="AI201" s="178">
        <v>-1019194.4592360669</v>
      </c>
      <c r="AK201" s="67">
        <f t="shared" si="84"/>
        <v>33243111.57736744</v>
      </c>
      <c r="AL201" s="67">
        <f t="shared" si="85"/>
        <v>2096715.211531857</v>
      </c>
      <c r="AM201" s="67">
        <f t="shared" si="86"/>
        <v>42058638.149295665</v>
      </c>
      <c r="AN201" s="67">
        <f t="shared" si="87"/>
        <v>89351147.089458883</v>
      </c>
      <c r="AO201" s="67">
        <f t="shared" si="88"/>
        <v>0</v>
      </c>
      <c r="AP201" s="67">
        <f t="shared" si="89"/>
        <v>-1687653.2875908348</v>
      </c>
      <c r="AQ201" s="67">
        <f t="shared" si="90"/>
        <v>-1475996.2805928539</v>
      </c>
      <c r="AR201" s="67">
        <f t="shared" si="91"/>
        <v>-1245849.5193364089</v>
      </c>
      <c r="AS201" s="67">
        <f t="shared" si="92"/>
        <v>-1019194.4592360669</v>
      </c>
      <c r="AT201" s="68">
        <v>6535</v>
      </c>
      <c r="AU201" s="68"/>
      <c r="AV201" s="68"/>
      <c r="AW201" s="68">
        <v>126</v>
      </c>
      <c r="AX201" s="68">
        <v>37991.787372072278</v>
      </c>
      <c r="AY201" s="68">
        <v>-4756.0657614262</v>
      </c>
      <c r="AZ201" s="68">
        <v>7754.7940134429091</v>
      </c>
      <c r="BA201" s="299"/>
      <c r="BB201" s="67"/>
      <c r="BC201" s="67"/>
      <c r="BD201" s="67"/>
      <c r="BE201" s="67"/>
      <c r="BF201" s="67"/>
      <c r="BG201" s="67"/>
      <c r="BH201" s="67"/>
      <c r="BN201" s="299"/>
      <c r="BO201" s="67">
        <v>41075572.832738891</v>
      </c>
      <c r="BP201" s="67">
        <v>80195188.690000013</v>
      </c>
      <c r="BQ201" s="67">
        <v>89347000</v>
      </c>
      <c r="BR201" s="67">
        <v>1536632.29</v>
      </c>
      <c r="BS201" s="67">
        <v>1755000</v>
      </c>
      <c r="BT201" s="428">
        <v>0.5603232602133893</v>
      </c>
      <c r="BU201" s="428">
        <v>0.33464287704132484</v>
      </c>
      <c r="BV201" s="67">
        <f t="shared" si="93"/>
        <v>47885391.534420274</v>
      </c>
      <c r="BW201" s="299"/>
      <c r="BX201" s="67">
        <v>127295651</v>
      </c>
      <c r="BY201" s="67">
        <v>41075572.832738891</v>
      </c>
      <c r="BZ201" s="67">
        <v>72118714.128152654</v>
      </c>
      <c r="CA201" s="67">
        <v>35957382.519529603</v>
      </c>
      <c r="CB201" s="67">
        <f t="shared" si="94"/>
        <v>167644.70490606059</v>
      </c>
      <c r="CC201" s="67">
        <f t="shared" si="95"/>
        <v>-136.38961704126453</v>
      </c>
      <c r="CD201" s="67">
        <f t="shared" si="96"/>
        <v>129.42742037456256</v>
      </c>
      <c r="CE201" s="67">
        <f t="shared" si="97"/>
        <v>265.81703741582709</v>
      </c>
      <c r="CF201" s="67">
        <f t="shared" si="98"/>
        <v>-250.81703741582709</v>
      </c>
      <c r="CG201" s="67">
        <f t="shared" si="99"/>
        <v>-235.81703741582709</v>
      </c>
      <c r="CH201" s="67">
        <f t="shared" si="100"/>
        <v>-220.81703741582709</v>
      </c>
      <c r="CI201" s="67">
        <f t="shared" si="101"/>
        <v>-205.81703741582709</v>
      </c>
      <c r="CJ201" s="67">
        <f t="shared" si="102"/>
        <v>-4283202.5479500787</v>
      </c>
      <c r="CK201" s="67">
        <f t="shared" si="103"/>
        <v>-4027047.5479500792</v>
      </c>
      <c r="CL201" s="67">
        <f t="shared" si="104"/>
        <v>-3770892.5479500792</v>
      </c>
      <c r="CM201" s="67">
        <f t="shared" si="105"/>
        <v>-3514737.5479500792</v>
      </c>
      <c r="CN201" s="299"/>
      <c r="CO201" s="430">
        <v>59328.451873847574</v>
      </c>
      <c r="CP201" s="430">
        <v>6265.5306757745066</v>
      </c>
      <c r="CQ201" s="430">
        <v>4855.3779999999997</v>
      </c>
      <c r="CR201" s="430">
        <v>46281380.653800882</v>
      </c>
      <c r="CS201" s="430">
        <v>4222742.5045052171</v>
      </c>
      <c r="CT201" s="430">
        <v>11051802.816363364</v>
      </c>
      <c r="CU201" s="430">
        <v>3313749.6288933894</v>
      </c>
      <c r="CV201" s="430">
        <v>-1963133</v>
      </c>
      <c r="CW201" s="430">
        <v>157083.87925007389</v>
      </c>
      <c r="CX201" s="430">
        <v>2225400.5499999998</v>
      </c>
      <c r="CY201" s="430">
        <v>41022789.97054112</v>
      </c>
      <c r="CZ201" s="519"/>
      <c r="DA201" s="524">
        <v>60654.949909999996</v>
      </c>
      <c r="DB201" s="524">
        <v>6216.5319579501556</v>
      </c>
      <c r="DC201" s="520">
        <f t="shared" si="106"/>
        <v>-1</v>
      </c>
      <c r="DD201" s="440">
        <v>17253</v>
      </c>
      <c r="DE201" s="450">
        <v>41075572.832738891</v>
      </c>
      <c r="DF201" s="440">
        <v>27311965.930729602</v>
      </c>
      <c r="DG201" s="440">
        <v>4894708.9690000005</v>
      </c>
      <c r="DH201" s="440">
        <v>3750707.6198000005</v>
      </c>
      <c r="DI201" s="440">
        <v>4195514.5638963524</v>
      </c>
      <c r="DJ201" s="440">
        <v>3320918.7326086592</v>
      </c>
      <c r="DK201" s="440">
        <v>165735.03372375845</v>
      </c>
      <c r="DL201" s="440">
        <v>-1972004</v>
      </c>
      <c r="DM201" s="440">
        <v>893000</v>
      </c>
      <c r="DN201" s="440">
        <v>160293.51227960046</v>
      </c>
      <c r="DO201" s="457">
        <f t="shared" si="107"/>
        <v>1645267.5292990804</v>
      </c>
      <c r="DP201" s="459">
        <f t="shared" si="108"/>
        <v>95.361243221415421</v>
      </c>
      <c r="DQ201" s="440"/>
      <c r="DR201" s="450">
        <v>127295651</v>
      </c>
      <c r="DS201" s="440">
        <v>61597943.729452662</v>
      </c>
      <c r="DT201" s="440">
        <v>5626061.4297000002</v>
      </c>
      <c r="DU201" s="440">
        <v>46254254.563800879</v>
      </c>
      <c r="DV201" s="440">
        <v>11075712.746051569</v>
      </c>
      <c r="DW201" s="440">
        <v>3815704.9690000005</v>
      </c>
      <c r="DX201" s="457">
        <f t="shared" si="109"/>
        <v>1074026.4380051196</v>
      </c>
      <c r="DY201" s="459">
        <f t="shared" si="110"/>
        <v>62.251575842179307</v>
      </c>
      <c r="DZ201" s="440"/>
      <c r="EA201" s="457">
        <f t="shared" si="111"/>
        <v>571241.09129396081</v>
      </c>
      <c r="EB201" s="459">
        <f t="shared" si="112"/>
        <v>33.109667379236122</v>
      </c>
      <c r="ED201" s="457">
        <v>-499370.01295573078</v>
      </c>
      <c r="EE201" s="458">
        <v>-262930.67223687225</v>
      </c>
      <c r="EF201" s="458">
        <v>-22918.43758692604</v>
      </c>
      <c r="EG201" s="458">
        <v>10197.460377993291</v>
      </c>
      <c r="EH201" s="459">
        <v>-6644.9036740415577</v>
      </c>
    </row>
    <row r="202" spans="1:138" x14ac:dyDescent="0.2">
      <c r="A202" s="67">
        <v>595</v>
      </c>
      <c r="B202" s="67" t="s">
        <v>322</v>
      </c>
      <c r="C202" s="67">
        <v>11</v>
      </c>
      <c r="D202" s="67">
        <v>4140</v>
      </c>
      <c r="E202" s="82">
        <v>12737961.010710031</v>
      </c>
      <c r="F202" s="67">
        <v>4790856.9671332696</v>
      </c>
      <c r="G202" s="67">
        <v>1228970</v>
      </c>
      <c r="H202" s="67">
        <v>1442321.547612126</v>
      </c>
      <c r="I202" s="67">
        <v>3595948.4537519137</v>
      </c>
      <c r="J202" s="67">
        <v>951056.2254325375</v>
      </c>
      <c r="K202" s="67">
        <v>911577.66748930363</v>
      </c>
      <c r="L202" s="67">
        <v>17472</v>
      </c>
      <c r="M202" s="68">
        <v>851444.39</v>
      </c>
      <c r="N202" s="68">
        <v>30069.172029069628</v>
      </c>
      <c r="O202" s="68">
        <v>-120487.93695729515</v>
      </c>
      <c r="P202" s="168">
        <f t="shared" si="78"/>
        <v>961267.47578089393</v>
      </c>
      <c r="Q202" s="169">
        <f t="shared" si="79"/>
        <v>232.19021154127873</v>
      </c>
      <c r="R202" s="67"/>
      <c r="S202" s="82">
        <v>36761833.579999998</v>
      </c>
      <c r="T202" s="67">
        <v>10830227.275612384</v>
      </c>
      <c r="U202" s="67">
        <v>2167740.4477139828</v>
      </c>
      <c r="V202" s="67">
        <v>19763645.01426987</v>
      </c>
      <c r="W202" s="67">
        <v>3171901.0329290587</v>
      </c>
      <c r="X202" s="67">
        <v>2097886.39</v>
      </c>
      <c r="Y202" s="168">
        <f t="shared" si="80"/>
        <v>1269566.5805252939</v>
      </c>
      <c r="Z202" s="169">
        <f t="shared" si="81"/>
        <v>306.65859432978112</v>
      </c>
      <c r="AA202" s="67"/>
      <c r="AB202" s="77">
        <f t="shared" si="82"/>
        <v>-308299.10474440001</v>
      </c>
      <c r="AC202" s="123">
        <f t="shared" si="83"/>
        <v>-74.468382788502424</v>
      </c>
      <c r="AE202" s="170"/>
      <c r="AF202" s="177">
        <v>250952.35053971657</v>
      </c>
      <c r="AG202" s="177">
        <v>178064.64245115538</v>
      </c>
      <c r="AH202" s="177">
        <v>109659.43027112857</v>
      </c>
      <c r="AI202" s="178">
        <v>40407.720299553686</v>
      </c>
      <c r="AK202" s="67">
        <f t="shared" si="84"/>
        <v>6039370.3084791144</v>
      </c>
      <c r="AL202" s="67">
        <f t="shared" si="85"/>
        <v>725418.90010185679</v>
      </c>
      <c r="AM202" s="67">
        <f t="shared" si="86"/>
        <v>16167696.560517956</v>
      </c>
      <c r="AN202" s="67">
        <f t="shared" si="87"/>
        <v>24023872.569289967</v>
      </c>
      <c r="AO202" s="67">
        <f t="shared" si="88"/>
        <v>0</v>
      </c>
      <c r="AP202" s="67">
        <f t="shared" si="89"/>
        <v>250952.35053971657</v>
      </c>
      <c r="AQ202" s="67">
        <f t="shared" si="90"/>
        <v>178064.64245115538</v>
      </c>
      <c r="AR202" s="67">
        <f t="shared" si="91"/>
        <v>109659.43027112857</v>
      </c>
      <c r="AS202" s="67">
        <f t="shared" si="92"/>
        <v>40407.720299553686</v>
      </c>
      <c r="AT202" s="68">
        <v>1866</v>
      </c>
      <c r="AU202" s="68"/>
      <c r="AV202" s="68"/>
      <c r="AW202" s="68">
        <v>13</v>
      </c>
      <c r="AX202" s="68">
        <v>13817.859186405369</v>
      </c>
      <c r="AY202" s="68">
        <v>-2649.2567143610618</v>
      </c>
      <c r="AZ202" s="68">
        <v>2224.1950969949935</v>
      </c>
      <c r="BA202" s="299"/>
      <c r="BB202" s="67"/>
      <c r="BC202" s="67"/>
      <c r="BD202" s="67"/>
      <c r="BE202" s="67"/>
      <c r="BF202" s="67"/>
      <c r="BG202" s="67"/>
      <c r="BH202" s="67"/>
      <c r="BN202" s="299"/>
      <c r="BO202" s="67">
        <v>12969307.350794822</v>
      </c>
      <c r="BP202" s="67">
        <v>22012982.809999999</v>
      </c>
      <c r="BQ202" s="67">
        <v>23507000</v>
      </c>
      <c r="BR202" s="67">
        <v>426731.29</v>
      </c>
      <c r="BS202" s="67">
        <v>523000</v>
      </c>
      <c r="BT202" s="428">
        <v>0.55764021887875148</v>
      </c>
      <c r="BU202" s="428">
        <v>0.33464287704132484</v>
      </c>
      <c r="BV202" s="67">
        <f t="shared" si="93"/>
        <v>19300119.035503782</v>
      </c>
      <c r="BW202" s="299"/>
      <c r="BX202" s="67">
        <v>37010280</v>
      </c>
      <c r="BY202" s="67">
        <v>12969307.350794822</v>
      </c>
      <c r="BZ202" s="67">
        <v>14443304.289222838</v>
      </c>
      <c r="CA202" s="67">
        <v>7536424.419266494</v>
      </c>
      <c r="CB202" s="67">
        <f t="shared" si="94"/>
        <v>915211.74287651503</v>
      </c>
      <c r="CC202" s="67">
        <f t="shared" si="95"/>
        <v>306.65859432978181</v>
      </c>
      <c r="CD202" s="67">
        <f t="shared" si="96"/>
        <v>262.17137394333349</v>
      </c>
      <c r="CE202" s="67">
        <f t="shared" si="97"/>
        <v>-44.487220386448314</v>
      </c>
      <c r="CF202" s="67">
        <f t="shared" si="98"/>
        <v>29.487220386448314</v>
      </c>
      <c r="CG202" s="67">
        <f t="shared" si="99"/>
        <v>14.487220386448314</v>
      </c>
      <c r="CH202" s="67">
        <f t="shared" si="100"/>
        <v>0</v>
      </c>
      <c r="CI202" s="67">
        <f t="shared" si="101"/>
        <v>0</v>
      </c>
      <c r="CJ202" s="67">
        <f t="shared" si="102"/>
        <v>122077.09239989602</v>
      </c>
      <c r="CK202" s="67">
        <f t="shared" si="103"/>
        <v>59977.092399896021</v>
      </c>
      <c r="CL202" s="67">
        <f t="shared" si="104"/>
        <v>0</v>
      </c>
      <c r="CM202" s="67">
        <f t="shared" si="105"/>
        <v>0</v>
      </c>
      <c r="CN202" s="299"/>
      <c r="CO202" s="430">
        <v>10830.227275612384</v>
      </c>
      <c r="CP202" s="430">
        <v>2167.7404477139826</v>
      </c>
      <c r="CQ202" s="430">
        <v>1228.97</v>
      </c>
      <c r="CR202" s="430">
        <v>19763645.01426987</v>
      </c>
      <c r="CS202" s="430">
        <v>3595948.4537519137</v>
      </c>
      <c r="CT202" s="430">
        <v>3171901.0329290587</v>
      </c>
      <c r="CU202" s="430">
        <v>951056.2254325375</v>
      </c>
      <c r="CV202" s="430">
        <v>17472</v>
      </c>
      <c r="CW202" s="430">
        <v>30069.172029069628</v>
      </c>
      <c r="CX202" s="430">
        <v>851444.39</v>
      </c>
      <c r="CY202" s="430">
        <v>12737961.010710031</v>
      </c>
      <c r="CZ202" s="519"/>
      <c r="DA202" s="524">
        <v>11090.2485</v>
      </c>
      <c r="DB202" s="524">
        <v>2150.7873869999462</v>
      </c>
      <c r="DC202" s="520">
        <f t="shared" si="106"/>
        <v>-1</v>
      </c>
      <c r="DD202" s="440">
        <v>4269</v>
      </c>
      <c r="DE202" s="450">
        <v>12969307.350794822</v>
      </c>
      <c r="DF202" s="440">
        <v>5009652.8316664938</v>
      </c>
      <c r="DG202" s="440">
        <v>1229106.4678</v>
      </c>
      <c r="DH202" s="440">
        <v>1297665.1198</v>
      </c>
      <c r="DI202" s="440">
        <v>3589167.5180314127</v>
      </c>
      <c r="DJ202" s="440">
        <v>952490.95588906156</v>
      </c>
      <c r="DK202" s="440">
        <v>914864.01242104999</v>
      </c>
      <c r="DL202" s="440">
        <v>-6024</v>
      </c>
      <c r="DM202" s="440">
        <v>442480</v>
      </c>
      <c r="DN202" s="440">
        <v>30616.351334378567</v>
      </c>
      <c r="DO202" s="457">
        <f t="shared" si="107"/>
        <v>490711.90614757501</v>
      </c>
      <c r="DP202" s="459">
        <f t="shared" si="108"/>
        <v>114.94774095750176</v>
      </c>
      <c r="DQ202" s="440"/>
      <c r="DR202" s="450">
        <v>37010280</v>
      </c>
      <c r="DS202" s="440">
        <v>11267700.141722837</v>
      </c>
      <c r="DT202" s="440">
        <v>1946497.6797</v>
      </c>
      <c r="DU202" s="440">
        <v>19756887.234269865</v>
      </c>
      <c r="DV202" s="440">
        <v>3176686.0528840548</v>
      </c>
      <c r="DW202" s="440">
        <v>1665562.4678</v>
      </c>
      <c r="DX202" s="457">
        <f t="shared" si="109"/>
        <v>803053.57637675852</v>
      </c>
      <c r="DY202" s="459">
        <f t="shared" si="110"/>
        <v>188.1128077715527</v>
      </c>
      <c r="DZ202" s="440"/>
      <c r="EA202" s="457">
        <f t="shared" si="111"/>
        <v>-312341.67022918351</v>
      </c>
      <c r="EB202" s="459">
        <f t="shared" si="112"/>
        <v>-73.165066814050945</v>
      </c>
      <c r="ED202" s="457">
        <v>330125.1069315577</v>
      </c>
      <c r="EE202" s="458">
        <v>260558.52926557537</v>
      </c>
      <c r="EF202" s="458">
        <v>191876.01142639495</v>
      </c>
      <c r="EG202" s="458">
        <v>122759.88116952342</v>
      </c>
      <c r="EH202" s="459">
        <v>54557.486969202495</v>
      </c>
    </row>
    <row r="203" spans="1:138" x14ac:dyDescent="0.2">
      <c r="A203" s="67">
        <v>598</v>
      </c>
      <c r="B203" s="67" t="s">
        <v>323</v>
      </c>
      <c r="C203" s="67">
        <v>15</v>
      </c>
      <c r="D203" s="67">
        <v>19207</v>
      </c>
      <c r="E203" s="82">
        <v>50096699.012085661</v>
      </c>
      <c r="F203" s="67">
        <v>30475873.077502325</v>
      </c>
      <c r="G203" s="67">
        <v>6963376</v>
      </c>
      <c r="H203" s="67">
        <v>7075820.0775337815</v>
      </c>
      <c r="I203" s="67">
        <v>11007485.245612307</v>
      </c>
      <c r="J203" s="67">
        <v>2992948.4784067981</v>
      </c>
      <c r="K203" s="67">
        <v>-7303298.7805607188</v>
      </c>
      <c r="L203" s="67">
        <v>2229776</v>
      </c>
      <c r="M203" s="68">
        <v>466025</v>
      </c>
      <c r="N203" s="68">
        <v>207278.1838071853</v>
      </c>
      <c r="O203" s="68">
        <v>-558988.35872917098</v>
      </c>
      <c r="P203" s="168">
        <f t="shared" si="78"/>
        <v>3459595.9114868469</v>
      </c>
      <c r="Q203" s="169">
        <f t="shared" si="79"/>
        <v>180.12161771681403</v>
      </c>
      <c r="R203" s="67"/>
      <c r="S203" s="82">
        <v>142567580</v>
      </c>
      <c r="T203" s="67">
        <v>73549325.738475055</v>
      </c>
      <c r="U203" s="67">
        <v>10634619.865598487</v>
      </c>
      <c r="V203" s="67">
        <v>38112298.801839717</v>
      </c>
      <c r="W203" s="67">
        <v>9981887.6279837582</v>
      </c>
      <c r="X203" s="67">
        <v>9659177</v>
      </c>
      <c r="Y203" s="168">
        <f t="shared" si="80"/>
        <v>-630270.96610298753</v>
      </c>
      <c r="Z203" s="169">
        <f t="shared" si="81"/>
        <v>-32.814649143696961</v>
      </c>
      <c r="AA203" s="67"/>
      <c r="AB203" s="77">
        <f t="shared" si="82"/>
        <v>4089866.8775898344</v>
      </c>
      <c r="AC203" s="123">
        <f t="shared" si="83"/>
        <v>212.93626686051098</v>
      </c>
      <c r="AE203" s="170"/>
      <c r="AF203" s="177">
        <v>-3779709.8022297504</v>
      </c>
      <c r="AG203" s="177">
        <v>-3541652.9928715364</v>
      </c>
      <c r="AH203" s="177">
        <v>-3282800.2175917719</v>
      </c>
      <c r="AI203" s="178">
        <v>-3027874.6604478201</v>
      </c>
      <c r="AK203" s="67">
        <f t="shared" si="84"/>
        <v>43073452.660972729</v>
      </c>
      <c r="AL203" s="67">
        <f t="shared" si="85"/>
        <v>3558799.7880647052</v>
      </c>
      <c r="AM203" s="67">
        <f t="shared" si="86"/>
        <v>27104813.556227408</v>
      </c>
      <c r="AN203" s="67">
        <f t="shared" si="87"/>
        <v>92470880.987914339</v>
      </c>
      <c r="AO203" s="67">
        <f t="shared" si="88"/>
        <v>0</v>
      </c>
      <c r="AP203" s="67">
        <f t="shared" si="89"/>
        <v>-3779709.8022297504</v>
      </c>
      <c r="AQ203" s="67">
        <f t="shared" si="90"/>
        <v>-3541652.9928715364</v>
      </c>
      <c r="AR203" s="67">
        <f t="shared" si="91"/>
        <v>-3282800.2175917719</v>
      </c>
      <c r="AS203" s="67">
        <f t="shared" si="92"/>
        <v>-3027874.6604478201</v>
      </c>
      <c r="AT203" s="68">
        <v>6763</v>
      </c>
      <c r="AU203" s="68"/>
      <c r="AV203" s="68"/>
      <c r="AW203" s="68">
        <v>168</v>
      </c>
      <c r="AX203" s="68">
        <v>25733.603489776462</v>
      </c>
      <c r="AY203" s="68">
        <v>-592.21109033365394</v>
      </c>
      <c r="AZ203" s="68">
        <v>7007.6556859291477</v>
      </c>
      <c r="BA203" s="299"/>
      <c r="BB203" s="67"/>
      <c r="BC203" s="67"/>
      <c r="BD203" s="67"/>
      <c r="BE203" s="67"/>
      <c r="BF203" s="67"/>
      <c r="BG203" s="67"/>
      <c r="BH203" s="67"/>
      <c r="BN203" s="299"/>
      <c r="BO203" s="67">
        <v>50764233.952479228</v>
      </c>
      <c r="BP203" s="67">
        <v>85418443</v>
      </c>
      <c r="BQ203" s="67">
        <v>88155000</v>
      </c>
      <c r="BR203" s="67">
        <v>2489919</v>
      </c>
      <c r="BS203" s="67">
        <v>2800000</v>
      </c>
      <c r="BT203" s="428">
        <v>0.58564034718866476</v>
      </c>
      <c r="BU203" s="428">
        <v>0.33464287704132489</v>
      </c>
      <c r="BV203" s="67">
        <f t="shared" si="93"/>
        <v>26790453.925243653</v>
      </c>
      <c r="BW203" s="299"/>
      <c r="BX203" s="67">
        <v>138408114</v>
      </c>
      <c r="BY203" s="67">
        <v>50764233.952479228</v>
      </c>
      <c r="BZ203" s="67">
        <v>91034156.853924885</v>
      </c>
      <c r="CA203" s="67">
        <v>44588817.770747475</v>
      </c>
      <c r="CB203" s="67">
        <f t="shared" si="94"/>
        <v>-4848409.1109228395</v>
      </c>
      <c r="CC203" s="67">
        <f t="shared" si="95"/>
        <v>-32.814649143696862</v>
      </c>
      <c r="CD203" s="67">
        <f t="shared" si="96"/>
        <v>337.03722287988211</v>
      </c>
      <c r="CE203" s="67">
        <f t="shared" si="97"/>
        <v>369.85187202357895</v>
      </c>
      <c r="CF203" s="67">
        <f t="shared" si="98"/>
        <v>-354.85187202357895</v>
      </c>
      <c r="CG203" s="67">
        <f t="shared" si="99"/>
        <v>-339.85187202357895</v>
      </c>
      <c r="CH203" s="67">
        <f t="shared" si="100"/>
        <v>-324.85187202357895</v>
      </c>
      <c r="CI203" s="67">
        <f t="shared" si="101"/>
        <v>-309.85187202357895</v>
      </c>
      <c r="CJ203" s="67">
        <f t="shared" si="102"/>
        <v>-6815639.9059568811</v>
      </c>
      <c r="CK203" s="67">
        <f t="shared" si="103"/>
        <v>-6527534.9059568811</v>
      </c>
      <c r="CL203" s="67">
        <f t="shared" si="104"/>
        <v>-6239429.9059568811</v>
      </c>
      <c r="CM203" s="67">
        <f t="shared" si="105"/>
        <v>-5951324.9059568811</v>
      </c>
      <c r="CN203" s="299"/>
      <c r="CO203" s="430">
        <v>73549.325738475061</v>
      </c>
      <c r="CP203" s="430">
        <v>10634.619865598486</v>
      </c>
      <c r="CQ203" s="430">
        <v>6963.3760000000002</v>
      </c>
      <c r="CR203" s="430">
        <v>38112298.801839717</v>
      </c>
      <c r="CS203" s="430">
        <v>11007485.245612307</v>
      </c>
      <c r="CT203" s="430">
        <v>9981887.6279837582</v>
      </c>
      <c r="CU203" s="430">
        <v>2992948.4784067981</v>
      </c>
      <c r="CV203" s="430">
        <v>2229776</v>
      </c>
      <c r="CW203" s="430">
        <v>207278.1838071853</v>
      </c>
      <c r="CX203" s="430">
        <v>466025</v>
      </c>
      <c r="CY203" s="430">
        <v>50096699.012085661</v>
      </c>
      <c r="CZ203" s="519"/>
      <c r="DA203" s="524">
        <v>74022.804120000001</v>
      </c>
      <c r="DB203" s="524">
        <v>10551.449025065016</v>
      </c>
      <c r="DC203" s="520">
        <f t="shared" si="106"/>
        <v>-1</v>
      </c>
      <c r="DD203" s="440">
        <v>19097</v>
      </c>
      <c r="DE203" s="450">
        <v>50764233.952479228</v>
      </c>
      <c r="DF203" s="440">
        <v>31197473.218447477</v>
      </c>
      <c r="DG203" s="440">
        <v>7025187.9044999992</v>
      </c>
      <c r="DH203" s="440">
        <v>6366156.6478000004</v>
      </c>
      <c r="DI203" s="440">
        <v>10987381.201604405</v>
      </c>
      <c r="DJ203" s="440">
        <v>3000963.6617983673</v>
      </c>
      <c r="DK203" s="440">
        <v>-4824456.9681539834</v>
      </c>
      <c r="DL203" s="440">
        <v>2237859</v>
      </c>
      <c r="DM203" s="440">
        <v>1097535</v>
      </c>
      <c r="DN203" s="440">
        <v>205879.7671290455</v>
      </c>
      <c r="DO203" s="457">
        <f t="shared" si="107"/>
        <v>6529745.4806460813</v>
      </c>
      <c r="DP203" s="459">
        <f t="shared" si="108"/>
        <v>341.92519666157415</v>
      </c>
      <c r="DQ203" s="440"/>
      <c r="DR203" s="450">
        <v>138408114</v>
      </c>
      <c r="DS203" s="440">
        <v>74459733.977724895</v>
      </c>
      <c r="DT203" s="440">
        <v>9549234.9716999996</v>
      </c>
      <c r="DU203" s="440">
        <v>38137257.254551813</v>
      </c>
      <c r="DV203" s="440">
        <v>10008619.347727515</v>
      </c>
      <c r="DW203" s="440">
        <v>10360581.9045</v>
      </c>
      <c r="DX203" s="457">
        <f t="shared" si="109"/>
        <v>4107313.4562042356</v>
      </c>
      <c r="DY203" s="459">
        <f t="shared" si="110"/>
        <v>215.07637095901114</v>
      </c>
      <c r="DZ203" s="440"/>
      <c r="EA203" s="457">
        <f t="shared" si="111"/>
        <v>2422432.0244418457</v>
      </c>
      <c r="EB203" s="459">
        <f t="shared" si="112"/>
        <v>126.848825702563</v>
      </c>
      <c r="ED203" s="457">
        <v>-2342879.3679168504</v>
      </c>
      <c r="EE203" s="458">
        <v>-2081169.399232677</v>
      </c>
      <c r="EF203" s="458">
        <v>-1815504.6658465979</v>
      </c>
      <c r="EG203" s="458">
        <v>-1551779.6598769273</v>
      </c>
      <c r="EH203" s="459">
        <v>-1283967.1351740761</v>
      </c>
    </row>
    <row r="204" spans="1:138" x14ac:dyDescent="0.2">
      <c r="A204" s="67">
        <v>601</v>
      </c>
      <c r="B204" s="67" t="s">
        <v>324</v>
      </c>
      <c r="C204" s="67">
        <v>13</v>
      </c>
      <c r="D204" s="67">
        <v>3786</v>
      </c>
      <c r="E204" s="82">
        <v>10480481.556470934</v>
      </c>
      <c r="F204" s="67">
        <v>4298463.5888733771</v>
      </c>
      <c r="G204" s="67">
        <v>1146081</v>
      </c>
      <c r="H204" s="67">
        <v>1682464.7752669055</v>
      </c>
      <c r="I204" s="67">
        <v>3345396.3147327756</v>
      </c>
      <c r="J204" s="67">
        <v>854923.05302928691</v>
      </c>
      <c r="K204" s="67">
        <v>650087.80183864944</v>
      </c>
      <c r="L204" s="67">
        <v>303850</v>
      </c>
      <c r="M204" s="68">
        <v>-235638.19</v>
      </c>
      <c r="N204" s="68">
        <v>29889.087833154139</v>
      </c>
      <c r="O204" s="68">
        <v>-110185.34524645397</v>
      </c>
      <c r="P204" s="168">
        <f t="shared" si="78"/>
        <v>1484850.5298567589</v>
      </c>
      <c r="Q204" s="169">
        <f t="shared" si="79"/>
        <v>392.19506863622792</v>
      </c>
      <c r="R204" s="67"/>
      <c r="S204" s="82">
        <v>30948209.32</v>
      </c>
      <c r="T204" s="67">
        <v>10176539.009654295</v>
      </c>
      <c r="U204" s="67">
        <v>2528664.2574523129</v>
      </c>
      <c r="V204" s="67">
        <v>16019627.686880184</v>
      </c>
      <c r="W204" s="67">
        <v>2851283.9119949746</v>
      </c>
      <c r="X204" s="67">
        <v>1214292.81</v>
      </c>
      <c r="Y204" s="168">
        <f t="shared" si="80"/>
        <v>1842198.3559817672</v>
      </c>
      <c r="Z204" s="169">
        <f t="shared" si="81"/>
        <v>486.5817105075983</v>
      </c>
      <c r="AA204" s="67"/>
      <c r="AB204" s="77">
        <f t="shared" si="82"/>
        <v>-357347.82612500829</v>
      </c>
      <c r="AC204" s="123">
        <f t="shared" si="83"/>
        <v>-94.386641871370387</v>
      </c>
      <c r="AE204" s="170"/>
      <c r="AF204" s="177">
        <v>304904.63496101322</v>
      </c>
      <c r="AG204" s="177">
        <v>238249.35408582175</v>
      </c>
      <c r="AH204" s="177">
        <v>175693.28323713056</v>
      </c>
      <c r="AI204" s="178">
        <v>112363.09629211063</v>
      </c>
      <c r="AK204" s="67">
        <f t="shared" si="84"/>
        <v>5878075.4207809176</v>
      </c>
      <c r="AL204" s="67">
        <f t="shared" si="85"/>
        <v>846199.48218540731</v>
      </c>
      <c r="AM204" s="67">
        <f t="shared" si="86"/>
        <v>12674231.372147409</v>
      </c>
      <c r="AN204" s="67">
        <f t="shared" si="87"/>
        <v>20467727.763529066</v>
      </c>
      <c r="AO204" s="67">
        <f t="shared" si="88"/>
        <v>0</v>
      </c>
      <c r="AP204" s="67">
        <f t="shared" si="89"/>
        <v>304904.63496101322</v>
      </c>
      <c r="AQ204" s="67">
        <f t="shared" si="90"/>
        <v>238249.35408582175</v>
      </c>
      <c r="AR204" s="67">
        <f t="shared" si="91"/>
        <v>175693.28323713056</v>
      </c>
      <c r="AS204" s="67">
        <f t="shared" si="92"/>
        <v>112363.09629211063</v>
      </c>
      <c r="AT204" s="68">
        <v>1722</v>
      </c>
      <c r="AU204" s="68"/>
      <c r="AV204" s="68"/>
      <c r="AW204" s="68">
        <v>66</v>
      </c>
      <c r="AX204" s="68">
        <v>10552.546950988766</v>
      </c>
      <c r="AY204" s="68">
        <v>-2197.7284629260776</v>
      </c>
      <c r="AZ204" s="68">
        <v>2000.0240693749515</v>
      </c>
      <c r="BA204" s="299"/>
      <c r="BB204" s="67"/>
      <c r="BC204" s="67"/>
      <c r="BD204" s="67"/>
      <c r="BE204" s="67"/>
      <c r="BF204" s="67"/>
      <c r="BG204" s="67"/>
      <c r="BH204" s="67"/>
      <c r="BN204" s="299"/>
      <c r="BO204" s="67">
        <v>12966633.775919732</v>
      </c>
      <c r="BP204" s="67">
        <v>18305290.16</v>
      </c>
      <c r="BQ204" s="67">
        <v>20517000</v>
      </c>
      <c r="BR204" s="67">
        <v>430830.69999999995</v>
      </c>
      <c r="BS204" s="67">
        <v>338000</v>
      </c>
      <c r="BT204" s="428">
        <v>0.57761046414743711</v>
      </c>
      <c r="BU204" s="428">
        <v>0.33464287704132484</v>
      </c>
      <c r="BV204" s="67">
        <f t="shared" si="93"/>
        <v>15320680.032951744</v>
      </c>
      <c r="BW204" s="299"/>
      <c r="BX204" s="67">
        <v>32346270</v>
      </c>
      <c r="BY204" s="67">
        <v>12966633.775919732</v>
      </c>
      <c r="BZ204" s="67">
        <v>13605835.961897222</v>
      </c>
      <c r="CA204" s="67">
        <v>6922660.4642098406</v>
      </c>
      <c r="CB204" s="67">
        <f t="shared" si="94"/>
        <v>1213384.2663026294</v>
      </c>
      <c r="CC204" s="67">
        <f t="shared" si="95"/>
        <v>486.58171050759807</v>
      </c>
      <c r="CD204" s="67">
        <f t="shared" si="96"/>
        <v>570.08249856502755</v>
      </c>
      <c r="CE204" s="67">
        <f t="shared" si="97"/>
        <v>83.500788057429475</v>
      </c>
      <c r="CF204" s="67">
        <f t="shared" si="98"/>
        <v>-68.500788057429475</v>
      </c>
      <c r="CG204" s="67">
        <f t="shared" si="99"/>
        <v>-53.500788057429475</v>
      </c>
      <c r="CH204" s="67">
        <f t="shared" si="100"/>
        <v>-38.500788057429475</v>
      </c>
      <c r="CI204" s="67">
        <f t="shared" si="101"/>
        <v>-23.500788057429475</v>
      </c>
      <c r="CJ204" s="67">
        <f t="shared" si="102"/>
        <v>-259343.98358542798</v>
      </c>
      <c r="CK204" s="67">
        <f t="shared" si="103"/>
        <v>-202553.98358542798</v>
      </c>
      <c r="CL204" s="67">
        <f t="shared" si="104"/>
        <v>-145763.98358542798</v>
      </c>
      <c r="CM204" s="67">
        <f t="shared" si="105"/>
        <v>-88973.983585427995</v>
      </c>
      <c r="CN204" s="299"/>
      <c r="CO204" s="430">
        <v>10176.539009654294</v>
      </c>
      <c r="CP204" s="430">
        <v>2528.664257452313</v>
      </c>
      <c r="CQ204" s="430">
        <v>1146.0809999999999</v>
      </c>
      <c r="CR204" s="430">
        <v>16019627.686880184</v>
      </c>
      <c r="CS204" s="430">
        <v>3345396.3147327756</v>
      </c>
      <c r="CT204" s="430">
        <v>2851283.9119949746</v>
      </c>
      <c r="CU204" s="430">
        <v>854923.05302928691</v>
      </c>
      <c r="CV204" s="430">
        <v>303850</v>
      </c>
      <c r="CW204" s="430">
        <v>29889.087833154139</v>
      </c>
      <c r="CX204" s="430">
        <v>-235638.19</v>
      </c>
      <c r="CY204" s="430">
        <v>10480481.556470934</v>
      </c>
      <c r="CZ204" s="519"/>
      <c r="DA204" s="524">
        <v>10550.500050000001</v>
      </c>
      <c r="DB204" s="524">
        <v>2508.8903585311086</v>
      </c>
      <c r="DC204" s="520">
        <f t="shared" si="106"/>
        <v>-1</v>
      </c>
      <c r="DD204" s="440">
        <v>3873</v>
      </c>
      <c r="DE204" s="450">
        <v>12966633.775919732</v>
      </c>
      <c r="DF204" s="440">
        <v>4437579.0772098405</v>
      </c>
      <c r="DG204" s="440">
        <v>971358.00280000002</v>
      </c>
      <c r="DH204" s="440">
        <v>1513723.3842</v>
      </c>
      <c r="DI204" s="440">
        <v>3339218.9046204011</v>
      </c>
      <c r="DJ204" s="440">
        <v>856491.78896844154</v>
      </c>
      <c r="DK204" s="440">
        <v>1213531.6001117597</v>
      </c>
      <c r="DL204" s="440">
        <v>419846</v>
      </c>
      <c r="DM204" s="440">
        <v>131485</v>
      </c>
      <c r="DN204" s="440">
        <v>29624.729678091317</v>
      </c>
      <c r="DO204" s="457">
        <f t="shared" si="107"/>
        <v>-53775.288331195712</v>
      </c>
      <c r="DP204" s="459">
        <f t="shared" si="108"/>
        <v>-13.884660039038398</v>
      </c>
      <c r="DQ204" s="440"/>
      <c r="DR204" s="450">
        <v>32346270</v>
      </c>
      <c r="DS204" s="440">
        <v>10363892.882797221</v>
      </c>
      <c r="DT204" s="440">
        <v>2270585.0763000003</v>
      </c>
      <c r="DU204" s="440">
        <v>16013468.756880181</v>
      </c>
      <c r="DV204" s="440">
        <v>2856515.8583433931</v>
      </c>
      <c r="DW204" s="440">
        <v>1522689.0027999999</v>
      </c>
      <c r="DX204" s="457">
        <f t="shared" si="109"/>
        <v>680881.57712079585</v>
      </c>
      <c r="DY204" s="459">
        <f t="shared" si="110"/>
        <v>175.80211131443218</v>
      </c>
      <c r="DZ204" s="440"/>
      <c r="EA204" s="457">
        <f t="shared" si="111"/>
        <v>-734656.86545199156</v>
      </c>
      <c r="EB204" s="459">
        <f t="shared" si="112"/>
        <v>-189.68677135347059</v>
      </c>
      <c r="ED204" s="457">
        <v>750790.67907304573</v>
      </c>
      <c r="EE204" s="458">
        <v>687677.22034726688</v>
      </c>
      <c r="EF204" s="458">
        <v>625365.81449316861</v>
      </c>
      <c r="EG204" s="458">
        <v>562661.01887713128</v>
      </c>
      <c r="EH204" s="459">
        <v>500785.1995428977</v>
      </c>
    </row>
    <row r="205" spans="1:138" x14ac:dyDescent="0.2">
      <c r="A205" s="67">
        <v>604</v>
      </c>
      <c r="B205" s="67" t="s">
        <v>325</v>
      </c>
      <c r="C205" s="67">
        <v>6</v>
      </c>
      <c r="D205" s="67">
        <v>20405</v>
      </c>
      <c r="E205" s="82">
        <v>59643527.089717992</v>
      </c>
      <c r="F205" s="67">
        <v>36753416.241831645</v>
      </c>
      <c r="G205" s="67">
        <v>6193230</v>
      </c>
      <c r="H205" s="67">
        <v>5544691.3789263191</v>
      </c>
      <c r="I205" s="67">
        <v>11629060.16893441</v>
      </c>
      <c r="J205" s="67">
        <v>2095812.7694232035</v>
      </c>
      <c r="K205" s="67">
        <v>3666734.012272377</v>
      </c>
      <c r="L205" s="67">
        <v>-2419970</v>
      </c>
      <c r="M205" s="68">
        <v>-531066.31999999995</v>
      </c>
      <c r="N205" s="68">
        <v>272463.68692606071</v>
      </c>
      <c r="O205" s="68">
        <v>-593854.19169410807</v>
      </c>
      <c r="P205" s="168">
        <f t="shared" si="78"/>
        <v>2966990.6569019211</v>
      </c>
      <c r="Q205" s="169">
        <f t="shared" si="79"/>
        <v>145.40507997559035</v>
      </c>
      <c r="R205" s="67"/>
      <c r="S205" s="82">
        <v>124016832.27</v>
      </c>
      <c r="T205" s="67">
        <v>95262012.766411856</v>
      </c>
      <c r="U205" s="67">
        <v>8333406.5084784487</v>
      </c>
      <c r="V205" s="67">
        <v>15084933.672705164</v>
      </c>
      <c r="W205" s="67">
        <v>6989818.8039682005</v>
      </c>
      <c r="X205" s="67">
        <v>3242193.68</v>
      </c>
      <c r="Y205" s="168">
        <f t="shared" si="80"/>
        <v>4895533.1615636796</v>
      </c>
      <c r="Z205" s="169">
        <f t="shared" si="81"/>
        <v>239.91831225501983</v>
      </c>
      <c r="AA205" s="67"/>
      <c r="AB205" s="77">
        <f t="shared" si="82"/>
        <v>-1928542.5046617584</v>
      </c>
      <c r="AC205" s="123">
        <f t="shared" si="83"/>
        <v>-94.513232279429474</v>
      </c>
      <c r="AE205" s="170"/>
      <c r="AF205" s="177">
        <v>1645895.0361722582</v>
      </c>
      <c r="AG205" s="177">
        <v>1286650.1850739273</v>
      </c>
      <c r="AH205" s="177">
        <v>949498.40861657285</v>
      </c>
      <c r="AI205" s="178">
        <v>608174.46128082753</v>
      </c>
      <c r="AK205" s="67">
        <f t="shared" si="84"/>
        <v>58508596.52458021</v>
      </c>
      <c r="AL205" s="67">
        <f t="shared" si="85"/>
        <v>2788715.1295521297</v>
      </c>
      <c r="AM205" s="67">
        <f t="shared" si="86"/>
        <v>3455873.5037707537</v>
      </c>
      <c r="AN205" s="67">
        <f t="shared" si="87"/>
        <v>64373305.180282004</v>
      </c>
      <c r="AO205" s="67">
        <f t="shared" si="88"/>
        <v>0</v>
      </c>
      <c r="AP205" s="67">
        <f t="shared" si="89"/>
        <v>1645895.0361722582</v>
      </c>
      <c r="AQ205" s="67">
        <f t="shared" si="90"/>
        <v>1286650.1850739273</v>
      </c>
      <c r="AR205" s="67">
        <f t="shared" si="91"/>
        <v>949498.40861657285</v>
      </c>
      <c r="AS205" s="67">
        <f t="shared" si="92"/>
        <v>608174.46128082753</v>
      </c>
      <c r="AT205" s="68">
        <v>14237</v>
      </c>
      <c r="AU205" s="68"/>
      <c r="AV205" s="68"/>
      <c r="AW205" s="68">
        <v>99</v>
      </c>
      <c r="AX205" s="68">
        <v>7953.508676985346</v>
      </c>
      <c r="AY205" s="68">
        <v>3981.6883363613988</v>
      </c>
      <c r="AZ205" s="68">
        <v>4894.7328317879292</v>
      </c>
      <c r="BA205" s="299"/>
      <c r="BB205" s="67"/>
      <c r="BC205" s="67"/>
      <c r="BD205" s="67"/>
      <c r="BE205" s="67"/>
      <c r="BF205" s="67"/>
      <c r="BG205" s="67"/>
      <c r="BH205" s="67"/>
      <c r="BN205" s="299"/>
      <c r="BO205" s="67">
        <v>62552046.249254949</v>
      </c>
      <c r="BP205" s="67">
        <v>58370941.330000013</v>
      </c>
      <c r="BQ205" s="67">
        <v>63064000</v>
      </c>
      <c r="BR205" s="67">
        <v>1520813.85</v>
      </c>
      <c r="BS205" s="67">
        <v>1561000</v>
      </c>
      <c r="BT205" s="428">
        <v>0.61418602048695725</v>
      </c>
      <c r="BU205" s="428">
        <v>0.33464287704132484</v>
      </c>
      <c r="BV205" s="67">
        <f t="shared" si="93"/>
        <v>12016613.550588127</v>
      </c>
      <c r="BW205" s="299"/>
      <c r="BX205" s="67">
        <v>123872517</v>
      </c>
      <c r="BY205" s="67">
        <v>62552046.249254949</v>
      </c>
      <c r="BZ205" s="67">
        <v>104988487.8537893</v>
      </c>
      <c r="CA205" s="67">
        <v>46893869.78457845</v>
      </c>
      <c r="CB205" s="67">
        <f t="shared" si="94"/>
        <v>3215630.448867966</v>
      </c>
      <c r="CC205" s="67">
        <f t="shared" si="95"/>
        <v>239.91831225501946</v>
      </c>
      <c r="CD205" s="67">
        <f t="shared" si="96"/>
        <v>152.40094512088277</v>
      </c>
      <c r="CE205" s="67">
        <f t="shared" si="97"/>
        <v>-87.517367134136691</v>
      </c>
      <c r="CF205" s="67">
        <f t="shared" si="98"/>
        <v>72.517367134136691</v>
      </c>
      <c r="CG205" s="67">
        <f t="shared" si="99"/>
        <v>57.517367134136691</v>
      </c>
      <c r="CH205" s="67">
        <f t="shared" si="100"/>
        <v>42.517367134136691</v>
      </c>
      <c r="CI205" s="67">
        <f t="shared" si="101"/>
        <v>27.517367134136691</v>
      </c>
      <c r="CJ205" s="67">
        <f t="shared" si="102"/>
        <v>1479716.8763720591</v>
      </c>
      <c r="CK205" s="67">
        <f t="shared" si="103"/>
        <v>1173641.8763720591</v>
      </c>
      <c r="CL205" s="67">
        <f t="shared" si="104"/>
        <v>867566.87637205923</v>
      </c>
      <c r="CM205" s="67">
        <f t="shared" si="105"/>
        <v>561491.87637205923</v>
      </c>
      <c r="CN205" s="299"/>
      <c r="CO205" s="430">
        <v>95262.012766411863</v>
      </c>
      <c r="CP205" s="430">
        <v>8333.4065084784488</v>
      </c>
      <c r="CQ205" s="430">
        <v>6193.23</v>
      </c>
      <c r="CR205" s="430">
        <v>15084933.672705164</v>
      </c>
      <c r="CS205" s="430">
        <v>11629060.16893441</v>
      </c>
      <c r="CT205" s="430">
        <v>6989818.8039682005</v>
      </c>
      <c r="CU205" s="430">
        <v>2095812.7694232035</v>
      </c>
      <c r="CV205" s="430">
        <v>-2419970</v>
      </c>
      <c r="CW205" s="430">
        <v>272463.68692606071</v>
      </c>
      <c r="CX205" s="430">
        <v>-531066.31999999995</v>
      </c>
      <c r="CY205" s="430">
        <v>59643527.089717992</v>
      </c>
      <c r="CZ205" s="519"/>
      <c r="DA205" s="524">
        <v>97136.163589999996</v>
      </c>
      <c r="DB205" s="524">
        <v>8268.2463019074439</v>
      </c>
      <c r="DC205" s="520">
        <f t="shared" si="106"/>
        <v>-1</v>
      </c>
      <c r="DD205" s="440">
        <v>20206</v>
      </c>
      <c r="DE205" s="450">
        <v>62552046.249254949</v>
      </c>
      <c r="DF205" s="440">
        <v>35700243.72997845</v>
      </c>
      <c r="DG205" s="440">
        <v>6205034.8389999997</v>
      </c>
      <c r="DH205" s="440">
        <v>4988591.2155999998</v>
      </c>
      <c r="DI205" s="440">
        <v>11597782.343589213</v>
      </c>
      <c r="DJ205" s="440">
        <v>2096124.0136128897</v>
      </c>
      <c r="DK205" s="440">
        <v>3224678.1876852023</v>
      </c>
      <c r="DL205" s="440">
        <v>-2325320</v>
      </c>
      <c r="DM205" s="440">
        <v>-782000</v>
      </c>
      <c r="DN205" s="440">
        <v>257517.90546991793</v>
      </c>
      <c r="DO205" s="457">
        <f t="shared" si="107"/>
        <v>-1589394.0143192783</v>
      </c>
      <c r="DP205" s="459">
        <f t="shared" si="108"/>
        <v>-78.659507785770472</v>
      </c>
      <c r="DQ205" s="440"/>
      <c r="DR205" s="450">
        <v>123872517</v>
      </c>
      <c r="DS205" s="440">
        <v>91300566.191389292</v>
      </c>
      <c r="DT205" s="440">
        <v>7482886.8234000001</v>
      </c>
      <c r="DU205" s="440">
        <v>15053699.692705134</v>
      </c>
      <c r="DV205" s="440">
        <v>6990856.8454008186</v>
      </c>
      <c r="DW205" s="440">
        <v>3097714.8389999997</v>
      </c>
      <c r="DX205" s="457">
        <f t="shared" si="109"/>
        <v>53207.391895234585</v>
      </c>
      <c r="DY205" s="459">
        <f t="shared" si="110"/>
        <v>2.6332471491257343</v>
      </c>
      <c r="DZ205" s="440"/>
      <c r="EA205" s="457">
        <f t="shared" si="111"/>
        <v>-1642601.4062145129</v>
      </c>
      <c r="EB205" s="459">
        <f t="shared" si="112"/>
        <v>-81.292754934896209</v>
      </c>
      <c r="ED205" s="457">
        <v>1726773.8405102016</v>
      </c>
      <c r="EE205" s="458">
        <v>1397501.817010825</v>
      </c>
      <c r="EF205" s="458">
        <v>1072414.2191053485</v>
      </c>
      <c r="EG205" s="458">
        <v>745274.25003288512</v>
      </c>
      <c r="EH205" s="459">
        <v>422459.16987086006</v>
      </c>
    </row>
    <row r="206" spans="1:138" x14ac:dyDescent="0.2">
      <c r="A206" s="67">
        <v>607</v>
      </c>
      <c r="B206" s="67" t="s">
        <v>326</v>
      </c>
      <c r="C206" s="67">
        <v>12</v>
      </c>
      <c r="D206" s="67">
        <v>4084</v>
      </c>
      <c r="E206" s="82">
        <v>9531365.7806736082</v>
      </c>
      <c r="F206" s="67">
        <v>3957202.7934532571</v>
      </c>
      <c r="G206" s="67">
        <v>912512</v>
      </c>
      <c r="H206" s="67">
        <v>1166689.1309645171</v>
      </c>
      <c r="I206" s="67">
        <v>2940832.344977167</v>
      </c>
      <c r="J206" s="67">
        <v>933227.32589475717</v>
      </c>
      <c r="K206" s="67">
        <v>-790078.04205226956</v>
      </c>
      <c r="L206" s="67">
        <v>-611441</v>
      </c>
      <c r="M206" s="68">
        <v>231617.49</v>
      </c>
      <c r="N206" s="68">
        <v>28775.788251438837</v>
      </c>
      <c r="O206" s="68">
        <v>-118858.14843806604</v>
      </c>
      <c r="P206" s="168">
        <f t="shared" si="78"/>
        <v>-880886.09762280597</v>
      </c>
      <c r="Q206" s="169">
        <f t="shared" si="79"/>
        <v>-215.69199256190157</v>
      </c>
      <c r="R206" s="67"/>
      <c r="S206" s="82">
        <v>30800809.170000002</v>
      </c>
      <c r="T206" s="67">
        <v>9844225.0162602272</v>
      </c>
      <c r="U206" s="67">
        <v>1753478.0807283539</v>
      </c>
      <c r="V206" s="67">
        <v>14327711.194780862</v>
      </c>
      <c r="W206" s="67">
        <v>3112439.243659813</v>
      </c>
      <c r="X206" s="67">
        <v>532688.49</v>
      </c>
      <c r="Y206" s="168">
        <f t="shared" si="80"/>
        <v>-1230267.1445707455</v>
      </c>
      <c r="Z206" s="169">
        <f t="shared" si="81"/>
        <v>-301.24073079597099</v>
      </c>
      <c r="AA206" s="67"/>
      <c r="AB206" s="77">
        <f t="shared" si="82"/>
        <v>349381.04694793955</v>
      </c>
      <c r="AC206" s="123">
        <f t="shared" si="83"/>
        <v>85.548738234069432</v>
      </c>
      <c r="AE206" s="170"/>
      <c r="AF206" s="177">
        <v>-283432.09626483062</v>
      </c>
      <c r="AG206" s="177">
        <v>-232813.88366427118</v>
      </c>
      <c r="AH206" s="177">
        <v>-177773.8079500754</v>
      </c>
      <c r="AI206" s="178">
        <v>-123568.77981575458</v>
      </c>
      <c r="AK206" s="67">
        <f t="shared" si="84"/>
        <v>5887022.2228069697</v>
      </c>
      <c r="AL206" s="67">
        <f t="shared" si="85"/>
        <v>586788.9497638368</v>
      </c>
      <c r="AM206" s="67">
        <f t="shared" si="86"/>
        <v>11386878.849803695</v>
      </c>
      <c r="AN206" s="67">
        <f t="shared" si="87"/>
        <v>21269443.389326394</v>
      </c>
      <c r="AO206" s="67">
        <f t="shared" si="88"/>
        <v>0</v>
      </c>
      <c r="AP206" s="67">
        <f t="shared" si="89"/>
        <v>-283432.09626483062</v>
      </c>
      <c r="AQ206" s="67">
        <f t="shared" si="90"/>
        <v>-232813.88366427118</v>
      </c>
      <c r="AR206" s="67">
        <f t="shared" si="91"/>
        <v>-177773.8079500754</v>
      </c>
      <c r="AS206" s="67">
        <f t="shared" si="92"/>
        <v>-123568.77981575458</v>
      </c>
      <c r="AT206" s="68">
        <v>1591</v>
      </c>
      <c r="AU206" s="68"/>
      <c r="AV206" s="68"/>
      <c r="AW206" s="68">
        <v>0</v>
      </c>
      <c r="AX206" s="68">
        <v>8529.8665673698179</v>
      </c>
      <c r="AY206" s="68">
        <v>-2679.6746346803079</v>
      </c>
      <c r="AZ206" s="68">
        <v>2188.4123900996351</v>
      </c>
      <c r="BA206" s="299"/>
      <c r="BB206" s="67"/>
      <c r="BC206" s="67"/>
      <c r="BD206" s="67"/>
      <c r="BE206" s="67"/>
      <c r="BF206" s="67"/>
      <c r="BG206" s="67"/>
      <c r="BH206" s="67"/>
      <c r="BN206" s="299"/>
      <c r="BO206" s="67">
        <v>10414095.606474992</v>
      </c>
      <c r="BP206" s="67">
        <v>18998753.550000001</v>
      </c>
      <c r="BQ206" s="67">
        <v>21234000</v>
      </c>
      <c r="BR206" s="67">
        <v>361848</v>
      </c>
      <c r="BS206" s="67">
        <v>547000</v>
      </c>
      <c r="BT206" s="428">
        <v>0.59801784427753979</v>
      </c>
      <c r="BU206" s="428">
        <v>0.33464287704132484</v>
      </c>
      <c r="BV206" s="67">
        <f t="shared" si="93"/>
        <v>12776012.725516479</v>
      </c>
      <c r="BW206" s="299"/>
      <c r="BX206" s="67">
        <v>30271065</v>
      </c>
      <c r="BY206" s="67">
        <v>10414095.606474992</v>
      </c>
      <c r="BZ206" s="67">
        <v>12533032.585494963</v>
      </c>
      <c r="CA206" s="67">
        <v>6034171.1073745098</v>
      </c>
      <c r="CB206" s="67">
        <f t="shared" si="94"/>
        <v>5578.8254644919743</v>
      </c>
      <c r="CC206" s="67">
        <f t="shared" si="95"/>
        <v>-301.24073079597105</v>
      </c>
      <c r="CD206" s="67">
        <f t="shared" si="96"/>
        <v>8.2343090920718431</v>
      </c>
      <c r="CE206" s="67">
        <f t="shared" si="97"/>
        <v>309.47503988804289</v>
      </c>
      <c r="CF206" s="67">
        <f t="shared" si="98"/>
        <v>-294.47503988804289</v>
      </c>
      <c r="CG206" s="67">
        <f t="shared" si="99"/>
        <v>-279.47503988804289</v>
      </c>
      <c r="CH206" s="67">
        <f t="shared" si="100"/>
        <v>-264.47503988804289</v>
      </c>
      <c r="CI206" s="67">
        <f t="shared" si="101"/>
        <v>-249.47503988804289</v>
      </c>
      <c r="CJ206" s="67">
        <f t="shared" si="102"/>
        <v>-1202636.0629027672</v>
      </c>
      <c r="CK206" s="67">
        <f t="shared" si="103"/>
        <v>-1141376.0629027672</v>
      </c>
      <c r="CL206" s="67">
        <f t="shared" si="104"/>
        <v>-1080116.0629027672</v>
      </c>
      <c r="CM206" s="67">
        <f t="shared" si="105"/>
        <v>-1018856.0629027671</v>
      </c>
      <c r="CN206" s="299"/>
      <c r="CO206" s="430">
        <v>9844.2250162602268</v>
      </c>
      <c r="CP206" s="430">
        <v>1753.4780807283539</v>
      </c>
      <c r="CQ206" s="430">
        <v>912.51199999999994</v>
      </c>
      <c r="CR206" s="430">
        <v>14327711.194780862</v>
      </c>
      <c r="CS206" s="430">
        <v>2940832.344977167</v>
      </c>
      <c r="CT206" s="430">
        <v>3112439.243659813</v>
      </c>
      <c r="CU206" s="430">
        <v>933227.32589475717</v>
      </c>
      <c r="CV206" s="430">
        <v>-611441</v>
      </c>
      <c r="CW206" s="430">
        <v>28775.788251438837</v>
      </c>
      <c r="CX206" s="430">
        <v>231617.49</v>
      </c>
      <c r="CY206" s="430">
        <v>9531365.7806736082</v>
      </c>
      <c r="CZ206" s="519"/>
      <c r="DA206" s="524">
        <v>10033.185369999999</v>
      </c>
      <c r="DB206" s="524">
        <v>1739.7681664818483</v>
      </c>
      <c r="DC206" s="520">
        <f t="shared" si="106"/>
        <v>-1</v>
      </c>
      <c r="DD206" s="440">
        <v>4161</v>
      </c>
      <c r="DE206" s="450">
        <v>10414095.606474992</v>
      </c>
      <c r="DF206" s="440">
        <v>4064748.6413745098</v>
      </c>
      <c r="DG206" s="440">
        <v>919745.4412</v>
      </c>
      <c r="DH206" s="440">
        <v>1049677.0248</v>
      </c>
      <c r="DI206" s="440">
        <v>2934243.7072418975</v>
      </c>
      <c r="DJ206" s="440">
        <v>937167.34298248449</v>
      </c>
      <c r="DK206" s="440">
        <v>5553.6146347195299</v>
      </c>
      <c r="DL206" s="440">
        <v>-585937</v>
      </c>
      <c r="DM206" s="440">
        <v>164867</v>
      </c>
      <c r="DN206" s="440">
        <v>28807.714921043254</v>
      </c>
      <c r="DO206" s="457">
        <f t="shared" si="107"/>
        <v>-895222.11932033673</v>
      </c>
      <c r="DP206" s="459">
        <f t="shared" si="108"/>
        <v>-215.14590707049669</v>
      </c>
      <c r="DQ206" s="440"/>
      <c r="DR206" s="450">
        <v>30271065</v>
      </c>
      <c r="DS206" s="440">
        <v>10038771.607094964</v>
      </c>
      <c r="DT206" s="440">
        <v>1574515.5372000001</v>
      </c>
      <c r="DU206" s="440">
        <v>14321145.454780858</v>
      </c>
      <c r="DV206" s="440">
        <v>3125579.7330821194</v>
      </c>
      <c r="DW206" s="440">
        <v>498675.4412</v>
      </c>
      <c r="DX206" s="457">
        <f t="shared" si="109"/>
        <v>-712377.2266420573</v>
      </c>
      <c r="DY206" s="459">
        <f t="shared" si="110"/>
        <v>-171.20337097862469</v>
      </c>
      <c r="DZ206" s="440"/>
      <c r="EA206" s="457">
        <f t="shared" si="111"/>
        <v>-182844.89267827943</v>
      </c>
      <c r="EB206" s="459">
        <f t="shared" si="112"/>
        <v>-43.942536091872007</v>
      </c>
      <c r="ED206" s="457">
        <v>200178.43217665641</v>
      </c>
      <c r="EE206" s="458">
        <v>132371.79603982053</v>
      </c>
      <c r="EF206" s="458">
        <v>65426.854196571585</v>
      </c>
      <c r="EG206" s="458">
        <v>2459.3770725572417</v>
      </c>
      <c r="EH206" s="459">
        <v>-1602.5876188307495</v>
      </c>
    </row>
    <row r="207" spans="1:138" x14ac:dyDescent="0.2">
      <c r="A207" s="67">
        <v>608</v>
      </c>
      <c r="B207" s="67" t="s">
        <v>327</v>
      </c>
      <c r="C207" s="67">
        <v>4</v>
      </c>
      <c r="D207" s="67">
        <v>1980</v>
      </c>
      <c r="E207" s="82">
        <v>6103921.5213515144</v>
      </c>
      <c r="F207" s="67">
        <v>2559332.968573425</v>
      </c>
      <c r="G207" s="67">
        <v>559198</v>
      </c>
      <c r="H207" s="67">
        <v>541949.44105729531</v>
      </c>
      <c r="I207" s="67">
        <v>1416348.4866480485</v>
      </c>
      <c r="J207" s="67">
        <v>421472.39467939257</v>
      </c>
      <c r="K207" s="67">
        <v>-220993.47422349593</v>
      </c>
      <c r="L207" s="67">
        <v>436574</v>
      </c>
      <c r="M207" s="68">
        <v>-40359.620000000003</v>
      </c>
      <c r="N207" s="68">
        <v>16385.470427399978</v>
      </c>
      <c r="O207" s="68">
        <v>-57624.665501315074</v>
      </c>
      <c r="P207" s="168">
        <f t="shared" si="78"/>
        <v>-471638.51969076408</v>
      </c>
      <c r="Q207" s="169">
        <f t="shared" si="79"/>
        <v>-238.20127257109297</v>
      </c>
      <c r="R207" s="67"/>
      <c r="S207" s="82">
        <v>15975700.260000004</v>
      </c>
      <c r="T207" s="67">
        <v>5973067.0677655134</v>
      </c>
      <c r="U207" s="67">
        <v>814524.14403769048</v>
      </c>
      <c r="V207" s="67">
        <v>6170385.787796081</v>
      </c>
      <c r="W207" s="67">
        <v>1405667.3919847857</v>
      </c>
      <c r="X207" s="67">
        <v>955412.38</v>
      </c>
      <c r="Y207" s="168">
        <f t="shared" si="80"/>
        <v>-656643.48841593415</v>
      </c>
      <c r="Z207" s="169">
        <f t="shared" si="81"/>
        <v>-331.638125462593</v>
      </c>
      <c r="AA207" s="67"/>
      <c r="AB207" s="77">
        <f t="shared" si="82"/>
        <v>185004.96872517007</v>
      </c>
      <c r="AC207" s="123">
        <f t="shared" si="83"/>
        <v>93.436852891500038</v>
      </c>
      <c r="AE207" s="170"/>
      <c r="AF207" s="177">
        <v>-153031.67725784329</v>
      </c>
      <c r="AG207" s="177">
        <v>-128491.0159088943</v>
      </c>
      <c r="AH207" s="177">
        <v>-101806.55216890712</v>
      </c>
      <c r="AI207" s="178">
        <v>-75526.935198790758</v>
      </c>
      <c r="AK207" s="67">
        <f t="shared" si="84"/>
        <v>3413734.0991920885</v>
      </c>
      <c r="AL207" s="67">
        <f t="shared" si="85"/>
        <v>272574.70298039517</v>
      </c>
      <c r="AM207" s="67">
        <f t="shared" si="86"/>
        <v>4754037.3011480328</v>
      </c>
      <c r="AN207" s="67">
        <f t="shared" si="87"/>
        <v>9871778.7386484891</v>
      </c>
      <c r="AO207" s="67">
        <f t="shared" si="88"/>
        <v>0</v>
      </c>
      <c r="AP207" s="67">
        <f t="shared" si="89"/>
        <v>-153031.67725784329</v>
      </c>
      <c r="AQ207" s="67">
        <f t="shared" si="90"/>
        <v>-128491.0159088943</v>
      </c>
      <c r="AR207" s="67">
        <f t="shared" si="91"/>
        <v>-101806.55216890712</v>
      </c>
      <c r="AS207" s="67">
        <f t="shared" si="92"/>
        <v>-75526.935198790758</v>
      </c>
      <c r="AT207" s="68">
        <v>543</v>
      </c>
      <c r="AU207" s="68"/>
      <c r="AV207" s="68"/>
      <c r="AW207" s="68">
        <v>1</v>
      </c>
      <c r="AX207" s="68">
        <v>3829.1913529191852</v>
      </c>
      <c r="AY207" s="68">
        <v>-962.52193413835323</v>
      </c>
      <c r="AZ207" s="68">
        <v>986.35485731287554</v>
      </c>
      <c r="BA207" s="299"/>
      <c r="BB207" s="67"/>
      <c r="BC207" s="67"/>
      <c r="BD207" s="67"/>
      <c r="BE207" s="67"/>
      <c r="BF207" s="67"/>
      <c r="BG207" s="67"/>
      <c r="BH207" s="67"/>
      <c r="BN207" s="299"/>
      <c r="BO207" s="67">
        <v>6389358.9027404152</v>
      </c>
      <c r="BP207" s="67">
        <v>8888689.4699999988</v>
      </c>
      <c r="BQ207" s="67">
        <v>9646000</v>
      </c>
      <c r="BR207" s="67">
        <v>276977.82</v>
      </c>
      <c r="BS207" s="67">
        <v>283000</v>
      </c>
      <c r="BT207" s="428">
        <v>0.57152113988720787</v>
      </c>
      <c r="BU207" s="428">
        <v>0.33464287704132478</v>
      </c>
      <c r="BV207" s="67">
        <f t="shared" si="93"/>
        <v>5517238.8242299296</v>
      </c>
      <c r="BW207" s="299"/>
      <c r="BX207" s="67">
        <v>15811314.52</v>
      </c>
      <c r="BY207" s="67">
        <v>6389358.9027404152</v>
      </c>
      <c r="BZ207" s="67">
        <v>7457097.2029174035</v>
      </c>
      <c r="CA207" s="67">
        <v>3723086.2118393532</v>
      </c>
      <c r="CB207" s="67">
        <f t="shared" si="94"/>
        <v>43727.414085168486</v>
      </c>
      <c r="CC207" s="67">
        <f t="shared" si="95"/>
        <v>-331.6381254625926</v>
      </c>
      <c r="CD207" s="67">
        <f t="shared" si="96"/>
        <v>-75.400487818577957</v>
      </c>
      <c r="CE207" s="67">
        <f t="shared" si="97"/>
        <v>256.23763764401463</v>
      </c>
      <c r="CF207" s="67">
        <f t="shared" si="98"/>
        <v>-241.23763764401463</v>
      </c>
      <c r="CG207" s="67">
        <f t="shared" si="99"/>
        <v>-226.23763764401463</v>
      </c>
      <c r="CH207" s="67">
        <f t="shared" si="100"/>
        <v>-211.23763764401463</v>
      </c>
      <c r="CI207" s="67">
        <f t="shared" si="101"/>
        <v>-196.23763764401463</v>
      </c>
      <c r="CJ207" s="67">
        <f t="shared" si="102"/>
        <v>-477650.52253514895</v>
      </c>
      <c r="CK207" s="67">
        <f t="shared" si="103"/>
        <v>-447950.52253514895</v>
      </c>
      <c r="CL207" s="67">
        <f t="shared" si="104"/>
        <v>-418250.52253514895</v>
      </c>
      <c r="CM207" s="67">
        <f t="shared" si="105"/>
        <v>-388550.52253514895</v>
      </c>
      <c r="CN207" s="299"/>
      <c r="CO207" s="430">
        <v>5973.0670677655135</v>
      </c>
      <c r="CP207" s="430">
        <v>814.52414403769046</v>
      </c>
      <c r="CQ207" s="430">
        <v>559.19799999999998</v>
      </c>
      <c r="CR207" s="430">
        <v>6170385.787796081</v>
      </c>
      <c r="CS207" s="430">
        <v>1416348.4866480485</v>
      </c>
      <c r="CT207" s="430">
        <v>1405667.3919847857</v>
      </c>
      <c r="CU207" s="430">
        <v>421472.39467939257</v>
      </c>
      <c r="CV207" s="430">
        <v>436574</v>
      </c>
      <c r="CW207" s="430">
        <v>16385.470427399978</v>
      </c>
      <c r="CX207" s="430">
        <v>-40359.620000000003</v>
      </c>
      <c r="CY207" s="430">
        <v>6103921.5213515144</v>
      </c>
      <c r="CZ207" s="519"/>
      <c r="DA207" s="524">
        <v>6119.1308499999996</v>
      </c>
      <c r="DB207" s="524">
        <v>808.15446265149967</v>
      </c>
      <c r="DC207" s="520">
        <f t="shared" si="106"/>
        <v>-1</v>
      </c>
      <c r="DD207" s="440">
        <v>2013</v>
      </c>
      <c r="DE207" s="450">
        <v>6389358.9027404152</v>
      </c>
      <c r="DF207" s="440">
        <v>2674295.5646393532</v>
      </c>
      <c r="DG207" s="440">
        <v>561195.56999999995</v>
      </c>
      <c r="DH207" s="440">
        <v>487595.0772</v>
      </c>
      <c r="DI207" s="440">
        <v>1413106.8610460863</v>
      </c>
      <c r="DJ207" s="440">
        <v>422397.33472889429</v>
      </c>
      <c r="DK207" s="440">
        <v>43624.965495833691</v>
      </c>
      <c r="DL207" s="440">
        <v>378114</v>
      </c>
      <c r="DM207" s="440">
        <v>-34500</v>
      </c>
      <c r="DN207" s="440">
        <v>16551.872124858503</v>
      </c>
      <c r="DO207" s="457">
        <f t="shared" si="107"/>
        <v>-426977.6575053893</v>
      </c>
      <c r="DP207" s="459">
        <f t="shared" si="108"/>
        <v>-212.11011301807716</v>
      </c>
      <c r="DQ207" s="440"/>
      <c r="DR207" s="450">
        <v>15811314.52</v>
      </c>
      <c r="DS207" s="440">
        <v>6164509.0171174034</v>
      </c>
      <c r="DT207" s="440">
        <v>731392.61580000003</v>
      </c>
      <c r="DU207" s="440">
        <v>6167153.867796082</v>
      </c>
      <c r="DV207" s="440">
        <v>1408752.1920417699</v>
      </c>
      <c r="DW207" s="440">
        <v>904809.57</v>
      </c>
      <c r="DX207" s="457">
        <f t="shared" si="109"/>
        <v>-434697.25724474341</v>
      </c>
      <c r="DY207" s="459">
        <f t="shared" si="110"/>
        <v>-215.94498621199375</v>
      </c>
      <c r="DZ207" s="440"/>
      <c r="EA207" s="457">
        <f t="shared" si="111"/>
        <v>7719.5997393541038</v>
      </c>
      <c r="EB207" s="459">
        <f t="shared" si="112"/>
        <v>3.8348731939165939</v>
      </c>
      <c r="ED207" s="457">
        <v>665.98425733730028</v>
      </c>
      <c r="EE207" s="458">
        <v>5777.2293839899748</v>
      </c>
      <c r="EF207" s="458">
        <v>3585.7434598226801</v>
      </c>
      <c r="EG207" s="458">
        <v>1189.7923689155798</v>
      </c>
      <c r="EH207" s="459">
        <v>-775.2965336953373</v>
      </c>
    </row>
    <row r="208" spans="1:138" x14ac:dyDescent="0.2">
      <c r="A208" s="67">
        <v>609</v>
      </c>
      <c r="B208" s="67" t="s">
        <v>328</v>
      </c>
      <c r="C208" s="67">
        <v>4</v>
      </c>
      <c r="D208" s="67">
        <v>83205</v>
      </c>
      <c r="E208" s="82">
        <v>195715111.52982938</v>
      </c>
      <c r="F208" s="67">
        <v>125611510.16950989</v>
      </c>
      <c r="G208" s="67">
        <v>25609649</v>
      </c>
      <c r="H208" s="67">
        <v>15894052.381591849</v>
      </c>
      <c r="I208" s="67">
        <v>28817579.595950518</v>
      </c>
      <c r="J208" s="67">
        <v>13338024.007764351</v>
      </c>
      <c r="K208" s="67">
        <v>-15663153.056943299</v>
      </c>
      <c r="L208" s="67">
        <v>-5614340</v>
      </c>
      <c r="M208" s="68">
        <v>4127819.13</v>
      </c>
      <c r="N208" s="68">
        <v>843176.58198220027</v>
      </c>
      <c r="O208" s="68">
        <v>-2421545.6025438993</v>
      </c>
      <c r="P208" s="168">
        <f t="shared" si="78"/>
        <v>-5172339.322517762</v>
      </c>
      <c r="Q208" s="169">
        <f t="shared" si="79"/>
        <v>-62.163804128571144</v>
      </c>
      <c r="R208" s="67"/>
      <c r="S208" s="82">
        <v>556275519.67000008</v>
      </c>
      <c r="T208" s="67">
        <v>307310573.47458488</v>
      </c>
      <c r="U208" s="67">
        <v>23888002.146749418</v>
      </c>
      <c r="V208" s="67">
        <v>145873398.91060901</v>
      </c>
      <c r="W208" s="67">
        <v>44484112.501570858</v>
      </c>
      <c r="X208" s="67">
        <v>24123128.129999999</v>
      </c>
      <c r="Y208" s="168">
        <f t="shared" si="80"/>
        <v>-10596304.506485939</v>
      </c>
      <c r="Z208" s="169">
        <f t="shared" si="81"/>
        <v>-127.35177581258264</v>
      </c>
      <c r="AA208" s="67"/>
      <c r="AB208" s="77">
        <f t="shared" si="82"/>
        <v>5423965.1839681771</v>
      </c>
      <c r="AC208" s="123">
        <f t="shared" si="83"/>
        <v>65.187971684011501</v>
      </c>
      <c r="AE208" s="170"/>
      <c r="AF208" s="177">
        <v>-4080360.2766251843</v>
      </c>
      <c r="AG208" s="177">
        <v>-3049094.7576659415</v>
      </c>
      <c r="AH208" s="177">
        <v>-1927740.8155014806</v>
      </c>
      <c r="AI208" s="178">
        <v>-823399.63873454521</v>
      </c>
      <c r="AK208" s="67">
        <f t="shared" si="84"/>
        <v>181699063.30507499</v>
      </c>
      <c r="AL208" s="67">
        <f t="shared" si="85"/>
        <v>7993949.7651575692</v>
      </c>
      <c r="AM208" s="67">
        <f t="shared" si="86"/>
        <v>117055819.31465849</v>
      </c>
      <c r="AN208" s="67">
        <f t="shared" si="87"/>
        <v>360560408.14017069</v>
      </c>
      <c r="AO208" s="67">
        <f t="shared" si="88"/>
        <v>0</v>
      </c>
      <c r="AP208" s="67">
        <f t="shared" si="89"/>
        <v>-4080360.2766251843</v>
      </c>
      <c r="AQ208" s="67">
        <f t="shared" si="90"/>
        <v>-3049094.7576659415</v>
      </c>
      <c r="AR208" s="67">
        <f t="shared" si="91"/>
        <v>-1927740.8155014806</v>
      </c>
      <c r="AS208" s="67">
        <f t="shared" si="92"/>
        <v>-823399.63873454521</v>
      </c>
      <c r="AT208" s="68">
        <v>29111</v>
      </c>
      <c r="AU208" s="68"/>
      <c r="AV208" s="68"/>
      <c r="AW208" s="68">
        <v>1381</v>
      </c>
      <c r="AX208" s="68">
        <v>99709.893382741648</v>
      </c>
      <c r="AY208" s="68">
        <v>-12327.789077922951</v>
      </c>
      <c r="AZ208" s="68">
        <v>31187.181278298103</v>
      </c>
      <c r="BA208" s="299"/>
      <c r="BB208" s="67"/>
      <c r="BC208" s="67"/>
      <c r="BD208" s="67"/>
      <c r="BE208" s="67"/>
      <c r="BF208" s="67"/>
      <c r="BG208" s="67"/>
      <c r="BH208" s="67"/>
      <c r="BN208" s="299"/>
      <c r="BO208" s="67">
        <v>193856020.01085317</v>
      </c>
      <c r="BP208" s="67">
        <v>328670061.59999996</v>
      </c>
      <c r="BQ208" s="67">
        <v>353140000</v>
      </c>
      <c r="BR208" s="67">
        <v>7418344.8100000024</v>
      </c>
      <c r="BS208" s="67">
        <v>8205000</v>
      </c>
      <c r="BT208" s="428">
        <v>0.59125548870872746</v>
      </c>
      <c r="BU208" s="428">
        <v>0.33464287704132484</v>
      </c>
      <c r="BV208" s="67">
        <f t="shared" si="93"/>
        <v>132538754.75152171</v>
      </c>
      <c r="BW208" s="299"/>
      <c r="BX208" s="67">
        <v>545185500.89999998</v>
      </c>
      <c r="BY208" s="67">
        <v>193856020.01085317</v>
      </c>
      <c r="BZ208" s="67">
        <v>354029028.66151392</v>
      </c>
      <c r="CA208" s="67">
        <v>166934091.22750446</v>
      </c>
      <c r="CB208" s="67">
        <f t="shared" si="94"/>
        <v>-13133372.904873881</v>
      </c>
      <c r="CC208" s="67">
        <f t="shared" si="95"/>
        <v>-127.35177581258252</v>
      </c>
      <c r="CD208" s="67">
        <f t="shared" si="96"/>
        <v>-2.656253445159054</v>
      </c>
      <c r="CE208" s="67">
        <f t="shared" si="97"/>
        <v>124.69552236742346</v>
      </c>
      <c r="CF208" s="67">
        <f t="shared" si="98"/>
        <v>-109.69552236742346</v>
      </c>
      <c r="CG208" s="67">
        <f t="shared" si="99"/>
        <v>-94.695522367423465</v>
      </c>
      <c r="CH208" s="67">
        <f t="shared" si="100"/>
        <v>-79.695522367423465</v>
      </c>
      <c r="CI208" s="67">
        <f t="shared" si="101"/>
        <v>-64.695522367423465</v>
      </c>
      <c r="CJ208" s="67">
        <f t="shared" si="102"/>
        <v>-9127215.9385814685</v>
      </c>
      <c r="CK208" s="67">
        <f t="shared" si="103"/>
        <v>-7879140.9385814695</v>
      </c>
      <c r="CL208" s="67">
        <f t="shared" si="104"/>
        <v>-6631065.9385814695</v>
      </c>
      <c r="CM208" s="67">
        <f t="shared" si="105"/>
        <v>-5382990.9385814695</v>
      </c>
      <c r="CN208" s="299"/>
      <c r="CO208" s="430">
        <v>307310.5734745849</v>
      </c>
      <c r="CP208" s="430">
        <v>23888.002146749419</v>
      </c>
      <c r="CQ208" s="430">
        <v>25609.649000000001</v>
      </c>
      <c r="CR208" s="430">
        <v>145873398.91060901</v>
      </c>
      <c r="CS208" s="430">
        <v>28817579.595950518</v>
      </c>
      <c r="CT208" s="430">
        <v>44484112.501570858</v>
      </c>
      <c r="CU208" s="430">
        <v>13338024.007764351</v>
      </c>
      <c r="CV208" s="430">
        <v>-5614340</v>
      </c>
      <c r="CW208" s="430">
        <v>843176.58198220027</v>
      </c>
      <c r="CX208" s="430">
        <v>4127819.13</v>
      </c>
      <c r="CY208" s="430">
        <v>195715111.52982938</v>
      </c>
      <c r="CZ208" s="519"/>
      <c r="DA208" s="524">
        <v>309833.90799000004</v>
      </c>
      <c r="DB208" s="524">
        <v>23701.203385204459</v>
      </c>
      <c r="DC208" s="520">
        <f t="shared" si="106"/>
        <v>-1</v>
      </c>
      <c r="DD208" s="440">
        <v>83482</v>
      </c>
      <c r="DE208" s="450">
        <v>193856020.01085317</v>
      </c>
      <c r="DF208" s="440">
        <v>126854118.99210446</v>
      </c>
      <c r="DG208" s="440">
        <v>25780000.483599998</v>
      </c>
      <c r="DH208" s="440">
        <v>14299971.751800001</v>
      </c>
      <c r="DI208" s="440">
        <v>28686189.982821442</v>
      </c>
      <c r="DJ208" s="440">
        <v>13355621.612234168</v>
      </c>
      <c r="DK208" s="440">
        <v>-13124890.693792341</v>
      </c>
      <c r="DL208" s="440">
        <v>-5604125</v>
      </c>
      <c r="DM208" s="440">
        <v>6021081</v>
      </c>
      <c r="DN208" s="440">
        <v>829341.82224301738</v>
      </c>
      <c r="DO208" s="457">
        <f t="shared" si="107"/>
        <v>3241289.9401575923</v>
      </c>
      <c r="DP208" s="459">
        <f t="shared" si="108"/>
        <v>38.826213317332986</v>
      </c>
      <c r="DQ208" s="440"/>
      <c r="DR208" s="450">
        <v>545185500.89999998</v>
      </c>
      <c r="DS208" s="440">
        <v>306799070.55021387</v>
      </c>
      <c r="DT208" s="440">
        <v>21449957.627700001</v>
      </c>
      <c r="DU208" s="440">
        <v>145742423.33060899</v>
      </c>
      <c r="DV208" s="440">
        <v>44542802.89053227</v>
      </c>
      <c r="DW208" s="440">
        <v>26196956.483599998</v>
      </c>
      <c r="DX208" s="457">
        <f t="shared" si="109"/>
        <v>-454290.01734483242</v>
      </c>
      <c r="DY208" s="459">
        <f t="shared" si="110"/>
        <v>-5.441772086735253</v>
      </c>
      <c r="DZ208" s="440"/>
      <c r="EA208" s="457">
        <f t="shared" si="111"/>
        <v>3695579.9575024247</v>
      </c>
      <c r="EB208" s="459">
        <f t="shared" si="112"/>
        <v>44.267985404068241</v>
      </c>
      <c r="ED208" s="457">
        <v>-3347817.750243681</v>
      </c>
      <c r="EE208" s="458">
        <v>-2203759.9607640686</v>
      </c>
      <c r="EF208" s="458">
        <v>-1042414.0282858444</v>
      </c>
      <c r="EG208" s="458">
        <v>49342.397685946562</v>
      </c>
      <c r="EH208" s="459">
        <v>-32152.660320891282</v>
      </c>
    </row>
    <row r="209" spans="1:138" x14ac:dyDescent="0.2">
      <c r="A209" s="67">
        <v>611</v>
      </c>
      <c r="B209" s="67" t="s">
        <v>329</v>
      </c>
      <c r="C209" s="67">
        <v>35</v>
      </c>
      <c r="D209" s="67">
        <v>5011</v>
      </c>
      <c r="E209" s="82">
        <v>14636101.715872345</v>
      </c>
      <c r="F209" s="67">
        <v>8154734.4078045003</v>
      </c>
      <c r="G209" s="67">
        <v>1235600</v>
      </c>
      <c r="H209" s="67">
        <v>448203.27243912645</v>
      </c>
      <c r="I209" s="67">
        <v>4094785.9419310982</v>
      </c>
      <c r="J209" s="67">
        <v>763164.84244161146</v>
      </c>
      <c r="K209" s="67">
        <v>543302.01269001409</v>
      </c>
      <c r="L209" s="67">
        <v>-1287903</v>
      </c>
      <c r="M209" s="68">
        <v>10502</v>
      </c>
      <c r="N209" s="68">
        <v>57531.164419050459</v>
      </c>
      <c r="O209" s="68">
        <v>-145836.96910459083</v>
      </c>
      <c r="P209" s="168">
        <f t="shared" si="78"/>
        <v>-762018.04325153399</v>
      </c>
      <c r="Q209" s="169">
        <f t="shared" si="79"/>
        <v>-152.06905672551068</v>
      </c>
      <c r="R209" s="67"/>
      <c r="S209" s="82">
        <v>29859046</v>
      </c>
      <c r="T209" s="67">
        <v>20872339.705411136</v>
      </c>
      <c r="U209" s="67">
        <v>673628.12687129527</v>
      </c>
      <c r="V209" s="67">
        <v>5289314.9435874494</v>
      </c>
      <c r="W209" s="67">
        <v>2545257.8799268892</v>
      </c>
      <c r="X209" s="67">
        <v>-41801</v>
      </c>
      <c r="Y209" s="168">
        <f t="shared" si="80"/>
        <v>-520306.34420322999</v>
      </c>
      <c r="Z209" s="169">
        <f t="shared" si="81"/>
        <v>-103.83283660012572</v>
      </c>
      <c r="AA209" s="67"/>
      <c r="AB209" s="77">
        <f t="shared" si="82"/>
        <v>-241711.699048304</v>
      </c>
      <c r="AC209" s="123">
        <f t="shared" si="83"/>
        <v>-48.236220125384953</v>
      </c>
      <c r="AE209" s="170"/>
      <c r="AF209" s="177">
        <v>172299.96346384526</v>
      </c>
      <c r="AG209" s="177">
        <v>84077.667514139888</v>
      </c>
      <c r="AH209" s="177">
        <v>1280.9239793296642</v>
      </c>
      <c r="AI209" s="178">
        <v>-23592.108080463568</v>
      </c>
      <c r="AK209" s="67">
        <f t="shared" si="84"/>
        <v>12717605.297606636</v>
      </c>
      <c r="AL209" s="67">
        <f t="shared" si="85"/>
        <v>225424.85443216882</v>
      </c>
      <c r="AM209" s="67">
        <f t="shared" si="86"/>
        <v>1194529.0016563511</v>
      </c>
      <c r="AN209" s="67">
        <f t="shared" si="87"/>
        <v>15222944.284127655</v>
      </c>
      <c r="AO209" s="67">
        <f t="shared" si="88"/>
        <v>0</v>
      </c>
      <c r="AP209" s="67">
        <f t="shared" si="89"/>
        <v>172299.96346384526</v>
      </c>
      <c r="AQ209" s="67">
        <f t="shared" si="90"/>
        <v>84077.667514139888</v>
      </c>
      <c r="AR209" s="67">
        <f t="shared" si="91"/>
        <v>1280.9239793296642</v>
      </c>
      <c r="AS209" s="67">
        <f t="shared" si="92"/>
        <v>-23592.108080463568</v>
      </c>
      <c r="AT209" s="68">
        <v>1609</v>
      </c>
      <c r="AU209" s="68"/>
      <c r="AV209" s="68"/>
      <c r="AW209" s="68">
        <v>0</v>
      </c>
      <c r="AX209" s="68">
        <v>1483.4971281135035</v>
      </c>
      <c r="AY209" s="68">
        <v>168.47848371210452</v>
      </c>
      <c r="AZ209" s="68">
        <v>1767.4505229554954</v>
      </c>
      <c r="BA209" s="299"/>
      <c r="BB209" s="67"/>
      <c r="BC209" s="67"/>
      <c r="BD209" s="67"/>
      <c r="BE209" s="67"/>
      <c r="BF209" s="67"/>
      <c r="BG209" s="67"/>
      <c r="BH209" s="67"/>
      <c r="BN209" s="299"/>
      <c r="BO209" s="67">
        <v>13884896.10902961</v>
      </c>
      <c r="BP209" s="67">
        <v>13451202.870000001</v>
      </c>
      <c r="BQ209" s="67">
        <v>15242000</v>
      </c>
      <c r="BR209" s="67">
        <v>406350.26</v>
      </c>
      <c r="BS209" s="67">
        <v>346000</v>
      </c>
      <c r="BT209" s="428">
        <v>0.60930425036679559</v>
      </c>
      <c r="BU209" s="428">
        <v>0.33464287704132484</v>
      </c>
      <c r="BV209" s="67">
        <f t="shared" si="93"/>
        <v>3519924.0518316431</v>
      </c>
      <c r="BW209" s="299"/>
      <c r="BX209" s="67">
        <v>28555863</v>
      </c>
      <c r="BY209" s="67">
        <v>13884896.10902961</v>
      </c>
      <c r="BZ209" s="67">
        <v>22027029.900162358</v>
      </c>
      <c r="CA209" s="67">
        <v>9630982.8942559641</v>
      </c>
      <c r="CB209" s="67">
        <f t="shared" si="94"/>
        <v>448706.45536123286</v>
      </c>
      <c r="CC209" s="67">
        <f t="shared" si="95"/>
        <v>-103.83283660012572</v>
      </c>
      <c r="CD209" s="67">
        <f t="shared" si="96"/>
        <v>-141.84327109872785</v>
      </c>
      <c r="CE209" s="67">
        <f t="shared" si="97"/>
        <v>-38.010434498602137</v>
      </c>
      <c r="CF209" s="67">
        <f t="shared" si="98"/>
        <v>23.010434498602137</v>
      </c>
      <c r="CG209" s="67">
        <f t="shared" si="99"/>
        <v>8.0104344986021374</v>
      </c>
      <c r="CH209" s="67">
        <f t="shared" si="100"/>
        <v>0</v>
      </c>
      <c r="CI209" s="67">
        <f t="shared" si="101"/>
        <v>0</v>
      </c>
      <c r="CJ209" s="67">
        <f t="shared" si="102"/>
        <v>115305.2872724953</v>
      </c>
      <c r="CK209" s="67">
        <f t="shared" si="103"/>
        <v>40140.287272495312</v>
      </c>
      <c r="CL209" s="67">
        <f t="shared" si="104"/>
        <v>0</v>
      </c>
      <c r="CM209" s="67">
        <f t="shared" si="105"/>
        <v>0</v>
      </c>
      <c r="CN209" s="299"/>
      <c r="CO209" s="430">
        <v>20872.339705411137</v>
      </c>
      <c r="CP209" s="430">
        <v>673.62812687129531</v>
      </c>
      <c r="CQ209" s="430">
        <v>1235.5999999999999</v>
      </c>
      <c r="CR209" s="430">
        <v>5289314.9435874494</v>
      </c>
      <c r="CS209" s="430">
        <v>4094785.9419310982</v>
      </c>
      <c r="CT209" s="430">
        <v>2545257.8799268892</v>
      </c>
      <c r="CU209" s="430">
        <v>763164.84244161146</v>
      </c>
      <c r="CV209" s="430">
        <v>-1287903</v>
      </c>
      <c r="CW209" s="430">
        <v>57531.164419050459</v>
      </c>
      <c r="CX209" s="430">
        <v>10502</v>
      </c>
      <c r="CY209" s="430">
        <v>14636101.715872345</v>
      </c>
      <c r="CZ209" s="519"/>
      <c r="DA209" s="524">
        <v>20862.440449999998</v>
      </c>
      <c r="DB209" s="524">
        <v>709.32759712126222</v>
      </c>
      <c r="DC209" s="520">
        <f t="shared" si="106"/>
        <v>-1</v>
      </c>
      <c r="DD209" s="440">
        <v>5066</v>
      </c>
      <c r="DE209" s="450">
        <v>13884896.10902961</v>
      </c>
      <c r="DF209" s="440">
        <v>7984379.572455965</v>
      </c>
      <c r="DG209" s="440">
        <v>1243352.2199999997</v>
      </c>
      <c r="DH209" s="440">
        <v>403251.1018</v>
      </c>
      <c r="DI209" s="440">
        <v>4086778.1481172196</v>
      </c>
      <c r="DJ209" s="440">
        <v>756894.32117307233</v>
      </c>
      <c r="DK209" s="440">
        <v>450249.09415179363</v>
      </c>
      <c r="DL209" s="440">
        <v>-1287903</v>
      </c>
      <c r="DM209" s="440">
        <v>-20614</v>
      </c>
      <c r="DN209" s="440">
        <v>54948.361262391634</v>
      </c>
      <c r="DO209" s="457">
        <f t="shared" si="107"/>
        <v>-213560.29006916657</v>
      </c>
      <c r="DP209" s="459">
        <f t="shared" si="108"/>
        <v>-42.15560404049873</v>
      </c>
      <c r="DQ209" s="440"/>
      <c r="DR209" s="450">
        <v>28555863</v>
      </c>
      <c r="DS209" s="440">
        <v>20178801.02746236</v>
      </c>
      <c r="DT209" s="440">
        <v>604876.65270000009</v>
      </c>
      <c r="DU209" s="440">
        <v>5281318.213587448</v>
      </c>
      <c r="DV209" s="440">
        <v>2524344.8441285677</v>
      </c>
      <c r="DW209" s="440">
        <v>-65164.780000000261</v>
      </c>
      <c r="DX209" s="457">
        <f t="shared" si="109"/>
        <v>-31687.042121626437</v>
      </c>
      <c r="DY209" s="459">
        <f t="shared" si="110"/>
        <v>-6.2548444772259053</v>
      </c>
      <c r="DZ209" s="440"/>
      <c r="EA209" s="457">
        <f t="shared" si="111"/>
        <v>-181873.24794754013</v>
      </c>
      <c r="EB209" s="459">
        <f t="shared" si="112"/>
        <v>-35.900759563272828</v>
      </c>
      <c r="ED209" s="457">
        <v>202976.75938680614</v>
      </c>
      <c r="EE209" s="458">
        <v>120422.46506591918</v>
      </c>
      <c r="EF209" s="458">
        <v>38917.279923429604</v>
      </c>
      <c r="EG209" s="458">
        <v>2994.2812423876439</v>
      </c>
      <c r="EH209" s="459">
        <v>-1951.1436858919915</v>
      </c>
    </row>
    <row r="210" spans="1:138" x14ac:dyDescent="0.2">
      <c r="A210" s="67">
        <v>638</v>
      </c>
      <c r="B210" s="67" t="s">
        <v>330</v>
      </c>
      <c r="C210" s="67">
        <v>34</v>
      </c>
      <c r="D210" s="67">
        <v>51232</v>
      </c>
      <c r="E210" s="82">
        <v>161445266.29226628</v>
      </c>
      <c r="F210" s="67">
        <v>80677155.795499071</v>
      </c>
      <c r="G210" s="67">
        <v>17800833</v>
      </c>
      <c r="H210" s="67">
        <v>43978628.741598949</v>
      </c>
      <c r="I210" s="67">
        <v>22907271.226155683</v>
      </c>
      <c r="J210" s="67">
        <v>7169124.3958935365</v>
      </c>
      <c r="K210" s="67">
        <v>16187510.997418774</v>
      </c>
      <c r="L210" s="67">
        <v>-1114354</v>
      </c>
      <c r="M210" s="68">
        <v>3419520.35</v>
      </c>
      <c r="N210" s="68">
        <v>723764.33782591217</v>
      </c>
      <c r="O210" s="68">
        <v>-1491023.66816332</v>
      </c>
      <c r="P210" s="168">
        <f t="shared" si="78"/>
        <v>28813164.883962341</v>
      </c>
      <c r="Q210" s="169">
        <f t="shared" si="79"/>
        <v>562.40562312543602</v>
      </c>
      <c r="R210" s="67"/>
      <c r="S210" s="82">
        <v>339868328.83000004</v>
      </c>
      <c r="T210" s="67">
        <v>221386338.38805506</v>
      </c>
      <c r="U210" s="67">
        <v>66097780.010285437</v>
      </c>
      <c r="V210" s="67">
        <v>44438621.729523391</v>
      </c>
      <c r="W210" s="67">
        <v>23909998.660898998</v>
      </c>
      <c r="X210" s="67">
        <v>20105999.350000001</v>
      </c>
      <c r="Y210" s="168">
        <f t="shared" si="80"/>
        <v>36070409.308762848</v>
      </c>
      <c r="Z210" s="169">
        <f t="shared" si="81"/>
        <v>704.06014422163582</v>
      </c>
      <c r="AA210" s="67"/>
      <c r="AB210" s="77">
        <f t="shared" si="82"/>
        <v>-7257244.4248005077</v>
      </c>
      <c r="AC210" s="123">
        <f t="shared" si="83"/>
        <v>-141.6545210961998</v>
      </c>
      <c r="AE210" s="170"/>
      <c r="AF210" s="177">
        <v>6547585.267454098</v>
      </c>
      <c r="AG210" s="177">
        <v>5645608.6827214491</v>
      </c>
      <c r="AH210" s="177">
        <v>4799102.4434926724</v>
      </c>
      <c r="AI210" s="178">
        <v>3942120.8963275221</v>
      </c>
      <c r="AK210" s="67">
        <f t="shared" si="84"/>
        <v>140709182.592556</v>
      </c>
      <c r="AL210" s="67">
        <f t="shared" si="85"/>
        <v>22119151.268686488</v>
      </c>
      <c r="AM210" s="67">
        <f t="shared" si="86"/>
        <v>21531350.503367707</v>
      </c>
      <c r="AN210" s="67">
        <f t="shared" si="87"/>
        <v>178423062.53773376</v>
      </c>
      <c r="AO210" s="67">
        <f t="shared" si="88"/>
        <v>0</v>
      </c>
      <c r="AP210" s="67">
        <f t="shared" si="89"/>
        <v>6547585.267454098</v>
      </c>
      <c r="AQ210" s="67">
        <f t="shared" si="90"/>
        <v>5645608.6827214491</v>
      </c>
      <c r="AR210" s="67">
        <f t="shared" si="91"/>
        <v>4799102.4434926724</v>
      </c>
      <c r="AS210" s="67">
        <f t="shared" si="92"/>
        <v>3942120.8963275221</v>
      </c>
      <c r="AT210" s="68">
        <v>27875</v>
      </c>
      <c r="AU210" s="68"/>
      <c r="AV210" s="68"/>
      <c r="AW210" s="68">
        <v>806</v>
      </c>
      <c r="AX210" s="68">
        <v>37173.647506630346</v>
      </c>
      <c r="AY210" s="68">
        <v>12107.867429783912</v>
      </c>
      <c r="AZ210" s="68">
        <v>16523.728636811677</v>
      </c>
      <c r="BA210" s="299"/>
      <c r="BB210" s="67"/>
      <c r="BC210" s="67"/>
      <c r="BD210" s="67"/>
      <c r="BE210" s="67"/>
      <c r="BF210" s="67"/>
      <c r="BG210" s="67"/>
      <c r="BH210" s="67"/>
      <c r="BN210" s="299"/>
      <c r="BO210" s="67">
        <v>156098461.46281749</v>
      </c>
      <c r="BP210" s="67">
        <v>161422493.49000001</v>
      </c>
      <c r="BQ210" s="67">
        <v>174318000</v>
      </c>
      <c r="BR210" s="67">
        <v>4979534.3500000006</v>
      </c>
      <c r="BS210" s="67">
        <v>4400000</v>
      </c>
      <c r="BT210" s="428">
        <v>0.63558204908703608</v>
      </c>
      <c r="BU210" s="428">
        <v>0.33464287704132484</v>
      </c>
      <c r="BV210" s="67">
        <f t="shared" si="93"/>
        <v>54459735.765791945</v>
      </c>
      <c r="BW210" s="299"/>
      <c r="BX210" s="67">
        <v>329227712</v>
      </c>
      <c r="BY210" s="67">
        <v>156098461.46281749</v>
      </c>
      <c r="BZ210" s="67">
        <v>291503668.32894307</v>
      </c>
      <c r="CA210" s="67">
        <v>136528786.12614638</v>
      </c>
      <c r="CB210" s="67">
        <f t="shared" si="94"/>
        <v>13613489.402979763</v>
      </c>
      <c r="CC210" s="67">
        <f t="shared" si="95"/>
        <v>704.06014422163571</v>
      </c>
      <c r="CD210" s="67">
        <f t="shared" si="96"/>
        <v>541.26653180993594</v>
      </c>
      <c r="CE210" s="67">
        <f t="shared" si="97"/>
        <v>-162.79361241169977</v>
      </c>
      <c r="CF210" s="67">
        <f t="shared" si="98"/>
        <v>147.79361241169977</v>
      </c>
      <c r="CG210" s="67">
        <f t="shared" si="99"/>
        <v>132.79361241169977</v>
      </c>
      <c r="CH210" s="67">
        <f t="shared" si="100"/>
        <v>117.79361241169977</v>
      </c>
      <c r="CI210" s="67">
        <f t="shared" si="101"/>
        <v>102.79361241169977</v>
      </c>
      <c r="CJ210" s="67">
        <f t="shared" si="102"/>
        <v>7571762.3510762025</v>
      </c>
      <c r="CK210" s="67">
        <f t="shared" si="103"/>
        <v>6803282.3510762025</v>
      </c>
      <c r="CL210" s="67">
        <f t="shared" si="104"/>
        <v>6034802.3510762025</v>
      </c>
      <c r="CM210" s="67">
        <f t="shared" si="105"/>
        <v>5266322.3510762025</v>
      </c>
      <c r="CN210" s="299"/>
      <c r="CO210" s="430">
        <v>221386.33838805507</v>
      </c>
      <c r="CP210" s="430">
        <v>66097.780010285438</v>
      </c>
      <c r="CQ210" s="430">
        <v>17800.832999999999</v>
      </c>
      <c r="CR210" s="430">
        <v>44438621.729523391</v>
      </c>
      <c r="CS210" s="430">
        <v>22907271.226155683</v>
      </c>
      <c r="CT210" s="430">
        <v>23909998.660898998</v>
      </c>
      <c r="CU210" s="430">
        <v>7169124.3958935365</v>
      </c>
      <c r="CV210" s="430">
        <v>-1114354</v>
      </c>
      <c r="CW210" s="430">
        <v>723764.33782591217</v>
      </c>
      <c r="CX210" s="430">
        <v>3419520.35</v>
      </c>
      <c r="CY210" s="430">
        <v>161445266.29226628</v>
      </c>
      <c r="CZ210" s="519"/>
      <c r="DA210" s="524">
        <v>221979.53583000001</v>
      </c>
      <c r="DB210" s="524">
        <v>65580.755783882196</v>
      </c>
      <c r="DC210" s="520">
        <f t="shared" si="106"/>
        <v>-1</v>
      </c>
      <c r="DD210" s="440">
        <v>51149</v>
      </c>
      <c r="DE210" s="450">
        <v>156098461.46281749</v>
      </c>
      <c r="DF210" s="440">
        <v>79223132.084346384</v>
      </c>
      <c r="DG210" s="440">
        <v>17737824.919999998</v>
      </c>
      <c r="DH210" s="440">
        <v>39567829.121799998</v>
      </c>
      <c r="DI210" s="440">
        <v>22827573.164334219</v>
      </c>
      <c r="DJ210" s="440">
        <v>7076133.7912272345</v>
      </c>
      <c r="DK210" s="440">
        <v>13635707.035093911</v>
      </c>
      <c r="DL210" s="440">
        <v>-691202</v>
      </c>
      <c r="DM210" s="440">
        <v>953500</v>
      </c>
      <c r="DN210" s="440">
        <v>686962.20737291407</v>
      </c>
      <c r="DO210" s="457">
        <f t="shared" si="107"/>
        <v>24918998.861357152</v>
      </c>
      <c r="DP210" s="459">
        <f t="shared" si="108"/>
        <v>487.18447792443942</v>
      </c>
      <c r="DQ210" s="440"/>
      <c r="DR210" s="450">
        <v>329227712</v>
      </c>
      <c r="DS210" s="440">
        <v>214414099.72624305</v>
      </c>
      <c r="DT210" s="440">
        <v>59351743.682700001</v>
      </c>
      <c r="DU210" s="440">
        <v>44359107.789523348</v>
      </c>
      <c r="DV210" s="440">
        <v>23599862.42803891</v>
      </c>
      <c r="DW210" s="440">
        <v>18000122.919999998</v>
      </c>
      <c r="DX210" s="457">
        <f t="shared" si="109"/>
        <v>30497224.546505332</v>
      </c>
      <c r="DY210" s="459">
        <f t="shared" si="110"/>
        <v>596.24283068105592</v>
      </c>
      <c r="DZ210" s="440"/>
      <c r="EA210" s="457">
        <f t="shared" si="111"/>
        <v>-5578225.6851481795</v>
      </c>
      <c r="EB210" s="459">
        <f t="shared" si="112"/>
        <v>-109.05835275661654</v>
      </c>
      <c r="ED210" s="457">
        <v>5791297.8341033822</v>
      </c>
      <c r="EE210" s="458">
        <v>4957786.2667486556</v>
      </c>
      <c r="EF210" s="458">
        <v>4134867.0573421805</v>
      </c>
      <c r="EG210" s="458">
        <v>3306752.5231400905</v>
      </c>
      <c r="EH210" s="459">
        <v>2489585.9124696259</v>
      </c>
    </row>
    <row r="211" spans="1:138" x14ac:dyDescent="0.2">
      <c r="A211" s="67">
        <v>614</v>
      </c>
      <c r="B211" s="67" t="s">
        <v>331</v>
      </c>
      <c r="C211" s="67">
        <v>19</v>
      </c>
      <c r="D211" s="67">
        <v>2999</v>
      </c>
      <c r="E211" s="82">
        <v>9869188.2677900381</v>
      </c>
      <c r="F211" s="67">
        <v>3610441.9222687795</v>
      </c>
      <c r="G211" s="67">
        <v>1350452</v>
      </c>
      <c r="H211" s="67">
        <v>687358.87818425463</v>
      </c>
      <c r="I211" s="67">
        <v>3485273.7446446116</v>
      </c>
      <c r="J211" s="67">
        <v>753004.56781899417</v>
      </c>
      <c r="K211" s="67">
        <v>-475724.19454908639</v>
      </c>
      <c r="L211" s="67">
        <v>190601</v>
      </c>
      <c r="M211" s="68">
        <v>0</v>
      </c>
      <c r="N211" s="68">
        <v>21937.292438944845</v>
      </c>
      <c r="O211" s="68">
        <v>-87280.995878001966</v>
      </c>
      <c r="P211" s="168">
        <f t="shared" si="78"/>
        <v>-333124.0528615418</v>
      </c>
      <c r="Q211" s="169">
        <f t="shared" si="79"/>
        <v>-111.07837707954045</v>
      </c>
      <c r="R211" s="67"/>
      <c r="S211" s="82">
        <v>29827000</v>
      </c>
      <c r="T211" s="67">
        <v>8200058.9677650407</v>
      </c>
      <c r="U211" s="67">
        <v>1033067.5880161067</v>
      </c>
      <c r="V211" s="67">
        <v>15888722.624715395</v>
      </c>
      <c r="W211" s="67">
        <v>2511371.9910503761</v>
      </c>
      <c r="X211" s="67">
        <v>1541053</v>
      </c>
      <c r="Y211" s="168">
        <f t="shared" si="80"/>
        <v>-652725.82845307887</v>
      </c>
      <c r="Z211" s="169">
        <f t="shared" si="81"/>
        <v>-217.64782542616834</v>
      </c>
      <c r="AA211" s="67"/>
      <c r="AB211" s="77">
        <f t="shared" si="82"/>
        <v>319601.77559153707</v>
      </c>
      <c r="AC211" s="123">
        <f t="shared" si="83"/>
        <v>106.56944834662789</v>
      </c>
      <c r="AE211" s="170"/>
      <c r="AF211" s="177">
        <v>-271173.54270744126</v>
      </c>
      <c r="AG211" s="177">
        <v>-234003.11675516955</v>
      </c>
      <c r="AH211" s="177">
        <v>-193585.58809041118</v>
      </c>
      <c r="AI211" s="178">
        <v>-153781.25915436118</v>
      </c>
      <c r="AK211" s="67">
        <f t="shared" si="84"/>
        <v>4589617.0454962607</v>
      </c>
      <c r="AL211" s="67">
        <f t="shared" si="85"/>
        <v>345708.70983185212</v>
      </c>
      <c r="AM211" s="67">
        <f t="shared" si="86"/>
        <v>12403448.880070783</v>
      </c>
      <c r="AN211" s="67">
        <f t="shared" si="87"/>
        <v>19957811.732209962</v>
      </c>
      <c r="AO211" s="67">
        <f t="shared" si="88"/>
        <v>0</v>
      </c>
      <c r="AP211" s="67">
        <f t="shared" si="89"/>
        <v>-271173.54270744126</v>
      </c>
      <c r="AQ211" s="67">
        <f t="shared" si="90"/>
        <v>-234003.11675516955</v>
      </c>
      <c r="AR211" s="67">
        <f t="shared" si="91"/>
        <v>-193585.58809041118</v>
      </c>
      <c r="AS211" s="67">
        <f t="shared" si="92"/>
        <v>-153781.25915436118</v>
      </c>
      <c r="AT211" s="68">
        <v>1178</v>
      </c>
      <c r="AU211" s="68"/>
      <c r="AV211" s="68"/>
      <c r="AW211" s="68">
        <v>23</v>
      </c>
      <c r="AX211" s="68">
        <v>10615.705411704395</v>
      </c>
      <c r="AY211" s="68">
        <v>-1790.1957809252101</v>
      </c>
      <c r="AZ211" s="68">
        <v>1762.0095115788242</v>
      </c>
      <c r="BA211" s="299"/>
      <c r="BB211" s="67"/>
      <c r="BC211" s="67"/>
      <c r="BD211" s="67"/>
      <c r="BE211" s="67"/>
      <c r="BF211" s="67"/>
      <c r="BG211" s="67"/>
      <c r="BH211" s="67"/>
      <c r="BN211" s="299"/>
      <c r="BO211" s="67">
        <v>9976721.3789959513</v>
      </c>
      <c r="BP211" s="67">
        <v>19093403.779999997</v>
      </c>
      <c r="BQ211" s="67">
        <v>18719000</v>
      </c>
      <c r="BR211" s="67">
        <v>379263</v>
      </c>
      <c r="BS211" s="67">
        <v>413000</v>
      </c>
      <c r="BT211" s="428">
        <v>0.55970537084408056</v>
      </c>
      <c r="BU211" s="428">
        <v>0.33464287704132489</v>
      </c>
      <c r="BV211" s="67">
        <f t="shared" si="93"/>
        <v>13686092.108753081</v>
      </c>
      <c r="BW211" s="299"/>
      <c r="BX211" s="67">
        <v>30230651</v>
      </c>
      <c r="BY211" s="67">
        <v>9976721.3789959513</v>
      </c>
      <c r="BZ211" s="67">
        <v>11294241.081304472</v>
      </c>
      <c r="CA211" s="67">
        <v>6066486.1535294661</v>
      </c>
      <c r="CB211" s="67">
        <f t="shared" si="94"/>
        <v>-528901.43973461841</v>
      </c>
      <c r="CC211" s="67">
        <f t="shared" si="95"/>
        <v>-217.64782542616882</v>
      </c>
      <c r="CD211" s="67">
        <f t="shared" si="96"/>
        <v>-99.706669612894856</v>
      </c>
      <c r="CE211" s="67">
        <f t="shared" si="97"/>
        <v>117.94115581327397</v>
      </c>
      <c r="CF211" s="67">
        <f t="shared" si="98"/>
        <v>-102.94115581327397</v>
      </c>
      <c r="CG211" s="67">
        <f t="shared" si="99"/>
        <v>-87.941155813273966</v>
      </c>
      <c r="CH211" s="67">
        <f t="shared" si="100"/>
        <v>-72.941155813273966</v>
      </c>
      <c r="CI211" s="67">
        <f t="shared" si="101"/>
        <v>-57.941155813273966</v>
      </c>
      <c r="CJ211" s="67">
        <f t="shared" si="102"/>
        <v>-308720.52628400864</v>
      </c>
      <c r="CK211" s="67">
        <f t="shared" si="103"/>
        <v>-263735.52628400864</v>
      </c>
      <c r="CL211" s="67">
        <f t="shared" si="104"/>
        <v>-218750.52628400864</v>
      </c>
      <c r="CM211" s="67">
        <f t="shared" si="105"/>
        <v>-173765.52628400864</v>
      </c>
      <c r="CN211" s="299"/>
      <c r="CO211" s="430">
        <v>8200.0589677650405</v>
      </c>
      <c r="CP211" s="430">
        <v>1033.0675880161068</v>
      </c>
      <c r="CQ211" s="430">
        <v>1350.452</v>
      </c>
      <c r="CR211" s="430">
        <v>15888722.624715395</v>
      </c>
      <c r="CS211" s="430">
        <v>3485273.7446446116</v>
      </c>
      <c r="CT211" s="430">
        <v>2511371.9910503761</v>
      </c>
      <c r="CU211" s="430">
        <v>753004.56781899417</v>
      </c>
      <c r="CV211" s="430">
        <v>190601</v>
      </c>
      <c r="CW211" s="430">
        <v>21937.292438944845</v>
      </c>
      <c r="CX211" s="430">
        <v>0</v>
      </c>
      <c r="CY211" s="430">
        <v>9869188.2677900381</v>
      </c>
      <c r="CZ211" s="519"/>
      <c r="DA211" s="524">
        <v>8784.7833800000008</v>
      </c>
      <c r="DB211" s="524">
        <v>1024.9889155377025</v>
      </c>
      <c r="DC211" s="520">
        <f t="shared" si="106"/>
        <v>-1</v>
      </c>
      <c r="DD211" s="440">
        <v>3066</v>
      </c>
      <c r="DE211" s="450">
        <v>9976721.3789959513</v>
      </c>
      <c r="DF211" s="440">
        <v>3906033.6005294658</v>
      </c>
      <c r="DG211" s="440">
        <v>1542031.7560000001</v>
      </c>
      <c r="DH211" s="440">
        <v>618420.79700000002</v>
      </c>
      <c r="DI211" s="440">
        <v>3480403.297942216</v>
      </c>
      <c r="DJ211" s="440">
        <v>754564.25843074801</v>
      </c>
      <c r="DK211" s="440">
        <v>-529647.12186705426</v>
      </c>
      <c r="DL211" s="440">
        <v>276859</v>
      </c>
      <c r="DM211" s="440">
        <v>-20000</v>
      </c>
      <c r="DN211" s="440">
        <v>23173.239519482202</v>
      </c>
      <c r="DO211" s="457">
        <f t="shared" si="107"/>
        <v>75117.448558907956</v>
      </c>
      <c r="DP211" s="459">
        <f t="shared" si="108"/>
        <v>24.500146301013686</v>
      </c>
      <c r="DQ211" s="440"/>
      <c r="DR211" s="450">
        <v>30230651</v>
      </c>
      <c r="DS211" s="440">
        <v>8824578.1298044715</v>
      </c>
      <c r="DT211" s="440">
        <v>927631.19550000003</v>
      </c>
      <c r="DU211" s="440">
        <v>15883874.234715391</v>
      </c>
      <c r="DV211" s="440">
        <v>2516573.7700095722</v>
      </c>
      <c r="DW211" s="440">
        <v>1798890.7560000001</v>
      </c>
      <c r="DX211" s="457">
        <f t="shared" si="109"/>
        <v>-279102.91397056729</v>
      </c>
      <c r="DY211" s="459">
        <f t="shared" si="110"/>
        <v>-91.03160925328352</v>
      </c>
      <c r="DZ211" s="440"/>
      <c r="EA211" s="457">
        <f t="shared" si="111"/>
        <v>354220.36252947524</v>
      </c>
      <c r="EB211" s="459">
        <f t="shared" si="112"/>
        <v>115.53175555429721</v>
      </c>
      <c r="ED211" s="457">
        <v>-341448.28079382342</v>
      </c>
      <c r="EE211" s="458">
        <v>-299431.06531570252</v>
      </c>
      <c r="EF211" s="458">
        <v>-256778.91720020174</v>
      </c>
      <c r="EG211" s="458">
        <v>-214438.18994969066</v>
      </c>
      <c r="EH211" s="459">
        <v>-171441.21656439759</v>
      </c>
    </row>
    <row r="212" spans="1:138" x14ac:dyDescent="0.2">
      <c r="A212" s="67">
        <v>615</v>
      </c>
      <c r="B212" s="67" t="s">
        <v>332</v>
      </c>
      <c r="C212" s="67">
        <v>17</v>
      </c>
      <c r="D212" s="67">
        <v>7603</v>
      </c>
      <c r="E212" s="82">
        <v>29988209.423817419</v>
      </c>
      <c r="F212" s="67">
        <v>8270996.0347881969</v>
      </c>
      <c r="G212" s="67">
        <v>2612598</v>
      </c>
      <c r="H212" s="67">
        <v>2479788.7604693803</v>
      </c>
      <c r="I212" s="67">
        <v>11261926.869281482</v>
      </c>
      <c r="J212" s="67">
        <v>1565479.7728614239</v>
      </c>
      <c r="K212" s="67">
        <v>2110305.120086058</v>
      </c>
      <c r="L212" s="67">
        <v>-211823</v>
      </c>
      <c r="M212" s="68">
        <v>-57780.07</v>
      </c>
      <c r="N212" s="68">
        <v>56467.76974294406</v>
      </c>
      <c r="O212" s="68">
        <v>-221272.89485176691</v>
      </c>
      <c r="P212" s="168">
        <f t="shared" ref="P212:P275" si="113">N212+M212+L212+K212+J212+I212+H212+G212+F212-E212+O212</f>
        <v>-2121523.0614397009</v>
      </c>
      <c r="Q212" s="169">
        <f t="shared" ref="Q212:Q275" si="114">P212/D212</f>
        <v>-279.03762481121936</v>
      </c>
      <c r="R212" s="67"/>
      <c r="S212" s="82">
        <v>67650865.180000007</v>
      </c>
      <c r="T212" s="67">
        <v>19727574.382290442</v>
      </c>
      <c r="U212" s="67">
        <v>3727004.1529613235</v>
      </c>
      <c r="V212" s="67">
        <v>35013185.901595816</v>
      </c>
      <c r="W212" s="67">
        <v>5221086.5938135087</v>
      </c>
      <c r="X212" s="67">
        <v>2342994.9300000002</v>
      </c>
      <c r="Y212" s="168">
        <f t="shared" ref="Y212:Y275" si="115">X212+W212+V212+U212+T212-S212</f>
        <v>-1619019.2193389237</v>
      </c>
      <c r="Z212" s="169">
        <f t="shared" ref="Z212:Z275" si="116">Y212/D212</f>
        <v>-212.94478749689907</v>
      </c>
      <c r="AA212" s="67"/>
      <c r="AB212" s="77">
        <f t="shared" ref="AB212:AB275" si="117">P212-Y212</f>
        <v>-502503.8421007772</v>
      </c>
      <c r="AC212" s="123">
        <f t="shared" ref="AC212:AC275" si="118">AB212/D212</f>
        <v>-66.092837314320292</v>
      </c>
      <c r="AE212" s="170"/>
      <c r="AF212" s="177">
        <v>397188.0517099112</v>
      </c>
      <c r="AG212" s="177">
        <v>263331.71243519365</v>
      </c>
      <c r="AH212" s="177">
        <v>137707.35779636662</v>
      </c>
      <c r="AI212" s="178">
        <v>10528.432454848784</v>
      </c>
      <c r="AK212" s="67">
        <f t="shared" ref="AK212:AK275" si="119">T212-F212</f>
        <v>11456578.347502245</v>
      </c>
      <c r="AL212" s="67">
        <f t="shared" ref="AL212:AL275" si="120">U212-H212</f>
        <v>1247215.3924919432</v>
      </c>
      <c r="AM212" s="67">
        <f t="shared" ref="AM212:AM275" si="121">V212-I212</f>
        <v>23751259.032314334</v>
      </c>
      <c r="AN212" s="67">
        <f t="shared" ref="AN212:AN275" si="122">S212-E212</f>
        <v>37662655.756182589</v>
      </c>
      <c r="AO212" s="67">
        <f t="shared" ref="AO212:AO275" si="123">AE212</f>
        <v>0</v>
      </c>
      <c r="AP212" s="67">
        <f t="shared" ref="AP212:AP275" si="124">AF212</f>
        <v>397188.0517099112</v>
      </c>
      <c r="AQ212" s="67">
        <f t="shared" ref="AQ212:AQ275" si="125">AG212</f>
        <v>263331.71243519365</v>
      </c>
      <c r="AR212" s="67">
        <f t="shared" ref="AR212:AR275" si="126">AH212</f>
        <v>137707.35779636662</v>
      </c>
      <c r="AS212" s="67">
        <f t="shared" ref="AS212:AS275" si="127">AI212</f>
        <v>10528.432454848784</v>
      </c>
      <c r="AT212" s="68">
        <v>6460</v>
      </c>
      <c r="AU212" s="68"/>
      <c r="AV212" s="68"/>
      <c r="AW212" s="68">
        <v>0</v>
      </c>
      <c r="AX212" s="68">
        <v>20054.232400385044</v>
      </c>
      <c r="AY212" s="68">
        <v>-4601.3928698858954</v>
      </c>
      <c r="AZ212" s="68">
        <v>3659.338447053975</v>
      </c>
      <c r="BA212" s="299"/>
      <c r="BB212" s="67"/>
      <c r="BC212" s="67"/>
      <c r="BD212" s="67"/>
      <c r="BE212" s="67"/>
      <c r="BF212" s="67"/>
      <c r="BG212" s="67"/>
      <c r="BH212" s="67"/>
      <c r="BN212" s="299"/>
      <c r="BO212" s="67">
        <v>26706660.224997275</v>
      </c>
      <c r="BP212" s="67">
        <v>35734355.090000011</v>
      </c>
      <c r="BQ212" s="67">
        <v>36010000</v>
      </c>
      <c r="BR212" s="67">
        <v>553065.31000000006</v>
      </c>
      <c r="BS212" s="67">
        <v>555000</v>
      </c>
      <c r="BT212" s="428">
        <v>0.58073933092285701</v>
      </c>
      <c r="BU212" s="428">
        <v>0.33464287704132484</v>
      </c>
      <c r="BV212" s="67">
        <f t="shared" ref="BV212:BV275" si="128">(V212+W212)-(I212+J212)+K212</f>
        <v>29517170.973352477</v>
      </c>
      <c r="BW212" s="299"/>
      <c r="BX212" s="67">
        <v>64342153</v>
      </c>
      <c r="BY212" s="67">
        <v>26706660.224997275</v>
      </c>
      <c r="BZ212" s="67">
        <v>26202639.321232412</v>
      </c>
      <c r="CA212" s="67">
        <v>13440741.797058484</v>
      </c>
      <c r="CB212" s="67">
        <f t="shared" ref="CB212:CB275" si="129">((BY212-BX212)-N212+(BZ212-CA212)+AX212*1000+AZ212*1000-AY212*1000-$BY$8)*0.6+(D212*-0.260310389757568)</f>
        <v>2028961.278158579</v>
      </c>
      <c r="CC212" s="67">
        <f t="shared" ref="CC212:CC275" si="130">(-S212+T212+U212+V212+W212+X212)/D212</f>
        <v>-212.94478749689901</v>
      </c>
      <c r="CD212" s="67">
        <f t="shared" ref="CD212:CD275" si="131">(-E212+F212+G212+H212+I212+J212+L212+CB212+M212+N212)/D212</f>
        <v>-260.63317223667104</v>
      </c>
      <c r="CE212" s="67">
        <f t="shared" ref="CE212:CE275" si="132">CD212-CC212</f>
        <v>-47.688384739772033</v>
      </c>
      <c r="CF212" s="67">
        <f t="shared" ref="CF212:CF275" si="133">(IF(CE212&lt;-15,-CE212-15,IF(CE212&gt;15,15-CE212,0)))-$BJ$24</f>
        <v>32.688384739772033</v>
      </c>
      <c r="CG212" s="67">
        <f t="shared" ref="CG212:CG275" si="134">(IF(CE212&lt;-30,-CE212-30,IF(CE212&gt;30,30-CE212,0)))-$BK$24</f>
        <v>17.688384739772033</v>
      </c>
      <c r="CH212" s="67">
        <f t="shared" ref="CH212:CH275" si="135">(IF(CE212&lt;-45,-CE212-45,IF(CE212&gt;45,45-CE212,0)))-$BL$24</f>
        <v>2.6883847397720331</v>
      </c>
      <c r="CI212" s="67">
        <f t="shared" ref="CI212:CI275" si="136">(IF(CE212&lt;-60,-CE212-60,IF(CE212&gt;60,60-CE212,0)))-$BM$24</f>
        <v>0</v>
      </c>
      <c r="CJ212" s="67">
        <f t="shared" ref="CJ212:CJ275" si="137">CF212*$D212</f>
        <v>248529.78917648678</v>
      </c>
      <c r="CK212" s="67">
        <f t="shared" ref="CK212:CK275" si="138">CG212*$D212</f>
        <v>134484.78917648678</v>
      </c>
      <c r="CL212" s="67">
        <f t="shared" ref="CL212:CL275" si="139">CH212*$D212</f>
        <v>20439.789176486767</v>
      </c>
      <c r="CM212" s="67">
        <f t="shared" ref="CM212:CM275" si="140">CI212*$D212</f>
        <v>0</v>
      </c>
      <c r="CN212" s="299"/>
      <c r="CO212" s="430">
        <v>19727.574382290441</v>
      </c>
      <c r="CP212" s="430">
        <v>3727.0041529613236</v>
      </c>
      <c r="CQ212" s="430">
        <v>2612.598</v>
      </c>
      <c r="CR212" s="430">
        <v>35013185.901595816</v>
      </c>
      <c r="CS212" s="430">
        <v>11261926.869281482</v>
      </c>
      <c r="CT212" s="430">
        <v>5221086.5938135087</v>
      </c>
      <c r="CU212" s="430">
        <v>1565479.7728614239</v>
      </c>
      <c r="CV212" s="430">
        <v>-211823</v>
      </c>
      <c r="CW212" s="430">
        <v>56467.76974294406</v>
      </c>
      <c r="CX212" s="430">
        <v>-57780.07</v>
      </c>
      <c r="CY212" s="430">
        <v>29988209.423817419</v>
      </c>
      <c r="CZ212" s="519"/>
      <c r="DA212" s="524">
        <v>20097.523440000001</v>
      </c>
      <c r="DB212" s="524">
        <v>3697.8567880618293</v>
      </c>
      <c r="DC212" s="520">
        <f t="shared" ref="DC212:DC275" si="141">(CZ212/DB212)-1</f>
        <v>-1</v>
      </c>
      <c r="DD212" s="440">
        <v>7702</v>
      </c>
      <c r="DE212" s="450">
        <v>26706660.224997275</v>
      </c>
      <c r="DF212" s="440">
        <v>8564177.4865584839</v>
      </c>
      <c r="DG212" s="440">
        <v>2645483.8802999998</v>
      </c>
      <c r="DH212" s="440">
        <v>2231080.4301999998</v>
      </c>
      <c r="DI212" s="440">
        <v>11249688.454671968</v>
      </c>
      <c r="DJ212" s="440">
        <v>1567077.8071874692</v>
      </c>
      <c r="DK212" s="440">
        <v>2028894.164462195</v>
      </c>
      <c r="DL212" s="440">
        <v>-170506</v>
      </c>
      <c r="DM212" s="440">
        <v>757056</v>
      </c>
      <c r="DN212" s="440">
        <v>56570.078769288717</v>
      </c>
      <c r="DO212" s="457">
        <f t="shared" ref="DO212:DO275" si="142">DN212+DM212+DL212+DK212+DJ212+DI212+DH212+DG212+DF212-DE212</f>
        <v>2222862.077152133</v>
      </c>
      <c r="DP212" s="459">
        <f t="shared" ref="DP212:DP275" si="143">DO212/DD212</f>
        <v>288.60842341627279</v>
      </c>
      <c r="DQ212" s="440"/>
      <c r="DR212" s="450">
        <v>64342153</v>
      </c>
      <c r="DS212" s="440">
        <v>20210534.795632411</v>
      </c>
      <c r="DT212" s="440">
        <v>3346620.6453</v>
      </c>
      <c r="DU212" s="440">
        <v>35000979.901595816</v>
      </c>
      <c r="DV212" s="440">
        <v>5226416.2542414442</v>
      </c>
      <c r="DW212" s="440">
        <v>3232033.8802999998</v>
      </c>
      <c r="DX212" s="457">
        <f t="shared" ref="DX212:DX275" si="144">DW212+DV212+DU212+DT212+DS212-DR212</f>
        <v>2674432.4770696759</v>
      </c>
      <c r="DY212" s="459">
        <f t="shared" ref="DY212:DY275" si="145">DX212/DD212</f>
        <v>347.23870125547597</v>
      </c>
      <c r="DZ212" s="440"/>
      <c r="EA212" s="457">
        <f t="shared" ref="EA212:EA275" si="146">DO212-DX212</f>
        <v>-451570.39991754293</v>
      </c>
      <c r="EB212" s="459">
        <f t="shared" ref="EB212:EB275" si="147">EA212/DD212</f>
        <v>-58.630277839203188</v>
      </c>
      <c r="ED212" s="457">
        <v>483654.73570617544</v>
      </c>
      <c r="EE212" s="458">
        <v>358144.83147019608</v>
      </c>
      <c r="EF212" s="458">
        <v>234229.92109367522</v>
      </c>
      <c r="EG212" s="458">
        <v>109532.70037724877</v>
      </c>
      <c r="EH212" s="459">
        <v>-2966.385445862637</v>
      </c>
    </row>
    <row r="213" spans="1:138" x14ac:dyDescent="0.2">
      <c r="A213" s="67">
        <v>616</v>
      </c>
      <c r="B213" s="67" t="s">
        <v>333</v>
      </c>
      <c r="C213" s="67">
        <v>34</v>
      </c>
      <c r="D213" s="67">
        <v>1807</v>
      </c>
      <c r="E213" s="82">
        <v>5282206.4461408183</v>
      </c>
      <c r="F213" s="67">
        <v>2783206.21141137</v>
      </c>
      <c r="G213" s="67">
        <v>459184</v>
      </c>
      <c r="H213" s="67">
        <v>240670.09252419785</v>
      </c>
      <c r="I213" s="67">
        <v>1261740.1256710445</v>
      </c>
      <c r="J213" s="67">
        <v>387633.96273964457</v>
      </c>
      <c r="K213" s="67">
        <v>-32611.852366617819</v>
      </c>
      <c r="L213" s="67">
        <v>-488692</v>
      </c>
      <c r="M213" s="68">
        <v>71509.08</v>
      </c>
      <c r="N213" s="68">
        <v>17114.047649812132</v>
      </c>
      <c r="O213" s="68">
        <v>-52589.783111553705</v>
      </c>
      <c r="P213" s="168">
        <f t="shared" si="113"/>
        <v>-635042.56162292056</v>
      </c>
      <c r="Q213" s="169">
        <f t="shared" si="114"/>
        <v>-351.43473249746575</v>
      </c>
      <c r="R213" s="67"/>
      <c r="S213" s="82">
        <v>12249205.009999998</v>
      </c>
      <c r="T213" s="67">
        <v>6512380.5525435796</v>
      </c>
      <c r="U213" s="67">
        <v>361715.66249114263</v>
      </c>
      <c r="V213" s="67">
        <v>3346730.7121598348</v>
      </c>
      <c r="W213" s="67">
        <v>1292811.6487046531</v>
      </c>
      <c r="X213" s="67">
        <v>42001.08</v>
      </c>
      <c r="Y213" s="168">
        <f t="shared" si="115"/>
        <v>-693565.35410078615</v>
      </c>
      <c r="Z213" s="169">
        <f t="shared" si="116"/>
        <v>-383.82144665234432</v>
      </c>
      <c r="AA213" s="67"/>
      <c r="AB213" s="77">
        <f t="shared" si="117"/>
        <v>58522.792477865587</v>
      </c>
      <c r="AC213" s="123">
        <f t="shared" si="118"/>
        <v>32.386714154878575</v>
      </c>
      <c r="AE213" s="170"/>
      <c r="AF213" s="177">
        <v>-29343.126982180012</v>
      </c>
      <c r="AG213" s="177">
        <v>-6946.674932911923</v>
      </c>
      <c r="AH213" s="177">
        <v>-5385.940041835609</v>
      </c>
      <c r="AI213" s="178">
        <v>-8507.4714231486068</v>
      </c>
      <c r="AK213" s="67">
        <f t="shared" si="119"/>
        <v>3729174.3411322096</v>
      </c>
      <c r="AL213" s="67">
        <f t="shared" si="120"/>
        <v>121045.56996694478</v>
      </c>
      <c r="AM213" s="67">
        <f t="shared" si="121"/>
        <v>2084990.5864887903</v>
      </c>
      <c r="AN213" s="67">
        <f t="shared" si="122"/>
        <v>6966998.5638591796</v>
      </c>
      <c r="AO213" s="67">
        <f t="shared" si="123"/>
        <v>0</v>
      </c>
      <c r="AP213" s="67">
        <f t="shared" si="124"/>
        <v>-29343.126982180012</v>
      </c>
      <c r="AQ213" s="67">
        <f t="shared" si="125"/>
        <v>-6946.674932911923</v>
      </c>
      <c r="AR213" s="67">
        <f t="shared" si="126"/>
        <v>-5385.940041835609</v>
      </c>
      <c r="AS213" s="67">
        <f t="shared" si="127"/>
        <v>-8507.4714231486068</v>
      </c>
      <c r="AT213" s="68">
        <v>385</v>
      </c>
      <c r="AU213" s="68"/>
      <c r="AV213" s="68"/>
      <c r="AW213" s="68">
        <v>0</v>
      </c>
      <c r="AX213" s="68">
        <v>1697.1206043577379</v>
      </c>
      <c r="AY213" s="68">
        <v>-424.65153969784313</v>
      </c>
      <c r="AZ213" s="68">
        <v>905.31539078325807</v>
      </c>
      <c r="BA213" s="299"/>
      <c r="BB213" s="67"/>
      <c r="BC213" s="67"/>
      <c r="BD213" s="67"/>
      <c r="BE213" s="67"/>
      <c r="BF213" s="67"/>
      <c r="BG213" s="67"/>
      <c r="BH213" s="67"/>
      <c r="BN213" s="299"/>
      <c r="BO213" s="67">
        <v>5209659.8682767889</v>
      </c>
      <c r="BP213" s="67">
        <v>6314799.3599999994</v>
      </c>
      <c r="BQ213" s="67">
        <v>6760000</v>
      </c>
      <c r="BR213" s="67">
        <v>221228.05000000002</v>
      </c>
      <c r="BS213" s="67">
        <v>180000</v>
      </c>
      <c r="BT213" s="428">
        <v>0.57262844378399902</v>
      </c>
      <c r="BU213" s="428">
        <v>0.33464287704132478</v>
      </c>
      <c r="BV213" s="67">
        <f t="shared" si="128"/>
        <v>2957556.4200871815</v>
      </c>
      <c r="BW213" s="299"/>
      <c r="BX213" s="67">
        <v>12100669</v>
      </c>
      <c r="BY213" s="67">
        <v>5209659.8682767889</v>
      </c>
      <c r="BZ213" s="67">
        <v>7378420.505567695</v>
      </c>
      <c r="CA213" s="67">
        <v>3524254.5309209172</v>
      </c>
      <c r="CB213" s="67">
        <f t="shared" si="129"/>
        <v>-16592.182806735695</v>
      </c>
      <c r="CC213" s="67">
        <f t="shared" si="130"/>
        <v>-383.82144665234512</v>
      </c>
      <c r="CD213" s="67">
        <f t="shared" si="131"/>
        <v>-313.4660259831129</v>
      </c>
      <c r="CE213" s="67">
        <f t="shared" si="132"/>
        <v>70.355420669232217</v>
      </c>
      <c r="CF213" s="67">
        <f t="shared" si="133"/>
        <v>-55.355420669232217</v>
      </c>
      <c r="CG213" s="67">
        <f t="shared" si="134"/>
        <v>-40.355420669232217</v>
      </c>
      <c r="CH213" s="67">
        <f t="shared" si="135"/>
        <v>-25.355420669232217</v>
      </c>
      <c r="CI213" s="67">
        <f t="shared" si="136"/>
        <v>-10.355420669232217</v>
      </c>
      <c r="CJ213" s="67">
        <f t="shared" si="137"/>
        <v>-100027.24514930262</v>
      </c>
      <c r="CK213" s="67">
        <f t="shared" si="138"/>
        <v>-72922.245149302616</v>
      </c>
      <c r="CL213" s="67">
        <f t="shared" si="139"/>
        <v>-45817.245149302616</v>
      </c>
      <c r="CM213" s="67">
        <f t="shared" si="140"/>
        <v>-18712.245149302616</v>
      </c>
      <c r="CN213" s="299"/>
      <c r="CO213" s="430">
        <v>6512.3805525435801</v>
      </c>
      <c r="CP213" s="430">
        <v>361.71566249114261</v>
      </c>
      <c r="CQ213" s="430">
        <v>459.18400000000003</v>
      </c>
      <c r="CR213" s="430">
        <v>3346730.7121598348</v>
      </c>
      <c r="CS213" s="430">
        <v>1261740.1256710445</v>
      </c>
      <c r="CT213" s="430">
        <v>1292811.6487046531</v>
      </c>
      <c r="CU213" s="430">
        <v>387633.96273964457</v>
      </c>
      <c r="CV213" s="430">
        <v>-488692</v>
      </c>
      <c r="CW213" s="430">
        <v>17114.047649812132</v>
      </c>
      <c r="CX213" s="430">
        <v>71509.08</v>
      </c>
      <c r="CY213" s="430">
        <v>5282206.4461408183</v>
      </c>
      <c r="CZ213" s="519"/>
      <c r="DA213" s="524">
        <v>6748.9612699999998</v>
      </c>
      <c r="DB213" s="524">
        <v>358.88673140018506</v>
      </c>
      <c r="DC213" s="520">
        <f t="shared" si="141"/>
        <v>-1</v>
      </c>
      <c r="DD213" s="440">
        <v>1848</v>
      </c>
      <c r="DE213" s="450">
        <v>5209659.8682767889</v>
      </c>
      <c r="DF213" s="440">
        <v>2844304.7891209172</v>
      </c>
      <c r="DG213" s="440">
        <v>463417.45399999997</v>
      </c>
      <c r="DH213" s="440">
        <v>216532.28779999999</v>
      </c>
      <c r="DI213" s="440">
        <v>1258856.338260863</v>
      </c>
      <c r="DJ213" s="440">
        <v>387692.93355301628</v>
      </c>
      <c r="DK213" s="440">
        <v>-16580.564826977003</v>
      </c>
      <c r="DL213" s="440">
        <v>-488692</v>
      </c>
      <c r="DM213" s="440">
        <v>137700</v>
      </c>
      <c r="DN213" s="440">
        <v>17084.487033584272</v>
      </c>
      <c r="DO213" s="457">
        <f t="shared" si="142"/>
        <v>-389344.14333538525</v>
      </c>
      <c r="DP213" s="459">
        <f t="shared" si="143"/>
        <v>-210.68406024642059</v>
      </c>
      <c r="DQ213" s="440"/>
      <c r="DR213" s="450">
        <v>12100669</v>
      </c>
      <c r="DS213" s="440">
        <v>6590204.6198676955</v>
      </c>
      <c r="DT213" s="440">
        <v>324798.43170000002</v>
      </c>
      <c r="DU213" s="440">
        <v>3343854.242159836</v>
      </c>
      <c r="DV213" s="440">
        <v>1293008.3243362743</v>
      </c>
      <c r="DW213" s="440">
        <v>112425.45399999997</v>
      </c>
      <c r="DX213" s="457">
        <f t="shared" si="144"/>
        <v>-436377.92793619446</v>
      </c>
      <c r="DY213" s="459">
        <f t="shared" si="145"/>
        <v>-236.13524238971561</v>
      </c>
      <c r="DZ213" s="440"/>
      <c r="EA213" s="457">
        <f t="shared" si="146"/>
        <v>47033.784600809216</v>
      </c>
      <c r="EB213" s="459">
        <f t="shared" si="147"/>
        <v>25.451182143295032</v>
      </c>
      <c r="ED213" s="457">
        <v>-39335.543554665339</v>
      </c>
      <c r="EE213" s="458">
        <v>-14010.09860894862</v>
      </c>
      <c r="EF213" s="458">
        <v>3291.830061476559</v>
      </c>
      <c r="EG213" s="458">
        <v>1092.2684042503683</v>
      </c>
      <c r="EH213" s="459">
        <v>-711.74763749080148</v>
      </c>
    </row>
    <row r="214" spans="1:138" x14ac:dyDescent="0.2">
      <c r="A214" s="67">
        <v>619</v>
      </c>
      <c r="B214" s="67" t="s">
        <v>334</v>
      </c>
      <c r="C214" s="67">
        <v>6</v>
      </c>
      <c r="D214" s="67">
        <v>2675</v>
      </c>
      <c r="E214" s="82">
        <v>7444692.2182708178</v>
      </c>
      <c r="F214" s="67">
        <v>3412637.9138080259</v>
      </c>
      <c r="G214" s="67">
        <v>672800</v>
      </c>
      <c r="H214" s="67">
        <v>524672.59577535384</v>
      </c>
      <c r="I214" s="67">
        <v>1788675.7777692212</v>
      </c>
      <c r="J214" s="67">
        <v>658726.99352228525</v>
      </c>
      <c r="K214" s="67">
        <v>696069.42958401155</v>
      </c>
      <c r="L214" s="67">
        <v>-4288</v>
      </c>
      <c r="M214" s="68">
        <v>-8721.65</v>
      </c>
      <c r="N214" s="68">
        <v>19993.038224719327</v>
      </c>
      <c r="O214" s="68">
        <v>-77851.50515960496</v>
      </c>
      <c r="P214" s="168">
        <f t="shared" si="113"/>
        <v>238022.37525319343</v>
      </c>
      <c r="Q214" s="169">
        <f t="shared" si="114"/>
        <v>88.980327197455495</v>
      </c>
      <c r="R214" s="67"/>
      <c r="S214" s="82">
        <v>20508944.93</v>
      </c>
      <c r="T214" s="67">
        <v>7646671.2751147142</v>
      </c>
      <c r="U214" s="67">
        <v>788557.87015891145</v>
      </c>
      <c r="V214" s="67">
        <v>9827827.095813239</v>
      </c>
      <c r="W214" s="67">
        <v>2196943.5405581091</v>
      </c>
      <c r="X214" s="67">
        <v>659790.35</v>
      </c>
      <c r="Y214" s="168">
        <f t="shared" si="115"/>
        <v>610845.20164497197</v>
      </c>
      <c r="Z214" s="169">
        <f t="shared" si="116"/>
        <v>228.3533464093353</v>
      </c>
      <c r="AA214" s="67"/>
      <c r="AB214" s="77">
        <f t="shared" si="117"/>
        <v>-372822.82639177854</v>
      </c>
      <c r="AC214" s="123">
        <f t="shared" si="118"/>
        <v>-139.37301921187984</v>
      </c>
      <c r="AE214" s="170"/>
      <c r="AF214" s="177">
        <v>335769.06612667517</v>
      </c>
      <c r="AG214" s="177">
        <v>288673.74749457341</v>
      </c>
      <c r="AH214" s="177">
        <v>244474.7275473339</v>
      </c>
      <c r="AI214" s="178">
        <v>199728.75552463759</v>
      </c>
      <c r="AK214" s="67">
        <f t="shared" si="119"/>
        <v>4234033.3613066878</v>
      </c>
      <c r="AL214" s="67">
        <f t="shared" si="120"/>
        <v>263885.27438355761</v>
      </c>
      <c r="AM214" s="67">
        <f t="shared" si="121"/>
        <v>8039151.318044018</v>
      </c>
      <c r="AN214" s="67">
        <f t="shared" si="122"/>
        <v>13064252.711729182</v>
      </c>
      <c r="AO214" s="67">
        <f t="shared" si="123"/>
        <v>0</v>
      </c>
      <c r="AP214" s="67">
        <f t="shared" si="124"/>
        <v>335769.06612667517</v>
      </c>
      <c r="AQ214" s="67">
        <f t="shared" si="125"/>
        <v>288673.74749457341</v>
      </c>
      <c r="AR214" s="67">
        <f t="shared" si="126"/>
        <v>244474.7275473339</v>
      </c>
      <c r="AS214" s="67">
        <f t="shared" si="127"/>
        <v>199728.75552463759</v>
      </c>
      <c r="AT214" s="68">
        <v>1126</v>
      </c>
      <c r="AU214" s="68"/>
      <c r="AV214" s="68"/>
      <c r="AW214" s="68">
        <v>0</v>
      </c>
      <c r="AX214" s="68">
        <v>6619.5754320171964</v>
      </c>
      <c r="AY214" s="68">
        <v>-1510.7993460243858</v>
      </c>
      <c r="AZ214" s="68">
        <v>1540.380629643154</v>
      </c>
      <c r="BA214" s="299"/>
      <c r="BB214" s="67"/>
      <c r="BC214" s="67"/>
      <c r="BD214" s="67"/>
      <c r="BE214" s="67"/>
      <c r="BF214" s="67"/>
      <c r="BG214" s="67"/>
      <c r="BH214" s="67"/>
      <c r="BN214" s="299"/>
      <c r="BO214" s="67">
        <v>8273965.9278969429</v>
      </c>
      <c r="BP214" s="67">
        <v>12668056.77</v>
      </c>
      <c r="BQ214" s="67">
        <v>12159000</v>
      </c>
      <c r="BR214" s="67">
        <v>217505.45</v>
      </c>
      <c r="BS214" s="67">
        <v>226000</v>
      </c>
      <c r="BT214" s="428">
        <v>0.55370934737130695</v>
      </c>
      <c r="BU214" s="428">
        <v>0.33464287704132484</v>
      </c>
      <c r="BV214" s="67">
        <f t="shared" si="128"/>
        <v>10273437.294663854</v>
      </c>
      <c r="BW214" s="299"/>
      <c r="BX214" s="67">
        <v>21436250</v>
      </c>
      <c r="BY214" s="67">
        <v>8273965.9278969429</v>
      </c>
      <c r="BZ214" s="67">
        <v>9568281.2487904057</v>
      </c>
      <c r="CA214" s="67">
        <v>4823562.3840179788</v>
      </c>
      <c r="CB214" s="67">
        <f t="shared" si="129"/>
        <v>739221.96698503068</v>
      </c>
      <c r="CC214" s="67">
        <f t="shared" si="130"/>
        <v>228.35334640933615</v>
      </c>
      <c r="CD214" s="67">
        <f t="shared" si="131"/>
        <v>134.21548329488536</v>
      </c>
      <c r="CE214" s="67">
        <f t="shared" si="132"/>
        <v>-94.137863114450795</v>
      </c>
      <c r="CF214" s="67">
        <f t="shared" si="133"/>
        <v>79.137863114450795</v>
      </c>
      <c r="CG214" s="67">
        <f t="shared" si="134"/>
        <v>64.137863114450795</v>
      </c>
      <c r="CH214" s="67">
        <f t="shared" si="135"/>
        <v>49.137863114450795</v>
      </c>
      <c r="CI214" s="67">
        <f t="shared" si="136"/>
        <v>34.137863114450795</v>
      </c>
      <c r="CJ214" s="67">
        <f t="shared" si="137"/>
        <v>211693.78383115589</v>
      </c>
      <c r="CK214" s="67">
        <f t="shared" si="138"/>
        <v>171568.78383115589</v>
      </c>
      <c r="CL214" s="67">
        <f t="shared" si="139"/>
        <v>131443.78383115589</v>
      </c>
      <c r="CM214" s="67">
        <f t="shared" si="140"/>
        <v>91318.783831155873</v>
      </c>
      <c r="CN214" s="299"/>
      <c r="CO214" s="430">
        <v>7646.6712751147143</v>
      </c>
      <c r="CP214" s="430">
        <v>788.55787015891144</v>
      </c>
      <c r="CQ214" s="430">
        <v>672.8</v>
      </c>
      <c r="CR214" s="430">
        <v>9827827.095813239</v>
      </c>
      <c r="CS214" s="430">
        <v>1788675.7777692212</v>
      </c>
      <c r="CT214" s="430">
        <v>2196943.5405581091</v>
      </c>
      <c r="CU214" s="430">
        <v>658726.99352228525</v>
      </c>
      <c r="CV214" s="430">
        <v>-4288</v>
      </c>
      <c r="CW214" s="430">
        <v>19993.038224719327</v>
      </c>
      <c r="CX214" s="430">
        <v>-8721.65</v>
      </c>
      <c r="CY214" s="430">
        <v>7444692.2182708178</v>
      </c>
      <c r="CZ214" s="519"/>
      <c r="DA214" s="524">
        <v>8174.4772499999999</v>
      </c>
      <c r="DB214" s="524">
        <v>782.39167453111941</v>
      </c>
      <c r="DC214" s="520">
        <f t="shared" si="141"/>
        <v>-1</v>
      </c>
      <c r="DD214" s="440">
        <v>2721</v>
      </c>
      <c r="DE214" s="450">
        <v>8273965.9278969429</v>
      </c>
      <c r="DF214" s="440">
        <v>3680859.3214179794</v>
      </c>
      <c r="DG214" s="440">
        <v>670652.0639999999</v>
      </c>
      <c r="DH214" s="440">
        <v>472050.99859999999</v>
      </c>
      <c r="DI214" s="440">
        <v>1784308.0720357839</v>
      </c>
      <c r="DJ214" s="440">
        <v>659653.74186107423</v>
      </c>
      <c r="DK214" s="440">
        <v>738596.321678682</v>
      </c>
      <c r="DL214" s="440">
        <v>-195770</v>
      </c>
      <c r="DM214" s="440">
        <v>-33550</v>
      </c>
      <c r="DN214" s="440">
        <v>21032.069832082463</v>
      </c>
      <c r="DO214" s="457">
        <f t="shared" si="142"/>
        <v>-476133.33847134095</v>
      </c>
      <c r="DP214" s="459">
        <f t="shared" si="143"/>
        <v>-174.98468889060675</v>
      </c>
      <c r="DQ214" s="440"/>
      <c r="DR214" s="450">
        <v>21436250</v>
      </c>
      <c r="DS214" s="440">
        <v>8189552.6868904065</v>
      </c>
      <c r="DT214" s="440">
        <v>708076.49789999996</v>
      </c>
      <c r="DU214" s="440">
        <v>9823475.365813233</v>
      </c>
      <c r="DV214" s="440">
        <v>2200034.3715042281</v>
      </c>
      <c r="DW214" s="440">
        <v>441332.0639999999</v>
      </c>
      <c r="DX214" s="457">
        <f t="shared" si="144"/>
        <v>-73779.013892132789</v>
      </c>
      <c r="DY214" s="459">
        <f t="shared" si="145"/>
        <v>-27.114668832095845</v>
      </c>
      <c r="DZ214" s="440"/>
      <c r="EA214" s="457">
        <f t="shared" si="146"/>
        <v>-402354.32457920816</v>
      </c>
      <c r="EB214" s="459">
        <f t="shared" si="147"/>
        <v>-147.8700200585109</v>
      </c>
      <c r="ED214" s="457">
        <v>413689.23469098029</v>
      </c>
      <c r="EE214" s="458">
        <v>369348.48560943012</v>
      </c>
      <c r="EF214" s="458">
        <v>325571.22371193417</v>
      </c>
      <c r="EG214" s="458">
        <v>281517.58341468719</v>
      </c>
      <c r="EH214" s="459">
        <v>238046.34550907157</v>
      </c>
    </row>
    <row r="215" spans="1:138" x14ac:dyDescent="0.2">
      <c r="A215" s="67">
        <v>620</v>
      </c>
      <c r="B215" s="67" t="s">
        <v>335</v>
      </c>
      <c r="C215" s="67">
        <v>18</v>
      </c>
      <c r="D215" s="67">
        <v>2380</v>
      </c>
      <c r="E215" s="82">
        <v>6839938.4748230372</v>
      </c>
      <c r="F215" s="67">
        <v>2821225.732615585</v>
      </c>
      <c r="G215" s="67">
        <v>830159</v>
      </c>
      <c r="H215" s="67">
        <v>1195716.0980395086</v>
      </c>
      <c r="I215" s="67">
        <v>2544926.3522515027</v>
      </c>
      <c r="J215" s="67">
        <v>562606.00813870993</v>
      </c>
      <c r="K215" s="67">
        <v>354792.00390288467</v>
      </c>
      <c r="L215" s="67">
        <v>-88920</v>
      </c>
      <c r="M215" s="68">
        <v>-27868.63</v>
      </c>
      <c r="N215" s="68">
        <v>18899.392868141997</v>
      </c>
      <c r="O215" s="68">
        <v>-69266.012067237316</v>
      </c>
      <c r="P215" s="168">
        <f t="shared" si="113"/>
        <v>1302331.470926058</v>
      </c>
      <c r="Q215" s="169">
        <f t="shared" si="114"/>
        <v>547.19809702775547</v>
      </c>
      <c r="R215" s="67"/>
      <c r="S215" s="82">
        <v>22739606.480000004</v>
      </c>
      <c r="T215" s="67">
        <v>6471714.2035092777</v>
      </c>
      <c r="U215" s="67">
        <v>1797104.2268585942</v>
      </c>
      <c r="V215" s="67">
        <v>13602709.931815695</v>
      </c>
      <c r="W215" s="67">
        <v>1876367.064981536</v>
      </c>
      <c r="X215" s="67">
        <v>713370.37</v>
      </c>
      <c r="Y215" s="168">
        <f t="shared" si="115"/>
        <v>1721659.3171650991</v>
      </c>
      <c r="Z215" s="169">
        <f t="shared" si="116"/>
        <v>723.38626771642816</v>
      </c>
      <c r="AA215" s="67"/>
      <c r="AB215" s="77">
        <f t="shared" si="117"/>
        <v>-419327.84623904107</v>
      </c>
      <c r="AC215" s="123">
        <f t="shared" si="118"/>
        <v>-176.18817068867273</v>
      </c>
      <c r="AE215" s="170"/>
      <c r="AF215" s="177">
        <v>386360.38850784634</v>
      </c>
      <c r="AG215" s="177">
        <v>344458.75922021939</v>
      </c>
      <c r="AH215" s="177">
        <v>305134.02371575945</v>
      </c>
      <c r="AI215" s="178">
        <v>265322.65421519231</v>
      </c>
      <c r="AK215" s="67">
        <f t="shared" si="119"/>
        <v>3650488.4708936927</v>
      </c>
      <c r="AL215" s="67">
        <f t="shared" si="120"/>
        <v>601388.12881908566</v>
      </c>
      <c r="AM215" s="67">
        <f t="shared" si="121"/>
        <v>11057783.579564191</v>
      </c>
      <c r="AN215" s="67">
        <f t="shared" si="122"/>
        <v>15899668.005176967</v>
      </c>
      <c r="AO215" s="67">
        <f t="shared" si="123"/>
        <v>0</v>
      </c>
      <c r="AP215" s="67">
        <f t="shared" si="124"/>
        <v>386360.38850784634</v>
      </c>
      <c r="AQ215" s="67">
        <f t="shared" si="125"/>
        <v>344458.75922021939</v>
      </c>
      <c r="AR215" s="67">
        <f t="shared" si="126"/>
        <v>305134.02371575945</v>
      </c>
      <c r="AS215" s="67">
        <f t="shared" si="127"/>
        <v>265322.65421519231</v>
      </c>
      <c r="AT215" s="68">
        <v>1226</v>
      </c>
      <c r="AU215" s="68"/>
      <c r="AV215" s="68"/>
      <c r="AW215" s="68">
        <v>0</v>
      </c>
      <c r="AX215" s="68">
        <v>9626.2368777879983</v>
      </c>
      <c r="AY215" s="68">
        <v>-1248.7468581390817</v>
      </c>
      <c r="AZ215" s="68">
        <v>1317.2871108318732</v>
      </c>
      <c r="BA215" s="299"/>
      <c r="BB215" s="67"/>
      <c r="BC215" s="67"/>
      <c r="BD215" s="67"/>
      <c r="BE215" s="67"/>
      <c r="BF215" s="67"/>
      <c r="BG215" s="67"/>
      <c r="BH215" s="67"/>
      <c r="BN215" s="299"/>
      <c r="BO215" s="67">
        <v>8167335.7561805919</v>
      </c>
      <c r="BP215" s="67">
        <v>15189925.350000001</v>
      </c>
      <c r="BQ215" s="67">
        <v>14879000</v>
      </c>
      <c r="BR215" s="67">
        <v>345872.8</v>
      </c>
      <c r="BS215" s="67">
        <v>340000</v>
      </c>
      <c r="BT215" s="428">
        <v>0.56406824468766259</v>
      </c>
      <c r="BU215" s="428">
        <v>0.33464287704132484</v>
      </c>
      <c r="BV215" s="67">
        <f t="shared" si="128"/>
        <v>12726336.640309902</v>
      </c>
      <c r="BW215" s="299"/>
      <c r="BX215" s="67">
        <v>24009553</v>
      </c>
      <c r="BY215" s="67">
        <v>8167335.7561805919</v>
      </c>
      <c r="BZ215" s="67">
        <v>9261977.0639919899</v>
      </c>
      <c r="CA215" s="67">
        <v>4883084.6828836966</v>
      </c>
      <c r="CB215" s="67">
        <f t="shared" si="129"/>
        <v>425408.41598019423</v>
      </c>
      <c r="CC215" s="67">
        <f t="shared" si="130"/>
        <v>723.38626771642816</v>
      </c>
      <c r="CD215" s="67">
        <f t="shared" si="131"/>
        <v>605.97222481958215</v>
      </c>
      <c r="CE215" s="67">
        <f t="shared" si="132"/>
        <v>-117.41404289684601</v>
      </c>
      <c r="CF215" s="67">
        <f t="shared" si="133"/>
        <v>102.41404289684601</v>
      </c>
      <c r="CG215" s="67">
        <f t="shared" si="134"/>
        <v>87.414042896846013</v>
      </c>
      <c r="CH215" s="67">
        <f t="shared" si="135"/>
        <v>72.414042896846013</v>
      </c>
      <c r="CI215" s="67">
        <f t="shared" si="136"/>
        <v>57.414042896846013</v>
      </c>
      <c r="CJ215" s="67">
        <f t="shared" si="137"/>
        <v>243745.42209449352</v>
      </c>
      <c r="CK215" s="67">
        <f t="shared" si="138"/>
        <v>208045.42209449352</v>
      </c>
      <c r="CL215" s="67">
        <f t="shared" si="139"/>
        <v>172345.42209449352</v>
      </c>
      <c r="CM215" s="67">
        <f t="shared" si="140"/>
        <v>136645.42209449352</v>
      </c>
      <c r="CN215" s="299"/>
      <c r="CO215" s="430">
        <v>6471.7142035092775</v>
      </c>
      <c r="CP215" s="430">
        <v>1797.1042268585943</v>
      </c>
      <c r="CQ215" s="430">
        <v>830.15899999999999</v>
      </c>
      <c r="CR215" s="430">
        <v>13602709.931815695</v>
      </c>
      <c r="CS215" s="430">
        <v>2544926.3522515027</v>
      </c>
      <c r="CT215" s="430">
        <v>1876367.064981536</v>
      </c>
      <c r="CU215" s="430">
        <v>562606.00813870993</v>
      </c>
      <c r="CV215" s="430">
        <v>-88920</v>
      </c>
      <c r="CW215" s="430">
        <v>18899.392868141997</v>
      </c>
      <c r="CX215" s="430">
        <v>-27868.63</v>
      </c>
      <c r="CY215" s="430">
        <v>6839938.4748230372</v>
      </c>
      <c r="CZ215" s="519"/>
      <c r="DA215" s="524">
        <v>6587.7211799999995</v>
      </c>
      <c r="DB215" s="524">
        <v>1783.0499105135391</v>
      </c>
      <c r="DC215" s="520">
        <f t="shared" si="141"/>
        <v>-1</v>
      </c>
      <c r="DD215" s="440">
        <v>2446</v>
      </c>
      <c r="DE215" s="450">
        <v>8167335.7561805919</v>
      </c>
      <c r="DF215" s="440">
        <v>2969477.7686836966</v>
      </c>
      <c r="DG215" s="440">
        <v>837814.15760000004</v>
      </c>
      <c r="DH215" s="440">
        <v>1075792.7566</v>
      </c>
      <c r="DI215" s="440">
        <v>2541028.2088741371</v>
      </c>
      <c r="DJ215" s="440">
        <v>564116.0081108727</v>
      </c>
      <c r="DK215" s="440">
        <v>425094.39130486135</v>
      </c>
      <c r="DL215" s="440">
        <v>-116298</v>
      </c>
      <c r="DM215" s="440">
        <v>-36736</v>
      </c>
      <c r="DN215" s="440">
        <v>19410.458864154592</v>
      </c>
      <c r="DO215" s="457">
        <f t="shared" si="142"/>
        <v>112363.99385713041</v>
      </c>
      <c r="DP215" s="459">
        <f t="shared" si="143"/>
        <v>45.93785521550712</v>
      </c>
      <c r="DQ215" s="440"/>
      <c r="DR215" s="450">
        <v>24009553</v>
      </c>
      <c r="DS215" s="440">
        <v>6810473.7714919886</v>
      </c>
      <c r="DT215" s="440">
        <v>1613689.1349000002</v>
      </c>
      <c r="DU215" s="440">
        <v>13598827.951815693</v>
      </c>
      <c r="DV215" s="440">
        <v>1881403.118942746</v>
      </c>
      <c r="DW215" s="440">
        <v>684780.15760000004</v>
      </c>
      <c r="DX215" s="457">
        <f t="shared" si="144"/>
        <v>579621.13475042954</v>
      </c>
      <c r="DY215" s="459">
        <f t="shared" si="145"/>
        <v>236.96693979984855</v>
      </c>
      <c r="DZ215" s="440"/>
      <c r="EA215" s="457">
        <f t="shared" si="146"/>
        <v>-467257.14089329913</v>
      </c>
      <c r="EB215" s="459">
        <f t="shared" si="147"/>
        <v>-191.02908458434143</v>
      </c>
      <c r="ED215" s="457">
        <v>477446.47942082008</v>
      </c>
      <c r="EE215" s="458">
        <v>437587.06293663342</v>
      </c>
      <c r="EF215" s="458">
        <v>398234.18436211121</v>
      </c>
      <c r="EG215" s="458">
        <v>358632.85978766577</v>
      </c>
      <c r="EH215" s="459">
        <v>319555.07665016636</v>
      </c>
    </row>
    <row r="216" spans="1:138" x14ac:dyDescent="0.2">
      <c r="A216" s="67">
        <v>623</v>
      </c>
      <c r="B216" s="67" t="s">
        <v>336</v>
      </c>
      <c r="C216" s="67">
        <v>10</v>
      </c>
      <c r="D216" s="67">
        <v>2107</v>
      </c>
      <c r="E216" s="82">
        <v>6992875.4898490272</v>
      </c>
      <c r="F216" s="67">
        <v>2358211.2071849508</v>
      </c>
      <c r="G216" s="67">
        <v>1827593</v>
      </c>
      <c r="H216" s="67">
        <v>1210325.5650597643</v>
      </c>
      <c r="I216" s="67">
        <v>900516.79975161341</v>
      </c>
      <c r="J216" s="67">
        <v>472954.4286206176</v>
      </c>
      <c r="K216" s="67">
        <v>431093.14905713272</v>
      </c>
      <c r="L216" s="67">
        <v>-468164</v>
      </c>
      <c r="M216" s="68">
        <v>62780.37</v>
      </c>
      <c r="N216" s="68">
        <v>21168.719682557163</v>
      </c>
      <c r="O216" s="68">
        <v>-61320.793035995383</v>
      </c>
      <c r="P216" s="168">
        <f t="shared" si="113"/>
        <v>-237717.04352838657</v>
      </c>
      <c r="Q216" s="169">
        <f t="shared" si="114"/>
        <v>-112.82251709937664</v>
      </c>
      <c r="R216" s="67"/>
      <c r="S216" s="82">
        <v>18766118.440000001</v>
      </c>
      <c r="T216" s="67">
        <v>6511891.8951577507</v>
      </c>
      <c r="U216" s="67">
        <v>1819061.5585172549</v>
      </c>
      <c r="V216" s="67">
        <v>7280130.864265196</v>
      </c>
      <c r="W216" s="67">
        <v>1577366.9322103851</v>
      </c>
      <c r="X216" s="67">
        <v>1422209.37</v>
      </c>
      <c r="Y216" s="168">
        <f t="shared" si="115"/>
        <v>-155457.81984941289</v>
      </c>
      <c r="Z216" s="169">
        <f t="shared" si="116"/>
        <v>-73.78159461291547</v>
      </c>
      <c r="AA216" s="67"/>
      <c r="AB216" s="77">
        <f t="shared" si="117"/>
        <v>-82259.223678973678</v>
      </c>
      <c r="AC216" s="123">
        <f t="shared" si="118"/>
        <v>-39.04092248646117</v>
      </c>
      <c r="AE216" s="170"/>
      <c r="AF216" s="177">
        <v>53073.327275768337</v>
      </c>
      <c r="AG216" s="177">
        <v>15978.061347604455</v>
      </c>
      <c r="AH216" s="177">
        <v>-6280.1193514928764</v>
      </c>
      <c r="AI216" s="178">
        <v>-9919.8905858185462</v>
      </c>
      <c r="AK216" s="67">
        <f t="shared" si="119"/>
        <v>4153680.6879727999</v>
      </c>
      <c r="AL216" s="67">
        <f t="shared" si="120"/>
        <v>608735.99345749058</v>
      </c>
      <c r="AM216" s="67">
        <f t="shared" si="121"/>
        <v>6379614.0645135827</v>
      </c>
      <c r="AN216" s="67">
        <f t="shared" si="122"/>
        <v>11773242.950150974</v>
      </c>
      <c r="AO216" s="67">
        <f t="shared" si="123"/>
        <v>0</v>
      </c>
      <c r="AP216" s="67">
        <f t="shared" si="124"/>
        <v>53073.327275768337</v>
      </c>
      <c r="AQ216" s="67">
        <f t="shared" si="125"/>
        <v>15978.061347604455</v>
      </c>
      <c r="AR216" s="67">
        <f t="shared" si="126"/>
        <v>-6280.1193514928764</v>
      </c>
      <c r="AS216" s="67">
        <f t="shared" si="127"/>
        <v>-9919.8905858185462</v>
      </c>
      <c r="AT216" s="68">
        <v>712</v>
      </c>
      <c r="AU216" s="68"/>
      <c r="AV216" s="68"/>
      <c r="AW216" s="68">
        <v>0</v>
      </c>
      <c r="AX216" s="68">
        <v>6305.3505927892302</v>
      </c>
      <c r="AY216" s="68">
        <v>-279.39968075013877</v>
      </c>
      <c r="AZ216" s="68">
        <v>1105.0020661319352</v>
      </c>
      <c r="BA216" s="299"/>
      <c r="BB216" s="67"/>
      <c r="BC216" s="67"/>
      <c r="BD216" s="67"/>
      <c r="BE216" s="67"/>
      <c r="BF216" s="67"/>
      <c r="BG216" s="67"/>
      <c r="BH216" s="67"/>
      <c r="BN216" s="299"/>
      <c r="BO216" s="67">
        <v>6370432.611894669</v>
      </c>
      <c r="BP216" s="67">
        <v>11037413.539999997</v>
      </c>
      <c r="BQ216" s="67">
        <v>11289000</v>
      </c>
      <c r="BR216" s="67">
        <v>218785.4</v>
      </c>
      <c r="BS216" s="67">
        <v>228000</v>
      </c>
      <c r="BT216" s="428">
        <v>0.63786081753929003</v>
      </c>
      <c r="BU216" s="428">
        <v>0.33464287704132489</v>
      </c>
      <c r="BV216" s="67">
        <f t="shared" si="128"/>
        <v>7915119.7171604838</v>
      </c>
      <c r="BW216" s="299"/>
      <c r="BX216" s="67">
        <v>17772565.199999999</v>
      </c>
      <c r="BY216" s="67">
        <v>6370432.611894669</v>
      </c>
      <c r="BZ216" s="67">
        <v>9792490.4525199588</v>
      </c>
      <c r="CA216" s="67">
        <v>5244751.3302853815</v>
      </c>
      <c r="CB216" s="67">
        <f t="shared" si="129"/>
        <v>487965.61847957689</v>
      </c>
      <c r="CC216" s="67">
        <f t="shared" si="130"/>
        <v>-73.781594612916237</v>
      </c>
      <c r="CD216" s="67">
        <f t="shared" si="131"/>
        <v>-56.726996236329882</v>
      </c>
      <c r="CE216" s="67">
        <f t="shared" si="132"/>
        <v>17.054598376586355</v>
      </c>
      <c r="CF216" s="67">
        <f t="shared" si="133"/>
        <v>-2.0545983765863554</v>
      </c>
      <c r="CG216" s="67">
        <f t="shared" si="134"/>
        <v>0</v>
      </c>
      <c r="CH216" s="67">
        <f t="shared" si="135"/>
        <v>0</v>
      </c>
      <c r="CI216" s="67">
        <f t="shared" si="136"/>
        <v>0</v>
      </c>
      <c r="CJ216" s="67">
        <f t="shared" si="137"/>
        <v>-4329.0387794674507</v>
      </c>
      <c r="CK216" s="67">
        <f t="shared" si="138"/>
        <v>0</v>
      </c>
      <c r="CL216" s="67">
        <f t="shared" si="139"/>
        <v>0</v>
      </c>
      <c r="CM216" s="67">
        <f t="shared" si="140"/>
        <v>0</v>
      </c>
      <c r="CN216" s="299"/>
      <c r="CO216" s="430">
        <v>6511.8918951577507</v>
      </c>
      <c r="CP216" s="430">
        <v>1819.061558517255</v>
      </c>
      <c r="CQ216" s="430">
        <v>1827.5930000000001</v>
      </c>
      <c r="CR216" s="430">
        <v>7280130.864265196</v>
      </c>
      <c r="CS216" s="430">
        <v>900516.79975161341</v>
      </c>
      <c r="CT216" s="430">
        <v>1577366.9322103851</v>
      </c>
      <c r="CU216" s="430">
        <v>472954.4286206176</v>
      </c>
      <c r="CV216" s="430">
        <v>-468164</v>
      </c>
      <c r="CW216" s="430">
        <v>21168.719682557163</v>
      </c>
      <c r="CX216" s="430">
        <v>62780.37</v>
      </c>
      <c r="CY216" s="430">
        <v>6992875.4898490272</v>
      </c>
      <c r="CZ216" s="519"/>
      <c r="DA216" s="524">
        <v>6926.6689299999998</v>
      </c>
      <c r="DB216" s="524">
        <v>1804.8356724844389</v>
      </c>
      <c r="DC216" s="520">
        <f t="shared" si="141"/>
        <v>-1</v>
      </c>
      <c r="DD216" s="440">
        <v>2117</v>
      </c>
      <c r="DE216" s="450">
        <v>6370432.611894669</v>
      </c>
      <c r="DF216" s="440">
        <v>2319359.8543853806</v>
      </c>
      <c r="DG216" s="440">
        <v>1836454.4965000001</v>
      </c>
      <c r="DH216" s="440">
        <v>1088936.9794000001</v>
      </c>
      <c r="DI216" s="440">
        <v>897179.93214771221</v>
      </c>
      <c r="DJ216" s="440">
        <v>473206.9033203898</v>
      </c>
      <c r="DK216" s="440">
        <v>488578.59961381136</v>
      </c>
      <c r="DL216" s="440">
        <v>-468164</v>
      </c>
      <c r="DM216" s="440">
        <v>44250</v>
      </c>
      <c r="DN216" s="440">
        <v>20158.911312339405</v>
      </c>
      <c r="DO216" s="457">
        <f t="shared" si="142"/>
        <v>329529.06478496455</v>
      </c>
      <c r="DP216" s="459">
        <f t="shared" si="143"/>
        <v>155.65850958193886</v>
      </c>
      <c r="DQ216" s="440"/>
      <c r="DR216" s="450">
        <v>17772565.199999999</v>
      </c>
      <c r="DS216" s="440">
        <v>6322630.4869199591</v>
      </c>
      <c r="DT216" s="440">
        <v>1633405.4691000001</v>
      </c>
      <c r="DU216" s="440">
        <v>7276810.0642651962</v>
      </c>
      <c r="DV216" s="440">
        <v>1578208.969452325</v>
      </c>
      <c r="DW216" s="440">
        <v>1412540.4965000001</v>
      </c>
      <c r="DX216" s="457">
        <f t="shared" si="144"/>
        <v>451030.28623748198</v>
      </c>
      <c r="DY216" s="459">
        <f t="shared" si="145"/>
        <v>213.05162316366651</v>
      </c>
      <c r="DZ216" s="440"/>
      <c r="EA216" s="457">
        <f t="shared" si="146"/>
        <v>-121501.22145251743</v>
      </c>
      <c r="EB216" s="459">
        <f t="shared" si="147"/>
        <v>-57.393113581727647</v>
      </c>
      <c r="ED216" s="457">
        <v>130320.03979379509</v>
      </c>
      <c r="EE216" s="458">
        <v>95821.926671545254</v>
      </c>
      <c r="EF216" s="458">
        <v>61762.219417962464</v>
      </c>
      <c r="EG216" s="458">
        <v>27487.48347188679</v>
      </c>
      <c r="EH216" s="459">
        <v>-815.35159554546897</v>
      </c>
    </row>
    <row r="217" spans="1:138" x14ac:dyDescent="0.2">
      <c r="A217" s="67">
        <v>624</v>
      </c>
      <c r="B217" s="67" t="s">
        <v>130</v>
      </c>
      <c r="C217" s="67">
        <v>8</v>
      </c>
      <c r="D217" s="67">
        <v>5117</v>
      </c>
      <c r="E217" s="82">
        <v>14923547.907123815</v>
      </c>
      <c r="F217" s="67">
        <v>7992930.6392426332</v>
      </c>
      <c r="G217" s="67">
        <v>2061511</v>
      </c>
      <c r="H217" s="67">
        <v>758503.61543237069</v>
      </c>
      <c r="I217" s="67">
        <v>2806464.1974992631</v>
      </c>
      <c r="J217" s="67">
        <v>734489.65680850088</v>
      </c>
      <c r="K217" s="67">
        <v>785470.21242668992</v>
      </c>
      <c r="L217" s="67">
        <v>-842338</v>
      </c>
      <c r="M217" s="68">
        <v>-52835.71</v>
      </c>
      <c r="N217" s="68">
        <v>55623.51276106009</v>
      </c>
      <c r="O217" s="68">
        <v>-148921.92594456021</v>
      </c>
      <c r="P217" s="168">
        <f t="shared" si="113"/>
        <v>-772650.70889785793</v>
      </c>
      <c r="Q217" s="169">
        <f t="shared" si="114"/>
        <v>-150.99681627865115</v>
      </c>
      <c r="R217" s="67"/>
      <c r="S217" s="82">
        <v>33688611.329999998</v>
      </c>
      <c r="T217" s="67">
        <v>20125297.186906874</v>
      </c>
      <c r="U217" s="67">
        <v>1139994.7325422724</v>
      </c>
      <c r="V217" s="67">
        <v>8956432.4041040689</v>
      </c>
      <c r="W217" s="67">
        <v>2449622.2608153801</v>
      </c>
      <c r="X217" s="67">
        <v>1166337.29</v>
      </c>
      <c r="Y217" s="168">
        <f t="shared" si="115"/>
        <v>149072.54436859488</v>
      </c>
      <c r="Z217" s="169">
        <f t="shared" si="116"/>
        <v>29.132801322766248</v>
      </c>
      <c r="AA217" s="67"/>
      <c r="AB217" s="77">
        <f t="shared" si="117"/>
        <v>-921723.25326645281</v>
      </c>
      <c r="AC217" s="123">
        <f t="shared" si="118"/>
        <v>-180.12961760141741</v>
      </c>
      <c r="AE217" s="170"/>
      <c r="AF217" s="177">
        <v>850843.21914438263</v>
      </c>
      <c r="AG217" s="177">
        <v>760754.71617598471</v>
      </c>
      <c r="AH217" s="177">
        <v>676206.53484139591</v>
      </c>
      <c r="AI217" s="178">
        <v>590612.09041517647</v>
      </c>
      <c r="AK217" s="67">
        <f t="shared" si="119"/>
        <v>12132366.54766424</v>
      </c>
      <c r="AL217" s="67">
        <f t="shared" si="120"/>
        <v>381491.11710990174</v>
      </c>
      <c r="AM217" s="67">
        <f t="shared" si="121"/>
        <v>6149968.2066048058</v>
      </c>
      <c r="AN217" s="67">
        <f t="shared" si="122"/>
        <v>18765063.422876183</v>
      </c>
      <c r="AO217" s="67">
        <f t="shared" si="123"/>
        <v>0</v>
      </c>
      <c r="AP217" s="67">
        <f t="shared" si="124"/>
        <v>850843.21914438263</v>
      </c>
      <c r="AQ217" s="67">
        <f t="shared" si="125"/>
        <v>760754.71617598471</v>
      </c>
      <c r="AR217" s="67">
        <f t="shared" si="126"/>
        <v>676206.53484139591</v>
      </c>
      <c r="AS217" s="67">
        <f t="shared" si="127"/>
        <v>590612.09041517647</v>
      </c>
      <c r="AT217" s="68">
        <v>1538</v>
      </c>
      <c r="AU217" s="68"/>
      <c r="AV217" s="68"/>
      <c r="AW217" s="68">
        <v>110</v>
      </c>
      <c r="AX217" s="68">
        <v>5709.5796884973779</v>
      </c>
      <c r="AY217" s="68">
        <v>-42.312073125440961</v>
      </c>
      <c r="AZ217" s="68">
        <v>1714.011876314818</v>
      </c>
      <c r="BA217" s="299"/>
      <c r="BB217" s="67"/>
      <c r="BC217" s="67"/>
      <c r="BD217" s="67"/>
      <c r="BE217" s="67"/>
      <c r="BF217" s="67"/>
      <c r="BG217" s="67"/>
      <c r="BH217" s="67"/>
      <c r="BN217" s="299"/>
      <c r="BO217" s="67">
        <v>15115912.914132394</v>
      </c>
      <c r="BP217" s="67">
        <v>17049542.119999997</v>
      </c>
      <c r="BQ217" s="67">
        <v>18428000</v>
      </c>
      <c r="BR217" s="67">
        <v>377775.58</v>
      </c>
      <c r="BS217" s="67">
        <v>442000</v>
      </c>
      <c r="BT217" s="428">
        <v>0.60284160949222265</v>
      </c>
      <c r="BU217" s="428">
        <v>0.33464287704132489</v>
      </c>
      <c r="BV217" s="67">
        <f t="shared" si="128"/>
        <v>8650571.0230383743</v>
      </c>
      <c r="BW217" s="299"/>
      <c r="BX217" s="67">
        <v>32844684.5</v>
      </c>
      <c r="BY217" s="67">
        <v>15115912.914132394</v>
      </c>
      <c r="BZ217" s="67">
        <v>23399854.151786491</v>
      </c>
      <c r="CA217" s="67">
        <v>11028656.167419506</v>
      </c>
      <c r="CB217" s="67">
        <f t="shared" si="129"/>
        <v>1230291.9059411834</v>
      </c>
      <c r="CC217" s="67">
        <f t="shared" si="130"/>
        <v>29.132801322766792</v>
      </c>
      <c r="CD217" s="67">
        <f t="shared" si="131"/>
        <v>-34.963277201251522</v>
      </c>
      <c r="CE217" s="67">
        <f t="shared" si="132"/>
        <v>-64.09607852401831</v>
      </c>
      <c r="CF217" s="67">
        <f t="shared" si="133"/>
        <v>49.09607852401831</v>
      </c>
      <c r="CG217" s="67">
        <f t="shared" si="134"/>
        <v>34.09607852401831</v>
      </c>
      <c r="CH217" s="67">
        <f t="shared" si="135"/>
        <v>19.09607852401831</v>
      </c>
      <c r="CI217" s="67">
        <f t="shared" si="136"/>
        <v>4.09607852401831</v>
      </c>
      <c r="CJ217" s="67">
        <f t="shared" si="137"/>
        <v>251224.6338074017</v>
      </c>
      <c r="CK217" s="67">
        <f t="shared" si="138"/>
        <v>174469.6338074017</v>
      </c>
      <c r="CL217" s="67">
        <f t="shared" si="139"/>
        <v>97714.633807401697</v>
      </c>
      <c r="CM217" s="67">
        <f t="shared" si="140"/>
        <v>20959.633807401693</v>
      </c>
      <c r="CN217" s="299"/>
      <c r="CO217" s="430">
        <v>20125.297186906875</v>
      </c>
      <c r="CP217" s="430">
        <v>1139.9947325422725</v>
      </c>
      <c r="CQ217" s="430">
        <v>2061.511</v>
      </c>
      <c r="CR217" s="430">
        <v>8956432.4041040689</v>
      </c>
      <c r="CS217" s="430">
        <v>2806464.1974992631</v>
      </c>
      <c r="CT217" s="430">
        <v>2449622.2608153801</v>
      </c>
      <c r="CU217" s="430">
        <v>734489.65680850088</v>
      </c>
      <c r="CV217" s="430">
        <v>-842338</v>
      </c>
      <c r="CW217" s="430">
        <v>55623.51276106009</v>
      </c>
      <c r="CX217" s="430">
        <v>-52835.71</v>
      </c>
      <c r="CY217" s="430">
        <v>14923547.907123815</v>
      </c>
      <c r="CZ217" s="519"/>
      <c r="DA217" s="524">
        <v>20387.44312</v>
      </c>
      <c r="DB217" s="524">
        <v>1131.0803196742504</v>
      </c>
      <c r="DC217" s="520">
        <f t="shared" si="141"/>
        <v>-1</v>
      </c>
      <c r="DD217" s="440">
        <v>5119</v>
      </c>
      <c r="DE217" s="450">
        <v>15115912.914132394</v>
      </c>
      <c r="DF217" s="440">
        <v>8102073.0185195049</v>
      </c>
      <c r="DG217" s="440">
        <v>2244153.0163000003</v>
      </c>
      <c r="DH217" s="440">
        <v>682430.13260000001</v>
      </c>
      <c r="DI217" s="440">
        <v>2798384.3377069635</v>
      </c>
      <c r="DJ217" s="440">
        <v>734009.71555148577</v>
      </c>
      <c r="DK217" s="440">
        <v>1230772.7042678252</v>
      </c>
      <c r="DL217" s="440">
        <v>-842338</v>
      </c>
      <c r="DM217" s="440">
        <v>-16000</v>
      </c>
      <c r="DN217" s="440">
        <v>54838.212195361331</v>
      </c>
      <c r="DO217" s="457">
        <f t="shared" si="142"/>
        <v>-127589.77699125186</v>
      </c>
      <c r="DP217" s="459">
        <f t="shared" si="143"/>
        <v>-24.9247464331416</v>
      </c>
      <c r="DQ217" s="440"/>
      <c r="DR217" s="450">
        <v>32844684.5</v>
      </c>
      <c r="DS217" s="440">
        <v>20132055.936586492</v>
      </c>
      <c r="DT217" s="440">
        <v>1023645.1989000001</v>
      </c>
      <c r="DU217" s="440">
        <v>8948368.5041040704</v>
      </c>
      <c r="DV217" s="440">
        <v>2448021.5918663037</v>
      </c>
      <c r="DW217" s="440">
        <v>1385815.0163000003</v>
      </c>
      <c r="DX217" s="457">
        <f t="shared" si="144"/>
        <v>1093221.7477568686</v>
      </c>
      <c r="DY217" s="459">
        <f t="shared" si="145"/>
        <v>213.56158385561019</v>
      </c>
      <c r="DZ217" s="440"/>
      <c r="EA217" s="457">
        <f t="shared" si="146"/>
        <v>-1220811.5247481205</v>
      </c>
      <c r="EB217" s="459">
        <f t="shared" si="147"/>
        <v>-238.48633028875179</v>
      </c>
      <c r="ED217" s="457">
        <v>1242135.8190745304</v>
      </c>
      <c r="EE217" s="458">
        <v>1158717.8497439697</v>
      </c>
      <c r="EF217" s="458">
        <v>1076359.9652701435</v>
      </c>
      <c r="EG217" s="458">
        <v>993482.13187006721</v>
      </c>
      <c r="EH217" s="459">
        <v>911699.96838647791</v>
      </c>
    </row>
    <row r="218" spans="1:138" x14ac:dyDescent="0.2">
      <c r="A218" s="67">
        <v>625</v>
      </c>
      <c r="B218" s="67" t="s">
        <v>337</v>
      </c>
      <c r="C218" s="67">
        <v>17</v>
      </c>
      <c r="D218" s="67">
        <v>2991</v>
      </c>
      <c r="E218" s="82">
        <v>12599249.924782025</v>
      </c>
      <c r="F218" s="67">
        <v>4372587.1763306353</v>
      </c>
      <c r="G218" s="67">
        <v>3423224</v>
      </c>
      <c r="H218" s="67">
        <v>495849.21902046533</v>
      </c>
      <c r="I218" s="67">
        <v>2614016.5605597245</v>
      </c>
      <c r="J218" s="67">
        <v>548243.64284184529</v>
      </c>
      <c r="K218" s="67">
        <v>1064664.6545939166</v>
      </c>
      <c r="L218" s="67">
        <v>418116</v>
      </c>
      <c r="M218" s="68">
        <v>-692443.97</v>
      </c>
      <c r="N218" s="68">
        <v>30076.282433110417</v>
      </c>
      <c r="O218" s="68">
        <v>-87048.168946683523</v>
      </c>
      <c r="P218" s="168">
        <f t="shared" si="113"/>
        <v>-411964.52794901107</v>
      </c>
      <c r="Q218" s="169">
        <f t="shared" si="114"/>
        <v>-137.73471345670714</v>
      </c>
      <c r="R218" s="67"/>
      <c r="S218" s="82">
        <v>25588939.990000002</v>
      </c>
      <c r="T218" s="67">
        <v>10889587.551134147</v>
      </c>
      <c r="U218" s="67">
        <v>745237.7105629365</v>
      </c>
      <c r="V218" s="67">
        <v>9267343.8912009094</v>
      </c>
      <c r="W218" s="67">
        <v>1828466.6358563174</v>
      </c>
      <c r="X218" s="67">
        <v>3148896.0300000003</v>
      </c>
      <c r="Y218" s="168">
        <f t="shared" si="115"/>
        <v>290591.82875430956</v>
      </c>
      <c r="Z218" s="169">
        <f t="shared" si="116"/>
        <v>97.155409145539807</v>
      </c>
      <c r="AA218" s="67"/>
      <c r="AB218" s="77">
        <f t="shared" si="117"/>
        <v>-702556.35670332063</v>
      </c>
      <c r="AC218" s="123">
        <f t="shared" si="118"/>
        <v>-234.89012260224695</v>
      </c>
      <c r="AE218" s="170"/>
      <c r="AF218" s="177">
        <v>661125.40457138326</v>
      </c>
      <c r="AG218" s="177">
        <v>608466.67633638659</v>
      </c>
      <c r="AH218" s="177">
        <v>559046.38898603385</v>
      </c>
      <c r="AI218" s="178">
        <v>509014.53765149752</v>
      </c>
      <c r="AK218" s="67">
        <f t="shared" si="119"/>
        <v>6517000.3748035114</v>
      </c>
      <c r="AL218" s="67">
        <f t="shared" si="120"/>
        <v>249388.49154247117</v>
      </c>
      <c r="AM218" s="67">
        <f t="shared" si="121"/>
        <v>6653327.3306411849</v>
      </c>
      <c r="AN218" s="67">
        <f t="shared" si="122"/>
        <v>12989690.065217977</v>
      </c>
      <c r="AO218" s="67">
        <f t="shared" si="123"/>
        <v>0</v>
      </c>
      <c r="AP218" s="67">
        <f t="shared" si="124"/>
        <v>661125.40457138326</v>
      </c>
      <c r="AQ218" s="67">
        <f t="shared" si="125"/>
        <v>608466.67633638659</v>
      </c>
      <c r="AR218" s="67">
        <f t="shared" si="126"/>
        <v>559046.38898603385</v>
      </c>
      <c r="AS218" s="67">
        <f t="shared" si="127"/>
        <v>509014.53765149752</v>
      </c>
      <c r="AT218" s="68">
        <v>1163</v>
      </c>
      <c r="AU218" s="68"/>
      <c r="AV218" s="68"/>
      <c r="AW218" s="68">
        <v>0</v>
      </c>
      <c r="AX218" s="68">
        <v>5877.2040339602136</v>
      </c>
      <c r="AY218" s="68">
        <v>-783.34337637360125</v>
      </c>
      <c r="AZ218" s="68">
        <v>1281.8952705825923</v>
      </c>
      <c r="BA218" s="299"/>
      <c r="BB218" s="67"/>
      <c r="BC218" s="67"/>
      <c r="BD218" s="67"/>
      <c r="BE218" s="67"/>
      <c r="BF218" s="67"/>
      <c r="BG218" s="67"/>
      <c r="BH218" s="67"/>
      <c r="BN218" s="299"/>
      <c r="BO218" s="67">
        <v>11648677.265563952</v>
      </c>
      <c r="BP218" s="67">
        <v>11595286.960000001</v>
      </c>
      <c r="BQ218" s="67">
        <v>12700000</v>
      </c>
      <c r="BR218" s="67">
        <v>399008.27999999997</v>
      </c>
      <c r="BS218" s="67">
        <v>431000</v>
      </c>
      <c r="BT218" s="428">
        <v>0.59846163541104624</v>
      </c>
      <c r="BU218" s="428">
        <v>0.33464287704132478</v>
      </c>
      <c r="BV218" s="67">
        <f t="shared" si="128"/>
        <v>8998214.9782495741</v>
      </c>
      <c r="BW218" s="299"/>
      <c r="BX218" s="67">
        <v>24344500</v>
      </c>
      <c r="BY218" s="67">
        <v>11648677.265563952</v>
      </c>
      <c r="BZ218" s="67">
        <v>14178377.146304812</v>
      </c>
      <c r="CA218" s="67">
        <v>7851678.7103944095</v>
      </c>
      <c r="CB218" s="67">
        <f t="shared" si="129"/>
        <v>925166.67159882572</v>
      </c>
      <c r="CC218" s="67">
        <f t="shared" si="130"/>
        <v>97.155409145539494</v>
      </c>
      <c r="CD218" s="67">
        <f t="shared" si="131"/>
        <v>-155.27059244313543</v>
      </c>
      <c r="CE218" s="67">
        <f t="shared" si="132"/>
        <v>-252.42600158867492</v>
      </c>
      <c r="CF218" s="67">
        <f t="shared" si="133"/>
        <v>237.42600158867492</v>
      </c>
      <c r="CG218" s="67">
        <f t="shared" si="134"/>
        <v>222.42600158867492</v>
      </c>
      <c r="CH218" s="67">
        <f t="shared" si="135"/>
        <v>207.42600158867492</v>
      </c>
      <c r="CI218" s="67">
        <f t="shared" si="136"/>
        <v>192.42600158867492</v>
      </c>
      <c r="CJ218" s="67">
        <f t="shared" si="137"/>
        <v>710141.17075172672</v>
      </c>
      <c r="CK218" s="67">
        <f t="shared" si="138"/>
        <v>665276.17075172672</v>
      </c>
      <c r="CL218" s="67">
        <f t="shared" si="139"/>
        <v>620411.17075172672</v>
      </c>
      <c r="CM218" s="67">
        <f t="shared" si="140"/>
        <v>575546.17075172672</v>
      </c>
      <c r="CN218" s="299"/>
      <c r="CO218" s="430">
        <v>10889.587551134147</v>
      </c>
      <c r="CP218" s="430">
        <v>745.23771056293651</v>
      </c>
      <c r="CQ218" s="430">
        <v>3423.2240000000002</v>
      </c>
      <c r="CR218" s="430">
        <v>9267343.8912009094</v>
      </c>
      <c r="CS218" s="430">
        <v>2614016.5605597245</v>
      </c>
      <c r="CT218" s="430">
        <v>1828466.6358563174</v>
      </c>
      <c r="CU218" s="430">
        <v>548243.64284184529</v>
      </c>
      <c r="CV218" s="430">
        <v>418116</v>
      </c>
      <c r="CW218" s="430">
        <v>30076.282433110417</v>
      </c>
      <c r="CX218" s="430">
        <v>-692443.97</v>
      </c>
      <c r="CY218" s="430">
        <v>12599249.924782025</v>
      </c>
      <c r="CZ218" s="519"/>
      <c r="DA218" s="524">
        <v>10722.409619999999</v>
      </c>
      <c r="DB218" s="524">
        <v>739.41000165868115</v>
      </c>
      <c r="DC218" s="520">
        <f t="shared" si="141"/>
        <v>-1</v>
      </c>
      <c r="DD218" s="440">
        <v>3048</v>
      </c>
      <c r="DE218" s="450">
        <v>11648677.265563952</v>
      </c>
      <c r="DF218" s="440">
        <v>4165860.7851944105</v>
      </c>
      <c r="DG218" s="440">
        <v>3239699.4869999997</v>
      </c>
      <c r="DH218" s="440">
        <v>446118.43819999998</v>
      </c>
      <c r="DI218" s="440">
        <v>2609204.2113589831</v>
      </c>
      <c r="DJ218" s="440">
        <v>548959.78022634261</v>
      </c>
      <c r="DK218" s="440">
        <v>926376.7372162512</v>
      </c>
      <c r="DL218" s="440">
        <v>590379</v>
      </c>
      <c r="DM218" s="440">
        <v>323000</v>
      </c>
      <c r="DN218" s="440">
        <v>28044.562197043197</v>
      </c>
      <c r="DO218" s="457">
        <f t="shared" si="142"/>
        <v>1228965.7358290777</v>
      </c>
      <c r="DP218" s="459">
        <f t="shared" si="143"/>
        <v>403.20398157121969</v>
      </c>
      <c r="DQ218" s="440"/>
      <c r="DR218" s="450">
        <v>24344500</v>
      </c>
      <c r="DS218" s="440">
        <v>10269500.002004813</v>
      </c>
      <c r="DT218" s="440">
        <v>669177.65729999996</v>
      </c>
      <c r="DU218" s="440">
        <v>9262540.8012009058</v>
      </c>
      <c r="DV218" s="440">
        <v>1830855.050808935</v>
      </c>
      <c r="DW218" s="440">
        <v>4153078.4869999997</v>
      </c>
      <c r="DX218" s="457">
        <f t="shared" si="144"/>
        <v>1840651.9983146526</v>
      </c>
      <c r="DY218" s="459">
        <f t="shared" si="145"/>
        <v>603.88845089063409</v>
      </c>
      <c r="DZ218" s="440"/>
      <c r="EA218" s="457">
        <f t="shared" si="146"/>
        <v>-611686.26248557493</v>
      </c>
      <c r="EB218" s="459">
        <f t="shared" si="147"/>
        <v>-200.68446931941435</v>
      </c>
      <c r="ED218" s="457">
        <v>624383.3613538905</v>
      </c>
      <c r="EE218" s="458">
        <v>574713.90042020252</v>
      </c>
      <c r="EF218" s="458">
        <v>525675.64453502523</v>
      </c>
      <c r="EG218" s="458">
        <v>476327.79608739243</v>
      </c>
      <c r="EH218" s="459">
        <v>427632.34105750761</v>
      </c>
    </row>
    <row r="219" spans="1:138" x14ac:dyDescent="0.2">
      <c r="A219" s="67">
        <v>626</v>
      </c>
      <c r="B219" s="67" t="s">
        <v>131</v>
      </c>
      <c r="C219" s="67">
        <v>17</v>
      </c>
      <c r="D219" s="67">
        <v>4835</v>
      </c>
      <c r="E219" s="82">
        <v>13208978.825649399</v>
      </c>
      <c r="F219" s="67">
        <v>6605036.6593976589</v>
      </c>
      <c r="G219" s="67">
        <v>1318620</v>
      </c>
      <c r="H219" s="67">
        <v>2026575.0957456909</v>
      </c>
      <c r="I219" s="67">
        <v>2018060.2954021734</v>
      </c>
      <c r="J219" s="67">
        <v>961535.92089417158</v>
      </c>
      <c r="K219" s="67">
        <v>-427284.07714175939</v>
      </c>
      <c r="L219" s="67">
        <v>-248029</v>
      </c>
      <c r="M219" s="68">
        <v>-84911.29</v>
      </c>
      <c r="N219" s="68">
        <v>43167.689634556227</v>
      </c>
      <c r="O219" s="68">
        <v>-140714.77661558503</v>
      </c>
      <c r="P219" s="168">
        <f t="shared" si="113"/>
        <v>-1136922.3083324924</v>
      </c>
      <c r="Q219" s="169">
        <f t="shared" si="114"/>
        <v>-235.14422095811631</v>
      </c>
      <c r="R219" s="67"/>
      <c r="S219" s="82">
        <v>41762000.300000012</v>
      </c>
      <c r="T219" s="67">
        <v>15297384.398078697</v>
      </c>
      <c r="U219" s="67">
        <v>3045845.6456196383</v>
      </c>
      <c r="V219" s="67">
        <v>17635492.619427808</v>
      </c>
      <c r="W219" s="67">
        <v>3206852.2334686713</v>
      </c>
      <c r="X219" s="67">
        <v>985679.71</v>
      </c>
      <c r="Y219" s="168">
        <f t="shared" si="115"/>
        <v>-1590745.6934051961</v>
      </c>
      <c r="Z219" s="169">
        <f t="shared" si="116"/>
        <v>-329.00634817067134</v>
      </c>
      <c r="AA219" s="67"/>
      <c r="AB219" s="77">
        <f t="shared" si="117"/>
        <v>453823.38507270371</v>
      </c>
      <c r="AC219" s="123">
        <f t="shared" si="118"/>
        <v>93.862127212555052</v>
      </c>
      <c r="AE219" s="170"/>
      <c r="AF219" s="177">
        <v>-375747.19100981514</v>
      </c>
      <c r="AG219" s="177">
        <v>-315820.8790794271</v>
      </c>
      <c r="AH219" s="177">
        <v>-250659.5749466806</v>
      </c>
      <c r="AI219" s="178">
        <v>-186486.87391106816</v>
      </c>
      <c r="AK219" s="67">
        <f t="shared" si="119"/>
        <v>8692347.738681037</v>
      </c>
      <c r="AL219" s="67">
        <f t="shared" si="120"/>
        <v>1019270.5498739474</v>
      </c>
      <c r="AM219" s="67">
        <f t="shared" si="121"/>
        <v>15617432.324025635</v>
      </c>
      <c r="AN219" s="67">
        <f t="shared" si="122"/>
        <v>28553021.474350613</v>
      </c>
      <c r="AO219" s="67">
        <f t="shared" si="123"/>
        <v>0</v>
      </c>
      <c r="AP219" s="67">
        <f t="shared" si="124"/>
        <v>-375747.19100981514</v>
      </c>
      <c r="AQ219" s="67">
        <f t="shared" si="125"/>
        <v>-315820.8790794271</v>
      </c>
      <c r="AR219" s="67">
        <f t="shared" si="126"/>
        <v>-250659.5749466806</v>
      </c>
      <c r="AS219" s="67">
        <f t="shared" si="127"/>
        <v>-186486.87391106816</v>
      </c>
      <c r="AT219" s="68">
        <v>1786</v>
      </c>
      <c r="AU219" s="68"/>
      <c r="AV219" s="68"/>
      <c r="AW219" s="68">
        <v>0</v>
      </c>
      <c r="AX219" s="68">
        <v>15018.607600164547</v>
      </c>
      <c r="AY219" s="68">
        <v>-767.79205750596111</v>
      </c>
      <c r="AZ219" s="68">
        <v>2251.7577585437198</v>
      </c>
      <c r="BA219" s="299"/>
      <c r="BB219" s="67"/>
      <c r="BC219" s="67"/>
      <c r="BD219" s="67"/>
      <c r="BE219" s="67"/>
      <c r="BF219" s="67"/>
      <c r="BG219" s="67"/>
      <c r="BH219" s="67"/>
      <c r="BN219" s="299"/>
      <c r="BO219" s="67">
        <v>14586464.202476677</v>
      </c>
      <c r="BP219" s="67">
        <v>27402101.249999993</v>
      </c>
      <c r="BQ219" s="67">
        <v>26603000</v>
      </c>
      <c r="BR219" s="67">
        <v>600151.98</v>
      </c>
      <c r="BS219" s="67">
        <v>625000</v>
      </c>
      <c r="BT219" s="428">
        <v>0.56822444363578706</v>
      </c>
      <c r="BU219" s="428">
        <v>0.33464287704132489</v>
      </c>
      <c r="BV219" s="67">
        <f t="shared" si="128"/>
        <v>17435464.559458375</v>
      </c>
      <c r="BW219" s="299"/>
      <c r="BX219" s="67">
        <v>43058864</v>
      </c>
      <c r="BY219" s="67">
        <v>14586464.202476677</v>
      </c>
      <c r="BZ219" s="67">
        <v>20195440.584058277</v>
      </c>
      <c r="CA219" s="67">
        <v>10199719.303110395</v>
      </c>
      <c r="CB219" s="67">
        <f t="shared" si="129"/>
        <v>-290271.87473193975</v>
      </c>
      <c r="CC219" s="67">
        <f t="shared" si="130"/>
        <v>-329.00634817067214</v>
      </c>
      <c r="CD219" s="67">
        <f t="shared" si="131"/>
        <v>-177.70327390012159</v>
      </c>
      <c r="CE219" s="67">
        <f t="shared" si="132"/>
        <v>151.30307427055055</v>
      </c>
      <c r="CF219" s="67">
        <f t="shared" si="133"/>
        <v>-136.30307427055055</v>
      </c>
      <c r="CG219" s="67">
        <f t="shared" si="134"/>
        <v>-121.30307427055055</v>
      </c>
      <c r="CH219" s="67">
        <f t="shared" si="135"/>
        <v>-106.30307427055055</v>
      </c>
      <c r="CI219" s="67">
        <f t="shared" si="136"/>
        <v>-91.303074270550553</v>
      </c>
      <c r="CJ219" s="67">
        <f t="shared" si="137"/>
        <v>-659025.36409811198</v>
      </c>
      <c r="CK219" s="67">
        <f t="shared" si="138"/>
        <v>-586500.36409811198</v>
      </c>
      <c r="CL219" s="67">
        <f t="shared" si="139"/>
        <v>-513975.36409811192</v>
      </c>
      <c r="CM219" s="67">
        <f t="shared" si="140"/>
        <v>-441450.36409811192</v>
      </c>
      <c r="CN219" s="299"/>
      <c r="CO219" s="430">
        <v>15297.384398078697</v>
      </c>
      <c r="CP219" s="430">
        <v>3045.8456456196382</v>
      </c>
      <c r="CQ219" s="430">
        <v>1318.62</v>
      </c>
      <c r="CR219" s="430">
        <v>17635492.619427808</v>
      </c>
      <c r="CS219" s="430">
        <v>2018060.2954021734</v>
      </c>
      <c r="CT219" s="430">
        <v>3206852.2334686713</v>
      </c>
      <c r="CU219" s="430">
        <v>961535.92089417158</v>
      </c>
      <c r="CV219" s="430">
        <v>-248029</v>
      </c>
      <c r="CW219" s="430">
        <v>43167.689634556227</v>
      </c>
      <c r="CX219" s="430">
        <v>-84911.29</v>
      </c>
      <c r="CY219" s="430">
        <v>13208978.825649399</v>
      </c>
      <c r="CZ219" s="519"/>
      <c r="DA219" s="524">
        <v>15637.966699999999</v>
      </c>
      <c r="DB219" s="524">
        <v>3022.0207071681239</v>
      </c>
      <c r="DC219" s="520">
        <f t="shared" si="141"/>
        <v>-1</v>
      </c>
      <c r="DD219" s="440">
        <v>4964</v>
      </c>
      <c r="DE219" s="450">
        <v>14586464.202476677</v>
      </c>
      <c r="DF219" s="440">
        <v>7020371.1489103939</v>
      </c>
      <c r="DG219" s="440">
        <v>1356026.7050000001</v>
      </c>
      <c r="DH219" s="440">
        <v>1823321.4491999999</v>
      </c>
      <c r="DI219" s="440">
        <v>2010149.6516612633</v>
      </c>
      <c r="DJ219" s="440">
        <v>964294.41048747441</v>
      </c>
      <c r="DK219" s="440">
        <v>-290975.44823777484</v>
      </c>
      <c r="DL219" s="440">
        <v>-294930</v>
      </c>
      <c r="DM219" s="440">
        <v>56000</v>
      </c>
      <c r="DN219" s="440">
        <v>44308.359250493144</v>
      </c>
      <c r="DO219" s="457">
        <f t="shared" si="142"/>
        <v>-1897897.9262048267</v>
      </c>
      <c r="DP219" s="459">
        <f t="shared" si="143"/>
        <v>-382.33237836519476</v>
      </c>
      <c r="DQ219" s="440"/>
      <c r="DR219" s="450">
        <v>43058864</v>
      </c>
      <c r="DS219" s="440">
        <v>16104431.705258278</v>
      </c>
      <c r="DT219" s="440">
        <v>2734982.1738</v>
      </c>
      <c r="DU219" s="440">
        <v>17627605.379427809</v>
      </c>
      <c r="DV219" s="440">
        <v>3216052.1690311939</v>
      </c>
      <c r="DW219" s="440">
        <v>1117096.7050000001</v>
      </c>
      <c r="DX219" s="457">
        <f t="shared" si="144"/>
        <v>-2258695.8674827218</v>
      </c>
      <c r="DY219" s="459">
        <f t="shared" si="145"/>
        <v>-455.01528353801808</v>
      </c>
      <c r="DZ219" s="440"/>
      <c r="EA219" s="457">
        <f t="shared" si="146"/>
        <v>360797.94127789512</v>
      </c>
      <c r="EB219" s="459">
        <f t="shared" si="147"/>
        <v>72.682905172823354</v>
      </c>
      <c r="ED219" s="457">
        <v>-340119.33275351004</v>
      </c>
      <c r="EE219" s="458">
        <v>-272091.46007464762</v>
      </c>
      <c r="EF219" s="458">
        <v>-203035.60122097965</v>
      </c>
      <c r="EG219" s="458">
        <v>-134483.94757729501</v>
      </c>
      <c r="EH219" s="459">
        <v>-64869.80019158245</v>
      </c>
    </row>
    <row r="220" spans="1:138" x14ac:dyDescent="0.2">
      <c r="A220" s="67">
        <v>630</v>
      </c>
      <c r="B220" s="67" t="s">
        <v>338</v>
      </c>
      <c r="C220" s="67">
        <v>17</v>
      </c>
      <c r="D220" s="67">
        <v>1635</v>
      </c>
      <c r="E220" s="82">
        <v>4961615.0652288189</v>
      </c>
      <c r="F220" s="67">
        <v>1616536.1375251454</v>
      </c>
      <c r="G220" s="67">
        <v>1351039</v>
      </c>
      <c r="H220" s="67">
        <v>600294.14068674657</v>
      </c>
      <c r="I220" s="67">
        <v>2874058.1599629903</v>
      </c>
      <c r="J220" s="67">
        <v>287449.54471563874</v>
      </c>
      <c r="K220" s="67">
        <v>-290146.03166584164</v>
      </c>
      <c r="L220" s="67">
        <v>-86061</v>
      </c>
      <c r="M220" s="68">
        <v>-31180.12</v>
      </c>
      <c r="N220" s="68">
        <v>12802.573974063233</v>
      </c>
      <c r="O220" s="68">
        <v>-47584.004088207141</v>
      </c>
      <c r="P220" s="168">
        <f t="shared" si="113"/>
        <v>1325593.3358817156</v>
      </c>
      <c r="Q220" s="169">
        <f t="shared" si="114"/>
        <v>810.76045008056008</v>
      </c>
      <c r="R220" s="67"/>
      <c r="S220" s="82">
        <v>12380675.33</v>
      </c>
      <c r="T220" s="67">
        <v>4194866.2208614126</v>
      </c>
      <c r="U220" s="67">
        <v>902213.4429363138</v>
      </c>
      <c r="V220" s="67">
        <v>5983532.2294161031</v>
      </c>
      <c r="W220" s="67">
        <v>958683.07615972531</v>
      </c>
      <c r="X220" s="67">
        <v>1233797.8799999999</v>
      </c>
      <c r="Y220" s="168">
        <f t="shared" si="115"/>
        <v>892417.51937355474</v>
      </c>
      <c r="Z220" s="169">
        <f t="shared" si="116"/>
        <v>545.82111276670014</v>
      </c>
      <c r="AA220" s="67"/>
      <c r="AB220" s="77">
        <f t="shared" si="117"/>
        <v>433175.8165081609</v>
      </c>
      <c r="AC220" s="123">
        <f t="shared" si="118"/>
        <v>264.93933731385988</v>
      </c>
      <c r="AE220" s="170"/>
      <c r="AF220" s="177">
        <v>-406773.62885711162</v>
      </c>
      <c r="AG220" s="177">
        <v>-386508.99183411582</v>
      </c>
      <c r="AH220" s="177">
        <v>-364474.0937457931</v>
      </c>
      <c r="AI220" s="178">
        <v>-342773.5009447122</v>
      </c>
      <c r="AK220" s="67">
        <f t="shared" si="119"/>
        <v>2578330.0833362672</v>
      </c>
      <c r="AL220" s="67">
        <f t="shared" si="120"/>
        <v>301919.30224956723</v>
      </c>
      <c r="AM220" s="67">
        <f t="shared" si="121"/>
        <v>3109474.0694531128</v>
      </c>
      <c r="AN220" s="67">
        <f t="shared" si="122"/>
        <v>7419060.2647711812</v>
      </c>
      <c r="AO220" s="67">
        <f t="shared" si="123"/>
        <v>0</v>
      </c>
      <c r="AP220" s="67">
        <f t="shared" si="124"/>
        <v>-406773.62885711162</v>
      </c>
      <c r="AQ220" s="67">
        <f t="shared" si="125"/>
        <v>-386508.99183411582</v>
      </c>
      <c r="AR220" s="67">
        <f t="shared" si="126"/>
        <v>-364474.0937457931</v>
      </c>
      <c r="AS220" s="67">
        <f t="shared" si="127"/>
        <v>-342773.5009447122</v>
      </c>
      <c r="AT220" s="68">
        <v>522</v>
      </c>
      <c r="AU220" s="68"/>
      <c r="AV220" s="68"/>
      <c r="AW220" s="68">
        <v>9</v>
      </c>
      <c r="AX220" s="68">
        <v>2567.8816474903533</v>
      </c>
      <c r="AY220" s="68">
        <v>-781.3375506936967</v>
      </c>
      <c r="AZ220" s="68">
        <v>673.87883929164968</v>
      </c>
      <c r="BA220" s="299"/>
      <c r="BB220" s="67"/>
      <c r="BC220" s="67"/>
      <c r="BD220" s="67"/>
      <c r="BE220" s="67"/>
      <c r="BF220" s="67"/>
      <c r="BG220" s="67"/>
      <c r="BH220" s="67"/>
      <c r="BN220" s="299"/>
      <c r="BO220" s="67">
        <v>4880561.1224981127</v>
      </c>
      <c r="BP220" s="67">
        <v>6788443.9299999997</v>
      </c>
      <c r="BQ220" s="67">
        <v>7089000</v>
      </c>
      <c r="BR220" s="67">
        <v>221869.27000000002</v>
      </c>
      <c r="BS220" s="67">
        <v>251000</v>
      </c>
      <c r="BT220" s="428">
        <v>0.61463940626140134</v>
      </c>
      <c r="BU220" s="428">
        <v>0.33464287704132489</v>
      </c>
      <c r="BV220" s="67">
        <f t="shared" si="128"/>
        <v>3490561.5692313574</v>
      </c>
      <c r="BW220" s="299"/>
      <c r="BX220" s="67">
        <v>12269405.039999999</v>
      </c>
      <c r="BY220" s="67">
        <v>4880561.1224981127</v>
      </c>
      <c r="BZ220" s="67">
        <v>6228087.4812000338</v>
      </c>
      <c r="CA220" s="67">
        <v>3438124.2101252275</v>
      </c>
      <c r="CB220" s="67">
        <f t="shared" si="129"/>
        <v>-353576.71724252001</v>
      </c>
      <c r="CC220" s="67">
        <f t="shared" si="130"/>
        <v>545.82111276670037</v>
      </c>
      <c r="CD220" s="67">
        <f t="shared" si="131"/>
        <v>801.06829014877383</v>
      </c>
      <c r="CE220" s="67">
        <f t="shared" si="132"/>
        <v>255.24717738207346</v>
      </c>
      <c r="CF220" s="67">
        <f t="shared" si="133"/>
        <v>-240.24717738207346</v>
      </c>
      <c r="CG220" s="67">
        <f t="shared" si="134"/>
        <v>-225.24717738207346</v>
      </c>
      <c r="CH220" s="67">
        <f t="shared" si="135"/>
        <v>-210.24717738207346</v>
      </c>
      <c r="CI220" s="67">
        <f t="shared" si="136"/>
        <v>-195.24717738207346</v>
      </c>
      <c r="CJ220" s="67">
        <f t="shared" si="137"/>
        <v>-392804.13501969009</v>
      </c>
      <c r="CK220" s="67">
        <f t="shared" si="138"/>
        <v>-368279.13501969009</v>
      </c>
      <c r="CL220" s="67">
        <f t="shared" si="139"/>
        <v>-343754.13501969009</v>
      </c>
      <c r="CM220" s="67">
        <f t="shared" si="140"/>
        <v>-319229.13501969009</v>
      </c>
      <c r="CN220" s="299"/>
      <c r="CO220" s="430">
        <v>4194.8662208614123</v>
      </c>
      <c r="CP220" s="430">
        <v>902.21344293631375</v>
      </c>
      <c r="CQ220" s="430">
        <v>1351.039</v>
      </c>
      <c r="CR220" s="430">
        <v>5983532.2294161031</v>
      </c>
      <c r="CS220" s="430">
        <v>2874058.1599629903</v>
      </c>
      <c r="CT220" s="430">
        <v>958683.07615972531</v>
      </c>
      <c r="CU220" s="430">
        <v>287449.54471563874</v>
      </c>
      <c r="CV220" s="430">
        <v>-86061</v>
      </c>
      <c r="CW220" s="430">
        <v>12802.573974063233</v>
      </c>
      <c r="CX220" s="430">
        <v>-31180.12</v>
      </c>
      <c r="CY220" s="430">
        <v>4961615.0652288189</v>
      </c>
      <c r="CZ220" s="519"/>
      <c r="DA220" s="524">
        <v>4515.2056600000005</v>
      </c>
      <c r="DB220" s="524">
        <v>895.15776620461645</v>
      </c>
      <c r="DC220" s="520">
        <f t="shared" si="141"/>
        <v>-1</v>
      </c>
      <c r="DD220" s="440">
        <v>1631</v>
      </c>
      <c r="DE220" s="450">
        <v>4880561.1224981127</v>
      </c>
      <c r="DF220" s="440">
        <v>1594802.3784252272</v>
      </c>
      <c r="DG220" s="440">
        <v>1303233.6875</v>
      </c>
      <c r="DH220" s="440">
        <v>540088.14419999998</v>
      </c>
      <c r="DI220" s="440">
        <v>2871540.3877574713</v>
      </c>
      <c r="DJ220" s="440">
        <v>288582.37330776721</v>
      </c>
      <c r="DK220" s="440">
        <v>-353312.35339960601</v>
      </c>
      <c r="DL220" s="440">
        <v>-86061</v>
      </c>
      <c r="DM220" s="440">
        <v>-28650</v>
      </c>
      <c r="DN220" s="440">
        <v>12367.161051807649</v>
      </c>
      <c r="DO220" s="457">
        <f t="shared" si="142"/>
        <v>1262029.6563445544</v>
      </c>
      <c r="DP220" s="459">
        <f t="shared" si="143"/>
        <v>773.77661333203821</v>
      </c>
      <c r="DQ220" s="440"/>
      <c r="DR220" s="450">
        <v>12269405.039999999</v>
      </c>
      <c r="DS220" s="440">
        <v>4114721.5774000343</v>
      </c>
      <c r="DT220" s="440">
        <v>810132.21629999997</v>
      </c>
      <c r="DU220" s="440">
        <v>5981017.6394161042</v>
      </c>
      <c r="DV220" s="440">
        <v>962461.21259941685</v>
      </c>
      <c r="DW220" s="440">
        <v>1188522.6875</v>
      </c>
      <c r="DX220" s="457">
        <f t="shared" si="144"/>
        <v>787450.29321555607</v>
      </c>
      <c r="DY220" s="459">
        <f t="shared" si="145"/>
        <v>482.80214176306322</v>
      </c>
      <c r="DZ220" s="440"/>
      <c r="EA220" s="457">
        <f t="shared" si="146"/>
        <v>474579.36312899832</v>
      </c>
      <c r="EB220" s="459">
        <f t="shared" si="147"/>
        <v>290.97447156897505</v>
      </c>
      <c r="ED220" s="457">
        <v>-467785.08220569871</v>
      </c>
      <c r="EE220" s="458">
        <v>-445433.45844678965</v>
      </c>
      <c r="EF220" s="458">
        <v>-422744.07371868077</v>
      </c>
      <c r="EG220" s="458">
        <v>-400220.35351464181</v>
      </c>
      <c r="EH220" s="459">
        <v>-377347.53433936031</v>
      </c>
    </row>
    <row r="221" spans="1:138" x14ac:dyDescent="0.2">
      <c r="A221" s="67">
        <v>631</v>
      </c>
      <c r="B221" s="67" t="s">
        <v>339</v>
      </c>
      <c r="C221" s="67">
        <v>2</v>
      </c>
      <c r="D221" s="67">
        <v>1963</v>
      </c>
      <c r="E221" s="82">
        <v>6724391.4029924953</v>
      </c>
      <c r="F221" s="67">
        <v>3284673.3451411994</v>
      </c>
      <c r="G221" s="67">
        <v>794062</v>
      </c>
      <c r="H221" s="67">
        <v>348907.4968527325</v>
      </c>
      <c r="I221" s="67">
        <v>903193.68862906424</v>
      </c>
      <c r="J221" s="67">
        <v>351250.3570551665</v>
      </c>
      <c r="K221" s="67">
        <v>581095.38561277138</v>
      </c>
      <c r="L221" s="67">
        <v>-524950</v>
      </c>
      <c r="M221" s="68">
        <v>-13843.05</v>
      </c>
      <c r="N221" s="68">
        <v>20109.100856472414</v>
      </c>
      <c r="O221" s="68">
        <v>-57129.908272263376</v>
      </c>
      <c r="P221" s="168">
        <f t="shared" si="113"/>
        <v>-1037022.9871173517</v>
      </c>
      <c r="Q221" s="169">
        <f t="shared" si="114"/>
        <v>-528.28476164918584</v>
      </c>
      <c r="R221" s="67"/>
      <c r="S221" s="82">
        <v>13726677.73</v>
      </c>
      <c r="T221" s="67">
        <v>7633219.2650788017</v>
      </c>
      <c r="U221" s="67">
        <v>524391.31530031411</v>
      </c>
      <c r="V221" s="67">
        <v>3661713.9046543427</v>
      </c>
      <c r="W221" s="67">
        <v>1171467.4070434477</v>
      </c>
      <c r="X221" s="67">
        <v>255268.95</v>
      </c>
      <c r="Y221" s="168">
        <f t="shared" si="115"/>
        <v>-480616.88792309538</v>
      </c>
      <c r="Z221" s="169">
        <f t="shared" si="116"/>
        <v>-244.83794596184177</v>
      </c>
      <c r="AA221" s="67"/>
      <c r="AB221" s="77">
        <f t="shared" si="117"/>
        <v>-556406.09919425636</v>
      </c>
      <c r="AC221" s="123">
        <f t="shared" si="118"/>
        <v>-283.44681568734404</v>
      </c>
      <c r="AE221" s="170"/>
      <c r="AF221" s="177">
        <v>529214.87250251952</v>
      </c>
      <c r="AG221" s="177">
        <v>494654.83120352303</v>
      </c>
      <c r="AH221" s="177">
        <v>462220.1859113992</v>
      </c>
      <c r="AI221" s="178">
        <v>429384.16980651958</v>
      </c>
      <c r="AK221" s="67">
        <f t="shared" si="119"/>
        <v>4348545.9199376022</v>
      </c>
      <c r="AL221" s="67">
        <f t="shared" si="120"/>
        <v>175483.81844758161</v>
      </c>
      <c r="AM221" s="67">
        <f t="shared" si="121"/>
        <v>2758520.2160252784</v>
      </c>
      <c r="AN221" s="67">
        <f t="shared" si="122"/>
        <v>7002286.3270075051</v>
      </c>
      <c r="AO221" s="67">
        <f t="shared" si="123"/>
        <v>0</v>
      </c>
      <c r="AP221" s="67">
        <f t="shared" si="124"/>
        <v>529214.87250251952</v>
      </c>
      <c r="AQ221" s="67">
        <f t="shared" si="125"/>
        <v>494654.83120352303</v>
      </c>
      <c r="AR221" s="67">
        <f t="shared" si="126"/>
        <v>462220.1859113992</v>
      </c>
      <c r="AS221" s="67">
        <f t="shared" si="127"/>
        <v>429384.16980651958</v>
      </c>
      <c r="AT221" s="68">
        <v>567</v>
      </c>
      <c r="AU221" s="68"/>
      <c r="AV221" s="68"/>
      <c r="AW221" s="68">
        <v>0</v>
      </c>
      <c r="AX221" s="68">
        <v>2302.9969550770538</v>
      </c>
      <c r="AY221" s="68">
        <v>-286.5140854958172</v>
      </c>
      <c r="AZ221" s="68">
        <v>827.21100636439769</v>
      </c>
      <c r="BA221" s="299"/>
      <c r="BB221" s="67"/>
      <c r="BC221" s="67"/>
      <c r="BD221" s="67"/>
      <c r="BE221" s="67"/>
      <c r="BF221" s="67"/>
      <c r="BG221" s="67"/>
      <c r="BH221" s="67"/>
      <c r="BN221" s="299"/>
      <c r="BO221" s="67">
        <v>6032955.2364809718</v>
      </c>
      <c r="BP221" s="67">
        <v>6859075.6699999999</v>
      </c>
      <c r="BQ221" s="67">
        <v>6368000</v>
      </c>
      <c r="BR221" s="67">
        <v>164436.71</v>
      </c>
      <c r="BS221" s="67">
        <v>153000</v>
      </c>
      <c r="BT221" s="428">
        <v>0.56968701787878095</v>
      </c>
      <c r="BU221" s="428">
        <v>0.33464287704132484</v>
      </c>
      <c r="BV221" s="67">
        <f t="shared" si="128"/>
        <v>4159832.6516263313</v>
      </c>
      <c r="BW221" s="299"/>
      <c r="BX221" s="67">
        <v>12952300</v>
      </c>
      <c r="BY221" s="67">
        <v>6032955.2364809718</v>
      </c>
      <c r="BZ221" s="67">
        <v>8909801.8620607462</v>
      </c>
      <c r="CA221" s="67">
        <v>4449772.6320571406</v>
      </c>
      <c r="CB221" s="67">
        <f t="shared" si="129"/>
        <v>561867.45824413002</v>
      </c>
      <c r="CC221" s="67">
        <f t="shared" si="130"/>
        <v>-244.83794596184137</v>
      </c>
      <c r="CD221" s="67">
        <f t="shared" si="131"/>
        <v>-508.97656964530341</v>
      </c>
      <c r="CE221" s="67">
        <f t="shared" si="132"/>
        <v>-264.13862368346201</v>
      </c>
      <c r="CF221" s="67">
        <f t="shared" si="133"/>
        <v>249.13862368346201</v>
      </c>
      <c r="CG221" s="67">
        <f t="shared" si="134"/>
        <v>234.13862368346201</v>
      </c>
      <c r="CH221" s="67">
        <f t="shared" si="135"/>
        <v>219.13862368346201</v>
      </c>
      <c r="CI221" s="67">
        <f t="shared" si="136"/>
        <v>204.13862368346201</v>
      </c>
      <c r="CJ221" s="67">
        <f t="shared" si="137"/>
        <v>489059.11829063593</v>
      </c>
      <c r="CK221" s="67">
        <f t="shared" si="138"/>
        <v>459614.11829063593</v>
      </c>
      <c r="CL221" s="67">
        <f t="shared" si="139"/>
        <v>430169.11829063593</v>
      </c>
      <c r="CM221" s="67">
        <f t="shared" si="140"/>
        <v>400724.11829063593</v>
      </c>
      <c r="CN221" s="299"/>
      <c r="CO221" s="430">
        <v>7633.219265078802</v>
      </c>
      <c r="CP221" s="430">
        <v>524.39131530031409</v>
      </c>
      <c r="CQ221" s="430">
        <v>794.06200000000001</v>
      </c>
      <c r="CR221" s="430">
        <v>3661713.9046543427</v>
      </c>
      <c r="CS221" s="430">
        <v>903193.68862906424</v>
      </c>
      <c r="CT221" s="430">
        <v>1171467.4070434477</v>
      </c>
      <c r="CU221" s="430">
        <v>351250.3570551665</v>
      </c>
      <c r="CV221" s="430">
        <v>-524950</v>
      </c>
      <c r="CW221" s="430">
        <v>20109.100856472414</v>
      </c>
      <c r="CX221" s="430">
        <v>-13843.05</v>
      </c>
      <c r="CY221" s="430">
        <v>6724391.4029924953</v>
      </c>
      <c r="CZ221" s="519"/>
      <c r="DA221" s="524">
        <v>7610.0243200000004</v>
      </c>
      <c r="DB221" s="524">
        <v>520.29062064015511</v>
      </c>
      <c r="DC221" s="520">
        <f t="shared" si="141"/>
        <v>-1</v>
      </c>
      <c r="DD221" s="440">
        <v>1985</v>
      </c>
      <c r="DE221" s="450">
        <v>6032955.2364809718</v>
      </c>
      <c r="DF221" s="440">
        <v>3344291.6584571404</v>
      </c>
      <c r="DG221" s="440">
        <v>791566.86100000003</v>
      </c>
      <c r="DH221" s="440">
        <v>313914.11259999999</v>
      </c>
      <c r="DI221" s="440">
        <v>900056.05925169238</v>
      </c>
      <c r="DJ221" s="440">
        <v>354245.45411438402</v>
      </c>
      <c r="DK221" s="440">
        <v>562070.08676746942</v>
      </c>
      <c r="DL221" s="440">
        <v>-524950</v>
      </c>
      <c r="DM221" s="440">
        <v>13448</v>
      </c>
      <c r="DN221" s="440">
        <v>19770.116816618589</v>
      </c>
      <c r="DO221" s="457">
        <f t="shared" si="142"/>
        <v>-258542.88747366704</v>
      </c>
      <c r="DP221" s="459">
        <f t="shared" si="143"/>
        <v>-130.24830603207408</v>
      </c>
      <c r="DQ221" s="440"/>
      <c r="DR221" s="450">
        <v>12952300</v>
      </c>
      <c r="DS221" s="440">
        <v>7647363.8321607457</v>
      </c>
      <c r="DT221" s="440">
        <v>470871.16889999999</v>
      </c>
      <c r="DU221" s="440">
        <v>3658584.244654343</v>
      </c>
      <c r="DV221" s="440">
        <v>1181456.4604787817</v>
      </c>
      <c r="DW221" s="440">
        <v>280064.86100000003</v>
      </c>
      <c r="DX221" s="457">
        <f t="shared" si="144"/>
        <v>286040.5671938695</v>
      </c>
      <c r="DY221" s="459">
        <f t="shared" si="145"/>
        <v>144.10104140749092</v>
      </c>
      <c r="DZ221" s="440"/>
      <c r="EA221" s="457">
        <f t="shared" si="146"/>
        <v>-544583.45466753654</v>
      </c>
      <c r="EB221" s="459">
        <f t="shared" si="147"/>
        <v>-274.34934743956501</v>
      </c>
      <c r="ED221" s="457">
        <v>552852.39864837914</v>
      </c>
      <c r="EE221" s="458">
        <v>520505.32517286378</v>
      </c>
      <c r="EF221" s="458">
        <v>488569.32191430836</v>
      </c>
      <c r="EG221" s="458">
        <v>456431.69751517742</v>
      </c>
      <c r="EH221" s="459">
        <v>424718.94218895654</v>
      </c>
    </row>
    <row r="222" spans="1:138" x14ac:dyDescent="0.2">
      <c r="A222" s="67">
        <v>635</v>
      </c>
      <c r="B222" s="67" t="s">
        <v>340</v>
      </c>
      <c r="C222" s="67">
        <v>6</v>
      </c>
      <c r="D222" s="67">
        <v>6347</v>
      </c>
      <c r="E222" s="82">
        <v>15741725.823318385</v>
      </c>
      <c r="F222" s="67">
        <v>9229565.5380159244</v>
      </c>
      <c r="G222" s="67">
        <v>2452688</v>
      </c>
      <c r="H222" s="67">
        <v>1197037.1649337346</v>
      </c>
      <c r="I222" s="67">
        <v>3421955.8939053928</v>
      </c>
      <c r="J222" s="67">
        <v>1268554.2008295483</v>
      </c>
      <c r="K222" s="67">
        <v>26026.752907096139</v>
      </c>
      <c r="L222" s="67">
        <v>-647860</v>
      </c>
      <c r="M222" s="68">
        <v>52010.99</v>
      </c>
      <c r="N222" s="68">
        <v>57527.116088252391</v>
      </c>
      <c r="O222" s="68">
        <v>-184719.06663477109</v>
      </c>
      <c r="P222" s="168">
        <f t="shared" si="113"/>
        <v>1131060.7667267949</v>
      </c>
      <c r="Q222" s="169">
        <f t="shared" si="114"/>
        <v>178.20399664830549</v>
      </c>
      <c r="R222" s="67"/>
      <c r="S222" s="82">
        <v>43552894.830000006</v>
      </c>
      <c r="T222" s="67">
        <v>21569632.357483156</v>
      </c>
      <c r="U222" s="67">
        <v>1799089.7273494459</v>
      </c>
      <c r="V222" s="67">
        <v>15153399.123515483</v>
      </c>
      <c r="W222" s="67">
        <v>4230799.6860099016</v>
      </c>
      <c r="X222" s="67">
        <v>1856838.99</v>
      </c>
      <c r="Y222" s="168">
        <f t="shared" si="115"/>
        <v>1056865.0543579832</v>
      </c>
      <c r="Z222" s="169">
        <f t="shared" si="116"/>
        <v>166.51410971450815</v>
      </c>
      <c r="AA222" s="67"/>
      <c r="AB222" s="77">
        <f t="shared" si="117"/>
        <v>74195.712368811714</v>
      </c>
      <c r="AC222" s="123">
        <f t="shared" si="118"/>
        <v>11.689886933797339</v>
      </c>
      <c r="AE222" s="170"/>
      <c r="AF222" s="177">
        <v>7287.162092483476</v>
      </c>
      <c r="AG222" s="177">
        <v>-9251.3845833856121</v>
      </c>
      <c r="AH222" s="177">
        <v>-18917.853594648925</v>
      </c>
      <c r="AI222" s="178">
        <v>-29882.081418220369</v>
      </c>
      <c r="AK222" s="67">
        <f t="shared" si="119"/>
        <v>12340066.819467232</v>
      </c>
      <c r="AL222" s="67">
        <f t="shared" si="120"/>
        <v>602052.56241571135</v>
      </c>
      <c r="AM222" s="67">
        <f t="shared" si="121"/>
        <v>11731443.229610089</v>
      </c>
      <c r="AN222" s="67">
        <f t="shared" si="122"/>
        <v>27811169.006681621</v>
      </c>
      <c r="AO222" s="67">
        <f t="shared" si="123"/>
        <v>0</v>
      </c>
      <c r="AP222" s="67">
        <f t="shared" si="124"/>
        <v>7287.162092483476</v>
      </c>
      <c r="AQ222" s="67">
        <f t="shared" si="125"/>
        <v>-9251.3845833856121</v>
      </c>
      <c r="AR222" s="67">
        <f t="shared" si="126"/>
        <v>-18917.853594648925</v>
      </c>
      <c r="AS222" s="67">
        <f t="shared" si="127"/>
        <v>-29882.081418220369</v>
      </c>
      <c r="AT222" s="68">
        <v>2607</v>
      </c>
      <c r="AU222" s="68"/>
      <c r="AV222" s="68"/>
      <c r="AW222" s="68">
        <v>0</v>
      </c>
      <c r="AX222" s="68">
        <v>9907.9530441988936</v>
      </c>
      <c r="AY222" s="68">
        <v>-1915.0370663847493</v>
      </c>
      <c r="AZ222" s="68">
        <v>2973.9044651243166</v>
      </c>
      <c r="BA222" s="299"/>
      <c r="BB222" s="67"/>
      <c r="BC222" s="67"/>
      <c r="BD222" s="67"/>
      <c r="BE222" s="67"/>
      <c r="BF222" s="67"/>
      <c r="BG222" s="67"/>
      <c r="BH222" s="67"/>
      <c r="BN222" s="299"/>
      <c r="BO222" s="67">
        <v>16223011.459809046</v>
      </c>
      <c r="BP222" s="67">
        <v>26025162.359999999</v>
      </c>
      <c r="BQ222" s="67">
        <v>26730000</v>
      </c>
      <c r="BR222" s="67">
        <v>524529.68999999994</v>
      </c>
      <c r="BS222" s="67">
        <v>516000</v>
      </c>
      <c r="BT222" s="428">
        <v>0.5721037157680664</v>
      </c>
      <c r="BU222" s="428">
        <v>0.33464287704132489</v>
      </c>
      <c r="BV222" s="67">
        <f t="shared" si="128"/>
        <v>14719715.46769754</v>
      </c>
      <c r="BW222" s="299"/>
      <c r="BX222" s="67">
        <v>43861604.229999997</v>
      </c>
      <c r="BY222" s="67">
        <v>16223011.459809046</v>
      </c>
      <c r="BZ222" s="67">
        <v>25783299.253039084</v>
      </c>
      <c r="CA222" s="67">
        <v>12948612.067710031</v>
      </c>
      <c r="CB222" s="67">
        <f t="shared" si="129"/>
        <v>-40375.065189105684</v>
      </c>
      <c r="CC222" s="67">
        <f t="shared" si="130"/>
        <v>166.51410971450767</v>
      </c>
      <c r="CD222" s="67">
        <f t="shared" si="131"/>
        <v>196.84544119510983</v>
      </c>
      <c r="CE222" s="67">
        <f t="shared" si="132"/>
        <v>30.331331480602159</v>
      </c>
      <c r="CF222" s="67">
        <f t="shared" si="133"/>
        <v>-15.331331480602159</v>
      </c>
      <c r="CG222" s="67">
        <f t="shared" si="134"/>
        <v>-0.33133148060215944</v>
      </c>
      <c r="CH222" s="67">
        <f t="shared" si="135"/>
        <v>0</v>
      </c>
      <c r="CI222" s="67">
        <f t="shared" si="136"/>
        <v>0</v>
      </c>
      <c r="CJ222" s="67">
        <f t="shared" si="137"/>
        <v>-97307.960907381901</v>
      </c>
      <c r="CK222" s="67">
        <f t="shared" si="138"/>
        <v>-2102.9609073819061</v>
      </c>
      <c r="CL222" s="67">
        <f t="shared" si="139"/>
        <v>0</v>
      </c>
      <c r="CM222" s="67">
        <f t="shared" si="140"/>
        <v>0</v>
      </c>
      <c r="CN222" s="299"/>
      <c r="CO222" s="430">
        <v>21569.632357483155</v>
      </c>
      <c r="CP222" s="430">
        <v>1799.0897273494459</v>
      </c>
      <c r="CQ222" s="430">
        <v>2452.6880000000001</v>
      </c>
      <c r="CR222" s="430">
        <v>15153399.123515483</v>
      </c>
      <c r="CS222" s="430">
        <v>3421955.8939053928</v>
      </c>
      <c r="CT222" s="430">
        <v>4230799.6860099016</v>
      </c>
      <c r="CU222" s="430">
        <v>1268554.2008295483</v>
      </c>
      <c r="CV222" s="430">
        <v>-647860</v>
      </c>
      <c r="CW222" s="430">
        <v>57527.116088252391</v>
      </c>
      <c r="CX222" s="430">
        <v>52010.99</v>
      </c>
      <c r="CY222" s="430">
        <v>15741725.823318385</v>
      </c>
      <c r="CZ222" s="519"/>
      <c r="DA222" s="524">
        <v>22003.291920000003</v>
      </c>
      <c r="DB222" s="524">
        <v>1785.0206847246232</v>
      </c>
      <c r="DC222" s="520">
        <f t="shared" si="141"/>
        <v>-1</v>
      </c>
      <c r="DD222" s="440">
        <v>6439</v>
      </c>
      <c r="DE222" s="450">
        <v>16223011.459809046</v>
      </c>
      <c r="DF222" s="440">
        <v>9411772.6359100305</v>
      </c>
      <c r="DG222" s="440">
        <v>2459858.1036000005</v>
      </c>
      <c r="DH222" s="440">
        <v>1076981.3282000001</v>
      </c>
      <c r="DI222" s="440">
        <v>3411872.4547180613</v>
      </c>
      <c r="DJ222" s="440">
        <v>1273547.0510370359</v>
      </c>
      <c r="DK222" s="440">
        <v>-40000.643998499349</v>
      </c>
      <c r="DL222" s="440">
        <v>-782555</v>
      </c>
      <c r="DM222" s="440">
        <v>-4818</v>
      </c>
      <c r="DN222" s="440">
        <v>56892.735870815784</v>
      </c>
      <c r="DO222" s="457">
        <f t="shared" si="142"/>
        <v>640539.20552839711</v>
      </c>
      <c r="DP222" s="459">
        <f t="shared" si="143"/>
        <v>99.478056457275528</v>
      </c>
      <c r="DQ222" s="440"/>
      <c r="DR222" s="450">
        <v>43861604.229999997</v>
      </c>
      <c r="DS222" s="440">
        <v>21707969.157139085</v>
      </c>
      <c r="DT222" s="440">
        <v>1615471.9923</v>
      </c>
      <c r="DU222" s="440">
        <v>15143344.403515484</v>
      </c>
      <c r="DV222" s="440">
        <v>4247451.5161613524</v>
      </c>
      <c r="DW222" s="440">
        <v>1672485.1036000005</v>
      </c>
      <c r="DX222" s="457">
        <f t="shared" si="144"/>
        <v>525117.94271592051</v>
      </c>
      <c r="DY222" s="459">
        <f t="shared" si="145"/>
        <v>81.552716682081154</v>
      </c>
      <c r="DZ222" s="440"/>
      <c r="EA222" s="457">
        <f t="shared" si="146"/>
        <v>115421.26281247661</v>
      </c>
      <c r="EB222" s="459">
        <f t="shared" si="147"/>
        <v>17.925339775194377</v>
      </c>
      <c r="ED222" s="457">
        <v>-88598.224881671384</v>
      </c>
      <c r="EE222" s="458">
        <v>-356.59067957723477</v>
      </c>
      <c r="EF222" s="458">
        <v>11469.747708791971</v>
      </c>
      <c r="EG222" s="458">
        <v>3805.7988392684638</v>
      </c>
      <c r="EH222" s="459">
        <v>-2479.9475312788263</v>
      </c>
    </row>
    <row r="223" spans="1:138" x14ac:dyDescent="0.2">
      <c r="A223" s="67">
        <v>636</v>
      </c>
      <c r="B223" s="67" t="s">
        <v>341</v>
      </c>
      <c r="C223" s="67">
        <v>2</v>
      </c>
      <c r="D223" s="67">
        <v>8154</v>
      </c>
      <c r="E223" s="82">
        <v>22895043.228570845</v>
      </c>
      <c r="F223" s="67">
        <v>11067501.647706179</v>
      </c>
      <c r="G223" s="67">
        <v>2195562</v>
      </c>
      <c r="H223" s="67">
        <v>1866626.1133408837</v>
      </c>
      <c r="I223" s="67">
        <v>6538613.4490104187</v>
      </c>
      <c r="J223" s="67">
        <v>1633479.4778134371</v>
      </c>
      <c r="K223" s="67">
        <v>943617.18598741898</v>
      </c>
      <c r="L223" s="67">
        <v>-740748</v>
      </c>
      <c r="M223" s="68">
        <v>91654.79</v>
      </c>
      <c r="N223" s="68">
        <v>70769.204165532617</v>
      </c>
      <c r="O223" s="68">
        <v>-237308.84974632479</v>
      </c>
      <c r="P223" s="168">
        <f t="shared" si="113"/>
        <v>534723.78970670258</v>
      </c>
      <c r="Q223" s="169">
        <f t="shared" si="114"/>
        <v>65.578095377324331</v>
      </c>
      <c r="R223" s="67"/>
      <c r="S223" s="82">
        <v>53468064.460000008</v>
      </c>
      <c r="T223" s="67">
        <v>26049925.922058672</v>
      </c>
      <c r="U223" s="67">
        <v>2805449.9590242137</v>
      </c>
      <c r="V223" s="67">
        <v>18606913.272692434</v>
      </c>
      <c r="W223" s="67">
        <v>5447874.7989777904</v>
      </c>
      <c r="X223" s="67">
        <v>1546468.79</v>
      </c>
      <c r="Y223" s="168">
        <f t="shared" si="115"/>
        <v>988568.28275310248</v>
      </c>
      <c r="Z223" s="169">
        <f t="shared" si="116"/>
        <v>121.23721888068464</v>
      </c>
      <c r="AA223" s="67"/>
      <c r="AB223" s="77">
        <f t="shared" si="117"/>
        <v>-453844.4930463999</v>
      </c>
      <c r="AC223" s="123">
        <f t="shared" si="118"/>
        <v>-55.659123503360306</v>
      </c>
      <c r="AE223" s="170"/>
      <c r="AF223" s="177">
        <v>340896.32063456852</v>
      </c>
      <c r="AG223" s="177">
        <v>197339.22600796749</v>
      </c>
      <c r="AH223" s="177">
        <v>62610.699409914698</v>
      </c>
      <c r="AI223" s="178">
        <v>-38389.552841368975</v>
      </c>
      <c r="AK223" s="67">
        <f t="shared" si="119"/>
        <v>14982424.274352493</v>
      </c>
      <c r="AL223" s="67">
        <f t="shared" si="120"/>
        <v>938823.84568332997</v>
      </c>
      <c r="AM223" s="67">
        <f t="shared" si="121"/>
        <v>12068299.823682016</v>
      </c>
      <c r="AN223" s="67">
        <f t="shared" si="122"/>
        <v>30573021.231429163</v>
      </c>
      <c r="AO223" s="67">
        <f t="shared" si="123"/>
        <v>0</v>
      </c>
      <c r="AP223" s="67">
        <f t="shared" si="124"/>
        <v>340896.32063456852</v>
      </c>
      <c r="AQ223" s="67">
        <f t="shared" si="125"/>
        <v>197339.22600796749</v>
      </c>
      <c r="AR223" s="67">
        <f t="shared" si="126"/>
        <v>62610.699409914698</v>
      </c>
      <c r="AS223" s="67">
        <f t="shared" si="127"/>
        <v>-38389.552841368975</v>
      </c>
      <c r="AT223" s="68">
        <v>2868</v>
      </c>
      <c r="AU223" s="68"/>
      <c r="AV223" s="68"/>
      <c r="AW223" s="68">
        <v>0</v>
      </c>
      <c r="AX223" s="68">
        <v>9326.0915804705328</v>
      </c>
      <c r="AY223" s="68">
        <v>-2917.4418741567106</v>
      </c>
      <c r="AZ223" s="68">
        <v>3827.6835922113428</v>
      </c>
      <c r="BA223" s="299"/>
      <c r="BB223" s="67"/>
      <c r="BC223" s="67"/>
      <c r="BD223" s="67"/>
      <c r="BE223" s="67"/>
      <c r="BF223" s="67"/>
      <c r="BG223" s="67"/>
      <c r="BH223" s="67"/>
      <c r="BN223" s="299"/>
      <c r="BO223" s="67">
        <v>23174005.129741512</v>
      </c>
      <c r="BP223" s="67">
        <v>28382499.600000001</v>
      </c>
      <c r="BQ223" s="67">
        <v>29505000</v>
      </c>
      <c r="BR223" s="67">
        <v>610213.77</v>
      </c>
      <c r="BS223" s="67">
        <v>640000</v>
      </c>
      <c r="BT223" s="428">
        <v>0.57514268252354639</v>
      </c>
      <c r="BU223" s="428">
        <v>0.33464287704132489</v>
      </c>
      <c r="BV223" s="67">
        <f t="shared" si="128"/>
        <v>16826312.330833789</v>
      </c>
      <c r="BW223" s="299"/>
      <c r="BX223" s="67">
        <v>53747833.450000003</v>
      </c>
      <c r="BY223" s="67">
        <v>23174005.129741512</v>
      </c>
      <c r="BZ223" s="67">
        <v>30429109.007687919</v>
      </c>
      <c r="CA223" s="67">
        <v>14941623.901730875</v>
      </c>
      <c r="CB223" s="67">
        <f t="shared" si="129"/>
        <v>546340.20610488043</v>
      </c>
      <c r="CC223" s="67">
        <f t="shared" si="130"/>
        <v>121.23721888068452</v>
      </c>
      <c r="CD223" s="67">
        <f t="shared" si="131"/>
        <v>45.959732593878627</v>
      </c>
      <c r="CE223" s="67">
        <f t="shared" si="132"/>
        <v>-75.277486286805896</v>
      </c>
      <c r="CF223" s="67">
        <f t="shared" si="133"/>
        <v>60.277486286805896</v>
      </c>
      <c r="CG223" s="67">
        <f t="shared" si="134"/>
        <v>45.277486286805896</v>
      </c>
      <c r="CH223" s="67">
        <f t="shared" si="135"/>
        <v>30.277486286805896</v>
      </c>
      <c r="CI223" s="67">
        <f t="shared" si="136"/>
        <v>15.277486286805896</v>
      </c>
      <c r="CJ223" s="67">
        <f t="shared" si="137"/>
        <v>491502.62318261527</v>
      </c>
      <c r="CK223" s="67">
        <f t="shared" si="138"/>
        <v>369192.62318261527</v>
      </c>
      <c r="CL223" s="67">
        <f t="shared" si="139"/>
        <v>246882.62318261527</v>
      </c>
      <c r="CM223" s="67">
        <f t="shared" si="140"/>
        <v>124572.62318261528</v>
      </c>
      <c r="CN223" s="299"/>
      <c r="CO223" s="430">
        <v>26049.925922058672</v>
      </c>
      <c r="CP223" s="430">
        <v>2805.4499590242135</v>
      </c>
      <c r="CQ223" s="430">
        <v>2195.5619999999999</v>
      </c>
      <c r="CR223" s="430">
        <v>18606913.272692434</v>
      </c>
      <c r="CS223" s="430">
        <v>6538613.4490104187</v>
      </c>
      <c r="CT223" s="430">
        <v>5447874.7989777904</v>
      </c>
      <c r="CU223" s="430">
        <v>1633479.4778134371</v>
      </c>
      <c r="CV223" s="430">
        <v>-740748</v>
      </c>
      <c r="CW223" s="430">
        <v>70769.204165532617</v>
      </c>
      <c r="CX223" s="430">
        <v>91654.79</v>
      </c>
      <c r="CY223" s="430">
        <v>22895043.228570845</v>
      </c>
      <c r="CZ223" s="519"/>
      <c r="DA223" s="524">
        <v>26010.269039999999</v>
      </c>
      <c r="DB223" s="524">
        <v>2783.5093628940713</v>
      </c>
      <c r="DC223" s="520">
        <f t="shared" si="141"/>
        <v>-1</v>
      </c>
      <c r="DD223" s="440">
        <v>8222</v>
      </c>
      <c r="DE223" s="450">
        <v>23174005.129741512</v>
      </c>
      <c r="DF223" s="440">
        <v>11124450.667630875</v>
      </c>
      <c r="DG223" s="440">
        <v>2137758.8185000001</v>
      </c>
      <c r="DH223" s="440">
        <v>1679414.4156000002</v>
      </c>
      <c r="DI223" s="440">
        <v>6525638.6997746006</v>
      </c>
      <c r="DJ223" s="440">
        <v>1639170.0568497679</v>
      </c>
      <c r="DK223" s="440">
        <v>547609.04309370148</v>
      </c>
      <c r="DL223" s="440">
        <v>-688258</v>
      </c>
      <c r="DM223" s="440">
        <v>-70900</v>
      </c>
      <c r="DN223" s="440">
        <v>68651.879606664312</v>
      </c>
      <c r="DO223" s="457">
        <f t="shared" si="142"/>
        <v>-210469.54868590087</v>
      </c>
      <c r="DP223" s="459">
        <f t="shared" si="143"/>
        <v>-25.598339660167948</v>
      </c>
      <c r="DQ223" s="440"/>
      <c r="DR223" s="450">
        <v>53747833.450000003</v>
      </c>
      <c r="DS223" s="440">
        <v>25772228.565787919</v>
      </c>
      <c r="DT223" s="440">
        <v>2519121.6234000004</v>
      </c>
      <c r="DU223" s="440">
        <v>18593964.022692434</v>
      </c>
      <c r="DV223" s="440">
        <v>5466853.6490611108</v>
      </c>
      <c r="DW223" s="440">
        <v>1378600.8185000001</v>
      </c>
      <c r="DX223" s="457">
        <f t="shared" si="144"/>
        <v>-17064.770558536053</v>
      </c>
      <c r="DY223" s="459">
        <f t="shared" si="145"/>
        <v>-2.0755011625560753</v>
      </c>
      <c r="DZ223" s="440"/>
      <c r="EA223" s="457">
        <f t="shared" si="146"/>
        <v>-193404.77812736481</v>
      </c>
      <c r="EB223" s="459">
        <f t="shared" si="147"/>
        <v>-23.522838497611872</v>
      </c>
      <c r="ED223" s="457">
        <v>227655.28563894538</v>
      </c>
      <c r="EE223" s="458">
        <v>93671.588855224007</v>
      </c>
      <c r="EF223" s="458">
        <v>14645.793704253392</v>
      </c>
      <c r="EG223" s="458">
        <v>4859.6487119840522</v>
      </c>
      <c r="EH223" s="459">
        <v>-3166.6607551132952</v>
      </c>
    </row>
    <row r="224" spans="1:138" x14ac:dyDescent="0.2">
      <c r="A224" s="67">
        <v>678</v>
      </c>
      <c r="B224" s="67" t="s">
        <v>342</v>
      </c>
      <c r="C224" s="67">
        <v>17</v>
      </c>
      <c r="D224" s="67">
        <v>24073</v>
      </c>
      <c r="E224" s="82">
        <v>72518846.997082219</v>
      </c>
      <c r="F224" s="67">
        <v>37082808.951441869</v>
      </c>
      <c r="G224" s="67">
        <v>7147395</v>
      </c>
      <c r="H224" s="67">
        <v>3505340.0371158742</v>
      </c>
      <c r="I224" s="67">
        <v>18112925.79123874</v>
      </c>
      <c r="J224" s="67">
        <v>3451840.8040390126</v>
      </c>
      <c r="K224" s="67">
        <v>559705.87200659746</v>
      </c>
      <c r="L224" s="67">
        <v>-918198</v>
      </c>
      <c r="M224" s="68">
        <v>-350882</v>
      </c>
      <c r="N224" s="68">
        <v>243819.2956402078</v>
      </c>
      <c r="O224" s="68">
        <v>-700605.33970361506</v>
      </c>
      <c r="P224" s="168">
        <f t="shared" si="113"/>
        <v>-4384696.5853035254</v>
      </c>
      <c r="Q224" s="169">
        <f t="shared" si="114"/>
        <v>-182.1416767874185</v>
      </c>
      <c r="R224" s="67"/>
      <c r="S224" s="82">
        <v>176567653.02999997</v>
      </c>
      <c r="T224" s="67">
        <v>90172851.628155664</v>
      </c>
      <c r="U224" s="67">
        <v>5268358.774801285</v>
      </c>
      <c r="V224" s="67">
        <v>59606560.031473629</v>
      </c>
      <c r="W224" s="67">
        <v>11512355.546443632</v>
      </c>
      <c r="X224" s="67">
        <v>5878315</v>
      </c>
      <c r="Y224" s="168">
        <f t="shared" si="115"/>
        <v>-4129212.0491257608</v>
      </c>
      <c r="Z224" s="169">
        <f t="shared" si="116"/>
        <v>-171.5287687087509</v>
      </c>
      <c r="AA224" s="67"/>
      <c r="AB224" s="77">
        <f t="shared" si="117"/>
        <v>-255484.53617776465</v>
      </c>
      <c r="AC224" s="123">
        <f t="shared" si="118"/>
        <v>-10.61290807866758</v>
      </c>
      <c r="AE224" s="170"/>
      <c r="AF224" s="177">
        <v>27638.861360068491</v>
      </c>
      <c r="AG224" s="177">
        <v>-35088.794875664382</v>
      </c>
      <c r="AH224" s="177">
        <v>-71751.928404598017</v>
      </c>
      <c r="AI224" s="178">
        <v>-113337.22167651157</v>
      </c>
      <c r="AK224" s="67">
        <f t="shared" si="119"/>
        <v>53090042.676713794</v>
      </c>
      <c r="AL224" s="67">
        <f t="shared" si="120"/>
        <v>1763018.7376854108</v>
      </c>
      <c r="AM224" s="67">
        <f t="shared" si="121"/>
        <v>41493634.240234889</v>
      </c>
      <c r="AN224" s="67">
        <f t="shared" si="122"/>
        <v>104048806.03291775</v>
      </c>
      <c r="AO224" s="67">
        <f t="shared" si="123"/>
        <v>0</v>
      </c>
      <c r="AP224" s="67">
        <f t="shared" si="124"/>
        <v>27638.861360068491</v>
      </c>
      <c r="AQ224" s="67">
        <f t="shared" si="125"/>
        <v>-35088.794875664382</v>
      </c>
      <c r="AR224" s="67">
        <f t="shared" si="126"/>
        <v>-71751.928404598017</v>
      </c>
      <c r="AS224" s="67">
        <f t="shared" si="127"/>
        <v>-113337.22167651157</v>
      </c>
      <c r="AT224" s="68">
        <v>8969</v>
      </c>
      <c r="AU224" s="68"/>
      <c r="AV224" s="68"/>
      <c r="AW224" s="68">
        <v>0</v>
      </c>
      <c r="AX224" s="68">
        <v>38276.031584333628</v>
      </c>
      <c r="AY224" s="68">
        <v>-3335.2553677279216</v>
      </c>
      <c r="AZ224" s="68">
        <v>8078.6328736491887</v>
      </c>
      <c r="BA224" s="299"/>
      <c r="BB224" s="67"/>
      <c r="BC224" s="67"/>
      <c r="BD224" s="67"/>
      <c r="BE224" s="67"/>
      <c r="BF224" s="67"/>
      <c r="BG224" s="67"/>
      <c r="BH224" s="67"/>
      <c r="BN224" s="299"/>
      <c r="BO224" s="67">
        <v>73623323.419274479</v>
      </c>
      <c r="BP224" s="67">
        <v>92296167.519999981</v>
      </c>
      <c r="BQ224" s="67">
        <v>102608000</v>
      </c>
      <c r="BR224" s="67">
        <v>3148922.02</v>
      </c>
      <c r="BS224" s="67">
        <v>3204000</v>
      </c>
      <c r="BT224" s="428">
        <v>0.58875860880656572</v>
      </c>
      <c r="BU224" s="428">
        <v>0.33464287704132478</v>
      </c>
      <c r="BV224" s="67">
        <f t="shared" si="128"/>
        <v>50113854.854646102</v>
      </c>
      <c r="BW224" s="299"/>
      <c r="BX224" s="67">
        <v>174428903</v>
      </c>
      <c r="BY224" s="67">
        <v>73623323.419274479</v>
      </c>
      <c r="BZ224" s="67">
        <v>102764065.38347691</v>
      </c>
      <c r="CA224" s="67">
        <v>48035041.966824219</v>
      </c>
      <c r="CB224" s="67">
        <f t="shared" si="129"/>
        <v>2015460.1675859927</v>
      </c>
      <c r="CC224" s="67">
        <f t="shared" si="130"/>
        <v>-171.52876870875099</v>
      </c>
      <c r="CD224" s="67">
        <f t="shared" si="131"/>
        <v>-92.565818552757051</v>
      </c>
      <c r="CE224" s="67">
        <f t="shared" si="132"/>
        <v>78.962950155993937</v>
      </c>
      <c r="CF224" s="67">
        <f t="shared" si="133"/>
        <v>-63.962950155993937</v>
      </c>
      <c r="CG224" s="67">
        <f t="shared" si="134"/>
        <v>-48.962950155993937</v>
      </c>
      <c r="CH224" s="67">
        <f t="shared" si="135"/>
        <v>-33.962950155993937</v>
      </c>
      <c r="CI224" s="67">
        <f t="shared" si="136"/>
        <v>-18.962950155993937</v>
      </c>
      <c r="CJ224" s="67">
        <f t="shared" si="137"/>
        <v>-1539780.0991052419</v>
      </c>
      <c r="CK224" s="67">
        <f t="shared" si="138"/>
        <v>-1178685.0991052419</v>
      </c>
      <c r="CL224" s="67">
        <f t="shared" si="139"/>
        <v>-817590.09910524206</v>
      </c>
      <c r="CM224" s="67">
        <f t="shared" si="140"/>
        <v>-456495.09910524206</v>
      </c>
      <c r="CN224" s="299"/>
      <c r="CO224" s="430">
        <v>90172.851628155666</v>
      </c>
      <c r="CP224" s="430">
        <v>5268.3587748012851</v>
      </c>
      <c r="CQ224" s="430">
        <v>7147.3950000000004</v>
      </c>
      <c r="CR224" s="430">
        <v>59606560.031473629</v>
      </c>
      <c r="CS224" s="430">
        <v>18112925.79123874</v>
      </c>
      <c r="CT224" s="430">
        <v>11512355.546443632</v>
      </c>
      <c r="CU224" s="430">
        <v>3451840.8040390126</v>
      </c>
      <c r="CV224" s="430">
        <v>-918198</v>
      </c>
      <c r="CW224" s="430">
        <v>243819.2956402078</v>
      </c>
      <c r="CX224" s="430">
        <v>-350882</v>
      </c>
      <c r="CY224" s="430">
        <v>72518846.997082219</v>
      </c>
      <c r="CZ224" s="519"/>
      <c r="DA224" s="524">
        <v>92362.510580000002</v>
      </c>
      <c r="DB224" s="524">
        <v>5227.1613265223286</v>
      </c>
      <c r="DC224" s="520">
        <f t="shared" si="141"/>
        <v>-1</v>
      </c>
      <c r="DD224" s="440">
        <v>24260</v>
      </c>
      <c r="DE224" s="450">
        <v>73623323.419274479</v>
      </c>
      <c r="DF224" s="440">
        <v>37733303.374624215</v>
      </c>
      <c r="DG224" s="440">
        <v>7147963.6890000012</v>
      </c>
      <c r="DH224" s="440">
        <v>3153774.9032000001</v>
      </c>
      <c r="DI224" s="440">
        <v>18074508.782639332</v>
      </c>
      <c r="DJ224" s="440">
        <v>3459599.7259840341</v>
      </c>
      <c r="DK224" s="440">
        <v>2016187.6418590839</v>
      </c>
      <c r="DL224" s="440">
        <v>-907211</v>
      </c>
      <c r="DM224" s="440">
        <v>1355000</v>
      </c>
      <c r="DN224" s="440">
        <v>242599.12444694972</v>
      </c>
      <c r="DO224" s="457">
        <f t="shared" si="142"/>
        <v>-1347597.1775208712</v>
      </c>
      <c r="DP224" s="459">
        <f t="shared" si="143"/>
        <v>-55.548111192121645</v>
      </c>
      <c r="DQ224" s="440"/>
      <c r="DR224" s="450">
        <v>174428903</v>
      </c>
      <c r="DS224" s="440">
        <v>90885439.339676917</v>
      </c>
      <c r="DT224" s="440">
        <v>4730662.3547999999</v>
      </c>
      <c r="DU224" s="440">
        <v>59568212.701473638</v>
      </c>
      <c r="DV224" s="440">
        <v>11538232.599633222</v>
      </c>
      <c r="DW224" s="440">
        <v>7595752.6890000012</v>
      </c>
      <c r="DX224" s="457">
        <f t="shared" si="144"/>
        <v>-110603.31541621685</v>
      </c>
      <c r="DY224" s="459">
        <f t="shared" si="145"/>
        <v>-4.5590814268844539</v>
      </c>
      <c r="DZ224" s="440"/>
      <c r="EA224" s="457">
        <f t="shared" si="146"/>
        <v>-1236993.8621046543</v>
      </c>
      <c r="EB224" s="459">
        <f t="shared" si="147"/>
        <v>-50.989029765237191</v>
      </c>
      <c r="ED224" s="457">
        <v>1338054.1044095391</v>
      </c>
      <c r="EE224" s="458">
        <v>942719.09054757364</v>
      </c>
      <c r="EF224" s="458">
        <v>552408.03812815063</v>
      </c>
      <c r="EG224" s="458">
        <v>159632.84018209687</v>
      </c>
      <c r="EH224" s="459">
        <v>-9343.6134661941796</v>
      </c>
    </row>
    <row r="225" spans="1:138" x14ac:dyDescent="0.2">
      <c r="A225" s="67">
        <v>710</v>
      </c>
      <c r="B225" s="67" t="s">
        <v>132</v>
      </c>
      <c r="C225" s="67">
        <v>33</v>
      </c>
      <c r="D225" s="67">
        <v>27306</v>
      </c>
      <c r="E225" s="82">
        <v>21417436.703996241</v>
      </c>
      <c r="F225" s="67">
        <v>47277906.951620534</v>
      </c>
      <c r="G225" s="67">
        <v>11768181</v>
      </c>
      <c r="H225" s="67">
        <v>3709014.8081542784</v>
      </c>
      <c r="I225" s="67">
        <v>17575924.889738191</v>
      </c>
      <c r="J225" s="67">
        <v>4812990.4843048882</v>
      </c>
      <c r="K225" s="67">
        <v>-1955816.9900684659</v>
      </c>
      <c r="L225" s="67">
        <v>-741513</v>
      </c>
      <c r="M225" s="68">
        <v>1330434.7</v>
      </c>
      <c r="N225" s="68">
        <v>280062.69783266459</v>
      </c>
      <c r="O225" s="68">
        <v>-794696.52332268155</v>
      </c>
      <c r="P225" s="168">
        <f t="shared" si="113"/>
        <v>61845052.314263172</v>
      </c>
      <c r="Q225" s="169">
        <f t="shared" si="114"/>
        <v>2264.8887539098796</v>
      </c>
      <c r="R225" s="67"/>
      <c r="S225" s="82">
        <v>136676125.75000003</v>
      </c>
      <c r="T225" s="67">
        <v>108419342.90378596</v>
      </c>
      <c r="U225" s="67">
        <v>5574472.2347920854</v>
      </c>
      <c r="V225" s="67">
        <v>56351876.97692398</v>
      </c>
      <c r="W225" s="67">
        <v>16051973.669276308</v>
      </c>
      <c r="X225" s="67">
        <v>12357102.699999999</v>
      </c>
      <c r="Y225" s="168">
        <f t="shared" si="115"/>
        <v>62078642.734778315</v>
      </c>
      <c r="Z225" s="169">
        <f t="shared" si="116"/>
        <v>2273.4432994498761</v>
      </c>
      <c r="AA225" s="67"/>
      <c r="AB225" s="77">
        <f t="shared" si="117"/>
        <v>-233590.42051514238</v>
      </c>
      <c r="AC225" s="123">
        <f t="shared" si="118"/>
        <v>-8.5545455399964254</v>
      </c>
      <c r="AE225" s="170"/>
      <c r="AF225" s="177">
        <v>31350.755963030373</v>
      </c>
      <c r="AG225" s="177">
        <v>-39801.214342827712</v>
      </c>
      <c r="AH225" s="177">
        <v>-81388.200765004498</v>
      </c>
      <c r="AI225" s="178">
        <v>-128558.39218621796</v>
      </c>
      <c r="AK225" s="67">
        <f t="shared" si="119"/>
        <v>61141435.952165425</v>
      </c>
      <c r="AL225" s="67">
        <f t="shared" si="120"/>
        <v>1865457.4266378069</v>
      </c>
      <c r="AM225" s="67">
        <f t="shared" si="121"/>
        <v>38775952.087185785</v>
      </c>
      <c r="AN225" s="67">
        <f t="shared" si="122"/>
        <v>115258689.04600379</v>
      </c>
      <c r="AO225" s="67">
        <f t="shared" si="123"/>
        <v>0</v>
      </c>
      <c r="AP225" s="67">
        <f t="shared" si="124"/>
        <v>31350.755963030373</v>
      </c>
      <c r="AQ225" s="67">
        <f t="shared" si="125"/>
        <v>-39801.214342827712</v>
      </c>
      <c r="AR225" s="67">
        <f t="shared" si="126"/>
        <v>-81388.200765004498</v>
      </c>
      <c r="AS225" s="67">
        <f t="shared" si="127"/>
        <v>-128558.39218621796</v>
      </c>
      <c r="AT225" s="363">
        <v>7509</v>
      </c>
      <c r="AU225" s="68"/>
      <c r="AV225" s="68"/>
      <c r="AW225" s="68">
        <v>0</v>
      </c>
      <c r="AX225" s="68">
        <v>33733.549169389356</v>
      </c>
      <c r="AY225" s="68">
        <v>-3504.9345039023497</v>
      </c>
      <c r="AZ225" s="68">
        <v>11229.907091119945</v>
      </c>
      <c r="BA225" s="299"/>
      <c r="BB225" s="67"/>
      <c r="BC225" s="67"/>
      <c r="BD225" s="67"/>
      <c r="BE225" s="67"/>
      <c r="BF225" s="67"/>
      <c r="BG225" s="67"/>
      <c r="BH225" s="67"/>
      <c r="BN225" s="299"/>
      <c r="BO225" s="67">
        <v>79819150.024835095</v>
      </c>
      <c r="BP225" s="67">
        <v>102090228.40000001</v>
      </c>
      <c r="BQ225" s="67">
        <v>116944000</v>
      </c>
      <c r="BR225" s="67">
        <v>1926987.31</v>
      </c>
      <c r="BS225" s="67">
        <v>1987000</v>
      </c>
      <c r="BT225" s="428">
        <v>0.56393475845379237</v>
      </c>
      <c r="BU225" s="428">
        <v>0.33464287704132478</v>
      </c>
      <c r="BV225" s="67">
        <f t="shared" si="128"/>
        <v>48059118.282088742</v>
      </c>
      <c r="BW225" s="299"/>
      <c r="BX225" s="67">
        <v>193108800</v>
      </c>
      <c r="BY225" s="67">
        <v>79819150.024835095</v>
      </c>
      <c r="BZ225" s="67">
        <v>124906679.20724346</v>
      </c>
      <c r="CA225" s="67">
        <v>62926276.589503169</v>
      </c>
      <c r="CB225" s="67">
        <f t="shared" si="129"/>
        <v>-1879659.6100100928</v>
      </c>
      <c r="CC225" s="67">
        <f t="shared" si="130"/>
        <v>2273.4432994498757</v>
      </c>
      <c r="CD225" s="67">
        <f t="shared" si="131"/>
        <v>2296.7811549712237</v>
      </c>
      <c r="CE225" s="67">
        <f t="shared" si="132"/>
        <v>23.337855521348047</v>
      </c>
      <c r="CF225" s="67">
        <f t="shared" si="133"/>
        <v>-8.3378555213480468</v>
      </c>
      <c r="CG225" s="67">
        <f t="shared" si="134"/>
        <v>0</v>
      </c>
      <c r="CH225" s="67">
        <f t="shared" si="135"/>
        <v>0</v>
      </c>
      <c r="CI225" s="67">
        <f t="shared" si="136"/>
        <v>0</v>
      </c>
      <c r="CJ225" s="67">
        <f t="shared" si="137"/>
        <v>-227673.48286592978</v>
      </c>
      <c r="CK225" s="67">
        <f t="shared" si="138"/>
        <v>0</v>
      </c>
      <c r="CL225" s="67">
        <f t="shared" si="139"/>
        <v>0</v>
      </c>
      <c r="CM225" s="67">
        <f t="shared" si="140"/>
        <v>0</v>
      </c>
      <c r="CN225" s="299"/>
      <c r="CO225" s="430">
        <v>108419.34290378596</v>
      </c>
      <c r="CP225" s="430">
        <v>5574.4722347920851</v>
      </c>
      <c r="CQ225" s="430">
        <v>11768.181</v>
      </c>
      <c r="CR225" s="430">
        <v>56351876.97692398</v>
      </c>
      <c r="CS225" s="430">
        <v>17575924.889738191</v>
      </c>
      <c r="CT225" s="430">
        <v>16051973.669276308</v>
      </c>
      <c r="CU225" s="430">
        <v>4812990.4843048882</v>
      </c>
      <c r="CV225" s="430">
        <v>-741513</v>
      </c>
      <c r="CW225" s="430">
        <v>280062.69783266459</v>
      </c>
      <c r="CX225" s="430">
        <v>1330434.7</v>
      </c>
      <c r="CY225" s="430">
        <v>21417436.703996241</v>
      </c>
      <c r="CZ225" s="519"/>
      <c r="DA225" s="524">
        <v>109156.61752</v>
      </c>
      <c r="DB225" s="524">
        <v>5530.8791086624169</v>
      </c>
      <c r="DC225" s="520">
        <f t="shared" si="141"/>
        <v>-1</v>
      </c>
      <c r="DD225" s="440">
        <v>27484</v>
      </c>
      <c r="DE225" s="450">
        <v>79819150.024835095</v>
      </c>
      <c r="DF225" s="440">
        <v>47554334.231103174</v>
      </c>
      <c r="DG225" s="440">
        <v>12034920.074200001</v>
      </c>
      <c r="DH225" s="440">
        <v>3337022.2841999996</v>
      </c>
      <c r="DI225" s="440">
        <v>17532674.640667196</v>
      </c>
      <c r="DJ225" s="440">
        <v>4809103.7311509103</v>
      </c>
      <c r="DK225" s="440">
        <v>-1876434.7318152732</v>
      </c>
      <c r="DL225" s="440">
        <v>-695997</v>
      </c>
      <c r="DM225" s="440">
        <v>1648500</v>
      </c>
      <c r="DN225" s="440">
        <v>274742.5491856669</v>
      </c>
      <c r="DO225" s="457">
        <f t="shared" si="142"/>
        <v>4799715.7538565844</v>
      </c>
      <c r="DP225" s="459">
        <f t="shared" si="143"/>
        <v>174.63672514395955</v>
      </c>
      <c r="DQ225" s="440"/>
      <c r="DR225" s="450">
        <v>193108800</v>
      </c>
      <c r="DS225" s="440">
        <v>107866225.70674345</v>
      </c>
      <c r="DT225" s="440">
        <v>5005533.4262999995</v>
      </c>
      <c r="DU225" s="440">
        <v>56308755.336923987</v>
      </c>
      <c r="DV225" s="440">
        <v>16039010.822270855</v>
      </c>
      <c r="DW225" s="440">
        <v>12987423.074200001</v>
      </c>
      <c r="DX225" s="457">
        <f t="shared" si="144"/>
        <v>5098148.3664382994</v>
      </c>
      <c r="DY225" s="459">
        <f t="shared" si="145"/>
        <v>185.49513776882185</v>
      </c>
      <c r="DZ225" s="440"/>
      <c r="EA225" s="457">
        <f t="shared" si="146"/>
        <v>-298432.61258171499</v>
      </c>
      <c r="EB225" s="459">
        <f t="shared" si="147"/>
        <v>-10.858412624862282</v>
      </c>
      <c r="ED225" s="457">
        <v>412923.11956884718</v>
      </c>
      <c r="EE225" s="458">
        <v>78877.979329150752</v>
      </c>
      <c r="EF225" s="458">
        <v>48957.065697847262</v>
      </c>
      <c r="EG225" s="458">
        <v>16244.537241567707</v>
      </c>
      <c r="EH225" s="459">
        <v>-10585.320383548262</v>
      </c>
    </row>
    <row r="226" spans="1:138" x14ac:dyDescent="0.2">
      <c r="A226" s="67">
        <v>680</v>
      </c>
      <c r="B226" s="67" t="s">
        <v>343</v>
      </c>
      <c r="C226" s="67">
        <v>2</v>
      </c>
      <c r="D226" s="67">
        <v>24942</v>
      </c>
      <c r="E226" s="82">
        <v>58909935.229671702</v>
      </c>
      <c r="F226" s="67">
        <v>38169796.479919553</v>
      </c>
      <c r="G226" s="67">
        <v>7857948</v>
      </c>
      <c r="H226" s="67">
        <v>6000649.245020886</v>
      </c>
      <c r="I226" s="67">
        <v>8234468.2518968331</v>
      </c>
      <c r="J226" s="67">
        <v>3367540.9222764401</v>
      </c>
      <c r="K226" s="67">
        <v>1167156.6830482229</v>
      </c>
      <c r="L226" s="67">
        <v>-947375</v>
      </c>
      <c r="M226" s="68">
        <v>11793.89</v>
      </c>
      <c r="N226" s="68">
        <v>285176.06535672361</v>
      </c>
      <c r="O226" s="68">
        <v>-725896.16511808103</v>
      </c>
      <c r="P226" s="168">
        <f t="shared" si="113"/>
        <v>4511323.1427288745</v>
      </c>
      <c r="Q226" s="169">
        <f t="shared" si="114"/>
        <v>180.87255002521349</v>
      </c>
      <c r="R226" s="67"/>
      <c r="S226" s="82">
        <v>149832030.97</v>
      </c>
      <c r="T226" s="67">
        <v>99309025.671072245</v>
      </c>
      <c r="U226" s="67">
        <v>9018689.4195067957</v>
      </c>
      <c r="V226" s="67">
        <v>29194036.523133885</v>
      </c>
      <c r="W226" s="67">
        <v>11231204.048889538</v>
      </c>
      <c r="X226" s="67">
        <v>6922366.8899999997</v>
      </c>
      <c r="Y226" s="168">
        <f t="shared" si="115"/>
        <v>5843291.5826024711</v>
      </c>
      <c r="Z226" s="169">
        <f t="shared" si="116"/>
        <v>234.27518172570248</v>
      </c>
      <c r="AA226" s="67"/>
      <c r="AB226" s="77">
        <f t="shared" si="117"/>
        <v>-1331968.4398735967</v>
      </c>
      <c r="AC226" s="123">
        <f t="shared" si="118"/>
        <v>-53.402631700489003</v>
      </c>
      <c r="AE226" s="170"/>
      <c r="AF226" s="177">
        <v>986475.02359984559</v>
      </c>
      <c r="AG226" s="177">
        <v>547352.99095615139</v>
      </c>
      <c r="AH226" s="177">
        <v>135236.37206865658</v>
      </c>
      <c r="AI226" s="178">
        <v>-117428.52918437883</v>
      </c>
      <c r="AK226" s="67">
        <f t="shared" si="119"/>
        <v>61139229.191152692</v>
      </c>
      <c r="AL226" s="67">
        <f t="shared" si="120"/>
        <v>3018040.1744859098</v>
      </c>
      <c r="AM226" s="67">
        <f t="shared" si="121"/>
        <v>20959568.271237053</v>
      </c>
      <c r="AN226" s="67">
        <f t="shared" si="122"/>
        <v>90922095.740328297</v>
      </c>
      <c r="AO226" s="67">
        <f t="shared" si="123"/>
        <v>0</v>
      </c>
      <c r="AP226" s="67">
        <f t="shared" si="124"/>
        <v>986475.02359984559</v>
      </c>
      <c r="AQ226" s="67">
        <f t="shared" si="125"/>
        <v>547352.99095615139</v>
      </c>
      <c r="AR226" s="67">
        <f t="shared" si="126"/>
        <v>135236.37206865658</v>
      </c>
      <c r="AS226" s="67">
        <f t="shared" si="127"/>
        <v>-117428.52918437883</v>
      </c>
      <c r="AT226" s="68">
        <v>7925</v>
      </c>
      <c r="AU226" s="68"/>
      <c r="AV226" s="68"/>
      <c r="AW226" s="68">
        <v>221</v>
      </c>
      <c r="AX226" s="68">
        <v>22934.337664371022</v>
      </c>
      <c r="AY226" s="68">
        <v>2528.6333776420506</v>
      </c>
      <c r="AZ226" s="68">
        <v>7874.4792508955115</v>
      </c>
      <c r="BA226" s="299"/>
      <c r="BB226" s="67"/>
      <c r="BC226" s="67"/>
      <c r="BD226" s="67"/>
      <c r="BE226" s="67"/>
      <c r="BF226" s="67"/>
      <c r="BG226" s="67"/>
      <c r="BH226" s="67"/>
      <c r="BN226" s="299"/>
      <c r="BO226" s="67">
        <v>62622255.215139613</v>
      </c>
      <c r="BP226" s="67">
        <v>83348675.349999979</v>
      </c>
      <c r="BQ226" s="67">
        <v>88778000</v>
      </c>
      <c r="BR226" s="67">
        <v>1859809.93</v>
      </c>
      <c r="BS226" s="67">
        <v>1885000</v>
      </c>
      <c r="BT226" s="428">
        <v>0.61564624945224844</v>
      </c>
      <c r="BU226" s="428">
        <v>0.33464287704132484</v>
      </c>
      <c r="BV226" s="67">
        <f t="shared" si="128"/>
        <v>29990388.080898371</v>
      </c>
      <c r="BW226" s="299"/>
      <c r="BX226" s="67">
        <v>152878718</v>
      </c>
      <c r="BY226" s="67">
        <v>62622255.215139613</v>
      </c>
      <c r="BZ226" s="67">
        <v>113960468.93478335</v>
      </c>
      <c r="CA226" s="67">
        <v>51490486.690509029</v>
      </c>
      <c r="CB226" s="67">
        <f t="shared" si="129"/>
        <v>118623.497267689</v>
      </c>
      <c r="CC226" s="67">
        <f t="shared" si="130"/>
        <v>234.27518172570223</v>
      </c>
      <c r="CD226" s="67">
        <f t="shared" si="131"/>
        <v>167.93705885921028</v>
      </c>
      <c r="CE226" s="67">
        <f t="shared" si="132"/>
        <v>-66.338122866491943</v>
      </c>
      <c r="CF226" s="67">
        <f t="shared" si="133"/>
        <v>51.338122866491943</v>
      </c>
      <c r="CG226" s="67">
        <f t="shared" si="134"/>
        <v>36.338122866491943</v>
      </c>
      <c r="CH226" s="67">
        <f t="shared" si="135"/>
        <v>21.338122866491943</v>
      </c>
      <c r="CI226" s="67">
        <f t="shared" si="136"/>
        <v>6.3381228664919433</v>
      </c>
      <c r="CJ226" s="67">
        <f t="shared" si="137"/>
        <v>1280475.460536042</v>
      </c>
      <c r="CK226" s="67">
        <f t="shared" si="138"/>
        <v>906345.460536042</v>
      </c>
      <c r="CL226" s="67">
        <f t="shared" si="139"/>
        <v>532215.460536042</v>
      </c>
      <c r="CM226" s="67">
        <f t="shared" si="140"/>
        <v>158085.46053604205</v>
      </c>
      <c r="CN226" s="299"/>
      <c r="CO226" s="430">
        <v>99309.025671072246</v>
      </c>
      <c r="CP226" s="430">
        <v>9018.6894195067962</v>
      </c>
      <c r="CQ226" s="430">
        <v>7857.9480000000003</v>
      </c>
      <c r="CR226" s="430">
        <v>29194036.523133885</v>
      </c>
      <c r="CS226" s="430">
        <v>8234468.2518968331</v>
      </c>
      <c r="CT226" s="430">
        <v>11231204.048889538</v>
      </c>
      <c r="CU226" s="430">
        <v>3367540.9222764401</v>
      </c>
      <c r="CV226" s="430">
        <v>-947375</v>
      </c>
      <c r="CW226" s="430">
        <v>285176.06535672361</v>
      </c>
      <c r="CX226" s="430">
        <v>11793.89</v>
      </c>
      <c r="CY226" s="430">
        <v>58909935.229671702</v>
      </c>
      <c r="CZ226" s="519"/>
      <c r="DA226" s="524">
        <v>101265.58497</v>
      </c>
      <c r="DB226" s="524">
        <v>8948.1696336454115</v>
      </c>
      <c r="DC226" s="520">
        <f t="shared" si="141"/>
        <v>-1</v>
      </c>
      <c r="DD226" s="440">
        <v>24810</v>
      </c>
      <c r="DE226" s="450">
        <v>62622255.215139613</v>
      </c>
      <c r="DF226" s="440">
        <v>38062511.697909035</v>
      </c>
      <c r="DG226" s="440">
        <v>8029155.8219999997</v>
      </c>
      <c r="DH226" s="440">
        <v>5398819.1705999998</v>
      </c>
      <c r="DI226" s="440">
        <v>8196109.6478553424</v>
      </c>
      <c r="DJ226" s="440">
        <v>3372172.8273510933</v>
      </c>
      <c r="DK226" s="440">
        <v>123682.93708904352</v>
      </c>
      <c r="DL226" s="440">
        <v>-980961</v>
      </c>
      <c r="DM226" s="440">
        <v>246230</v>
      </c>
      <c r="DN226" s="440">
        <v>276912.72474023543</v>
      </c>
      <c r="DO226" s="457">
        <f t="shared" si="142"/>
        <v>102378.61240513623</v>
      </c>
      <c r="DP226" s="459">
        <f t="shared" si="143"/>
        <v>4.1265059413597838</v>
      </c>
      <c r="DQ226" s="440"/>
      <c r="DR226" s="450">
        <v>152878718</v>
      </c>
      <c r="DS226" s="440">
        <v>97833084.356883362</v>
      </c>
      <c r="DT226" s="440">
        <v>8098228.7559000002</v>
      </c>
      <c r="DU226" s="440">
        <v>29155786.903133895</v>
      </c>
      <c r="DV226" s="440">
        <v>11246652.078246605</v>
      </c>
      <c r="DW226" s="440">
        <v>7294424.8219999997</v>
      </c>
      <c r="DX226" s="457">
        <f t="shared" si="144"/>
        <v>749458.91616386175</v>
      </c>
      <c r="DY226" s="459">
        <f t="shared" si="145"/>
        <v>30.207936967507528</v>
      </c>
      <c r="DZ226" s="440"/>
      <c r="EA226" s="457">
        <f t="shared" si="146"/>
        <v>-647080.30375872552</v>
      </c>
      <c r="EB226" s="459">
        <f t="shared" si="147"/>
        <v>-26.081431026147744</v>
      </c>
      <c r="ED226" s="457">
        <v>750431.68923208304</v>
      </c>
      <c r="EE226" s="458">
        <v>346134.0101753904</v>
      </c>
      <c r="EF226" s="458">
        <v>44193.887351316793</v>
      </c>
      <c r="EG226" s="458">
        <v>14664.057959659976</v>
      </c>
      <c r="EH226" s="459">
        <v>-9555.4431202092983</v>
      </c>
    </row>
    <row r="227" spans="1:138" x14ac:dyDescent="0.2">
      <c r="A227" s="67">
        <v>681</v>
      </c>
      <c r="B227" s="67" t="s">
        <v>344</v>
      </c>
      <c r="C227" s="67">
        <v>10</v>
      </c>
      <c r="D227" s="67">
        <v>3308</v>
      </c>
      <c r="E227" s="82">
        <v>8939794.5879322048</v>
      </c>
      <c r="F227" s="67">
        <v>4303168.6266752118</v>
      </c>
      <c r="G227" s="67">
        <v>1419212</v>
      </c>
      <c r="H227" s="67">
        <v>1165611.6096717699</v>
      </c>
      <c r="I227" s="67">
        <v>1217432.0304303507</v>
      </c>
      <c r="J227" s="67">
        <v>779128.71748113306</v>
      </c>
      <c r="K227" s="67">
        <v>302614.42046989128</v>
      </c>
      <c r="L227" s="67">
        <v>-98930</v>
      </c>
      <c r="M227" s="68">
        <v>457516.79999999999</v>
      </c>
      <c r="N227" s="68">
        <v>26212.274673354223</v>
      </c>
      <c r="O227" s="68">
        <v>-96273.936100176899</v>
      </c>
      <c r="P227" s="168">
        <f t="shared" si="113"/>
        <v>535897.95536932966</v>
      </c>
      <c r="Q227" s="169">
        <f t="shared" si="114"/>
        <v>162.0005911031831</v>
      </c>
      <c r="R227" s="67"/>
      <c r="S227" s="82">
        <v>24845443.170000002</v>
      </c>
      <c r="T227" s="67">
        <v>9614008.2651520055</v>
      </c>
      <c r="U227" s="67">
        <v>1751858.6176527115</v>
      </c>
      <c r="V227" s="67">
        <v>9951794.0629679505</v>
      </c>
      <c r="W227" s="67">
        <v>2598499.5604641046</v>
      </c>
      <c r="X227" s="67">
        <v>1777798.8</v>
      </c>
      <c r="Y227" s="168">
        <f t="shared" si="115"/>
        <v>848516.13623677194</v>
      </c>
      <c r="Z227" s="169">
        <f t="shared" si="116"/>
        <v>256.50427334848001</v>
      </c>
      <c r="AA227" s="67"/>
      <c r="AB227" s="77">
        <f t="shared" si="117"/>
        <v>-312618.18086744228</v>
      </c>
      <c r="AC227" s="123">
        <f t="shared" si="118"/>
        <v>-94.503682245296943</v>
      </c>
      <c r="AE227" s="170"/>
      <c r="AF227" s="177">
        <v>266796.18499568588</v>
      </c>
      <c r="AG227" s="177">
        <v>208556.44143120269</v>
      </c>
      <c r="AH227" s="177">
        <v>153898.36367962571</v>
      </c>
      <c r="AI227" s="178">
        <v>98563.905567072652</v>
      </c>
      <c r="AK227" s="67">
        <f t="shared" si="119"/>
        <v>5310839.6384767937</v>
      </c>
      <c r="AL227" s="67">
        <f t="shared" si="120"/>
        <v>586247.00798094156</v>
      </c>
      <c r="AM227" s="67">
        <f t="shared" si="121"/>
        <v>8734362.0325376</v>
      </c>
      <c r="AN227" s="67">
        <f t="shared" si="122"/>
        <v>15905648.582067797</v>
      </c>
      <c r="AO227" s="67">
        <f t="shared" si="123"/>
        <v>0</v>
      </c>
      <c r="AP227" s="67">
        <f t="shared" si="124"/>
        <v>266796.18499568588</v>
      </c>
      <c r="AQ227" s="67">
        <f t="shared" si="125"/>
        <v>208556.44143120269</v>
      </c>
      <c r="AR227" s="67">
        <f t="shared" si="126"/>
        <v>153898.36367962571</v>
      </c>
      <c r="AS227" s="67">
        <f t="shared" si="127"/>
        <v>98563.905567072652</v>
      </c>
      <c r="AT227" s="68">
        <v>1103</v>
      </c>
      <c r="AU227" s="68"/>
      <c r="AV227" s="68"/>
      <c r="AW227" s="68">
        <v>0</v>
      </c>
      <c r="AX227" s="68">
        <v>7036.8988885235731</v>
      </c>
      <c r="AY227" s="68">
        <v>-1586.5879101265173</v>
      </c>
      <c r="AZ227" s="68">
        <v>1823.9394410390346</v>
      </c>
      <c r="BA227" s="299"/>
      <c r="BB227" s="67"/>
      <c r="BC227" s="67"/>
      <c r="BD227" s="67"/>
      <c r="BE227" s="67"/>
      <c r="BF227" s="67"/>
      <c r="BG227" s="67"/>
      <c r="BH227" s="67"/>
      <c r="BN227" s="299"/>
      <c r="BO227" s="67">
        <v>9171418.0129900817</v>
      </c>
      <c r="BP227" s="67">
        <v>14963966.439999999</v>
      </c>
      <c r="BQ227" s="67">
        <v>15155000</v>
      </c>
      <c r="BR227" s="67">
        <v>304503.06</v>
      </c>
      <c r="BS227" s="67">
        <v>343000</v>
      </c>
      <c r="BT227" s="428">
        <v>0.55240639408716219</v>
      </c>
      <c r="BU227" s="428">
        <v>0.33464287704132478</v>
      </c>
      <c r="BV227" s="67">
        <f t="shared" si="128"/>
        <v>10856347.295990463</v>
      </c>
      <c r="BW227" s="299"/>
      <c r="BX227" s="67">
        <v>25026370</v>
      </c>
      <c r="BY227" s="67">
        <v>9171418.0129900817</v>
      </c>
      <c r="BZ227" s="67">
        <v>13061923.640627779</v>
      </c>
      <c r="CA227" s="67">
        <v>7007432.8374588378</v>
      </c>
      <c r="CB227" s="67">
        <f t="shared" si="129"/>
        <v>371590.56193555839</v>
      </c>
      <c r="CC227" s="67">
        <f t="shared" si="130"/>
        <v>256.50427334847984</v>
      </c>
      <c r="CD227" s="67">
        <f t="shared" si="131"/>
        <v>211.95526993203543</v>
      </c>
      <c r="CE227" s="67">
        <f t="shared" si="132"/>
        <v>-44.549003416444407</v>
      </c>
      <c r="CF227" s="67">
        <f t="shared" si="133"/>
        <v>29.549003416444407</v>
      </c>
      <c r="CG227" s="67">
        <f t="shared" si="134"/>
        <v>14.549003416444407</v>
      </c>
      <c r="CH227" s="67">
        <f t="shared" si="135"/>
        <v>0</v>
      </c>
      <c r="CI227" s="67">
        <f t="shared" si="136"/>
        <v>0</v>
      </c>
      <c r="CJ227" s="67">
        <f t="shared" si="137"/>
        <v>97748.103301598094</v>
      </c>
      <c r="CK227" s="67">
        <f t="shared" si="138"/>
        <v>48128.103301598101</v>
      </c>
      <c r="CL227" s="67">
        <f t="shared" si="139"/>
        <v>0</v>
      </c>
      <c r="CM227" s="67">
        <f t="shared" si="140"/>
        <v>0</v>
      </c>
      <c r="CN227" s="299"/>
      <c r="CO227" s="430">
        <v>9614.0082651520061</v>
      </c>
      <c r="CP227" s="430">
        <v>1751.8586176527115</v>
      </c>
      <c r="CQ227" s="430">
        <v>1419.212</v>
      </c>
      <c r="CR227" s="430">
        <v>9951794.0629679505</v>
      </c>
      <c r="CS227" s="430">
        <v>1217432.0304303507</v>
      </c>
      <c r="CT227" s="430">
        <v>2598499.5604641046</v>
      </c>
      <c r="CU227" s="430">
        <v>779128.71748113306</v>
      </c>
      <c r="CV227" s="430">
        <v>-98930</v>
      </c>
      <c r="CW227" s="430">
        <v>26212.274673354223</v>
      </c>
      <c r="CX227" s="430">
        <v>457516.79999999999</v>
      </c>
      <c r="CY227" s="430">
        <v>8939794.5879322048</v>
      </c>
      <c r="CZ227" s="519"/>
      <c r="DA227" s="524">
        <v>10055.289929999999</v>
      </c>
      <c r="DB227" s="524">
        <v>1738.1592109248809</v>
      </c>
      <c r="DC227" s="520">
        <f t="shared" si="141"/>
        <v>-1</v>
      </c>
      <c r="DD227" s="440">
        <v>3330</v>
      </c>
      <c r="DE227" s="450">
        <v>9171418.0129900817</v>
      </c>
      <c r="DF227" s="440">
        <v>4535525.2448588368</v>
      </c>
      <c r="DG227" s="440">
        <v>1423200.0200000003</v>
      </c>
      <c r="DH227" s="440">
        <v>1048707.5726000001</v>
      </c>
      <c r="DI227" s="440">
        <v>1212162.5640139056</v>
      </c>
      <c r="DJ227" s="440">
        <v>781085.17729681032</v>
      </c>
      <c r="DK227" s="440">
        <v>371221.84530391701</v>
      </c>
      <c r="DL227" s="440">
        <v>-70396</v>
      </c>
      <c r="DM227" s="440">
        <v>194692</v>
      </c>
      <c r="DN227" s="440">
        <v>26837.93855846459</v>
      </c>
      <c r="DO227" s="457">
        <f t="shared" si="142"/>
        <v>351618.34964185394</v>
      </c>
      <c r="DP227" s="459">
        <f t="shared" si="143"/>
        <v>105.59109598854472</v>
      </c>
      <c r="DQ227" s="440"/>
      <c r="DR227" s="450">
        <v>25026370</v>
      </c>
      <c r="DS227" s="440">
        <v>10065662.26172778</v>
      </c>
      <c r="DT227" s="440">
        <v>1573061.3589000001</v>
      </c>
      <c r="DU227" s="440">
        <v>9946544.9929679465</v>
      </c>
      <c r="DV227" s="440">
        <v>2605024.6183358449</v>
      </c>
      <c r="DW227" s="440">
        <v>1547496.0200000003</v>
      </c>
      <c r="DX227" s="457">
        <f t="shared" si="144"/>
        <v>711419.25193157047</v>
      </c>
      <c r="DY227" s="459">
        <f t="shared" si="145"/>
        <v>213.6394149944656</v>
      </c>
      <c r="DZ227" s="440"/>
      <c r="EA227" s="457">
        <f t="shared" si="146"/>
        <v>-359800.90228971653</v>
      </c>
      <c r="EB227" s="459">
        <f t="shared" si="147"/>
        <v>-108.04831900592087</v>
      </c>
      <c r="ED227" s="457">
        <v>373672.73274623661</v>
      </c>
      <c r="EE227" s="458">
        <v>319407.86893088848</v>
      </c>
      <c r="EF227" s="458">
        <v>265832.60905633454</v>
      </c>
      <c r="EG227" s="458">
        <v>211919.11321295617</v>
      </c>
      <c r="EH227" s="459">
        <v>158718.37002085763</v>
      </c>
    </row>
    <row r="228" spans="1:138" x14ac:dyDescent="0.2">
      <c r="A228" s="67">
        <v>683</v>
      </c>
      <c r="B228" s="67" t="s">
        <v>345</v>
      </c>
      <c r="C228" s="67">
        <v>19</v>
      </c>
      <c r="D228" s="67">
        <v>3618</v>
      </c>
      <c r="E228" s="82">
        <v>13034252.948702049</v>
      </c>
      <c r="F228" s="67">
        <v>3216567.8330522906</v>
      </c>
      <c r="G228" s="67">
        <v>1078121</v>
      </c>
      <c r="H228" s="67">
        <v>660178.20833866997</v>
      </c>
      <c r="I228" s="67">
        <v>7378778.1668159049</v>
      </c>
      <c r="J228" s="67">
        <v>755271.164952836</v>
      </c>
      <c r="K228" s="67">
        <v>-104141.67003917198</v>
      </c>
      <c r="L228" s="67">
        <v>145318</v>
      </c>
      <c r="M228" s="68">
        <v>-60112.08</v>
      </c>
      <c r="N228" s="68">
        <v>24677.769923382963</v>
      </c>
      <c r="O228" s="68">
        <v>-105295.97968876663</v>
      </c>
      <c r="P228" s="168">
        <f t="shared" si="113"/>
        <v>-44890.535346902194</v>
      </c>
      <c r="Q228" s="169">
        <f t="shared" si="114"/>
        <v>-12.407555375042065</v>
      </c>
      <c r="R228" s="67"/>
      <c r="S228" s="82">
        <v>31856501.919999998</v>
      </c>
      <c r="T228" s="67">
        <v>8436392.3051627111</v>
      </c>
      <c r="U228" s="67">
        <v>992216.33850258344</v>
      </c>
      <c r="V228" s="67">
        <v>18912973.079585597</v>
      </c>
      <c r="W228" s="67">
        <v>2518931.3987886487</v>
      </c>
      <c r="X228" s="67">
        <v>1163326.92</v>
      </c>
      <c r="Y228" s="168">
        <f t="shared" si="115"/>
        <v>167338.12203953788</v>
      </c>
      <c r="Z228" s="169">
        <f t="shared" si="116"/>
        <v>46.251553908108868</v>
      </c>
      <c r="AA228" s="67"/>
      <c r="AB228" s="77">
        <f t="shared" si="117"/>
        <v>-212228.65738644009</v>
      </c>
      <c r="AC228" s="123">
        <f t="shared" si="118"/>
        <v>-58.659109283150933</v>
      </c>
      <c r="AE228" s="170"/>
      <c r="AF228" s="177">
        <v>162112.58088583272</v>
      </c>
      <c r="AG228" s="177">
        <v>98415.062078003146</v>
      </c>
      <c r="AH228" s="177">
        <v>38634.854911979732</v>
      </c>
      <c r="AI228" s="178">
        <v>-17033.775101799478</v>
      </c>
      <c r="AK228" s="67">
        <f t="shared" si="119"/>
        <v>5219824.4721104205</v>
      </c>
      <c r="AL228" s="67">
        <f t="shared" si="120"/>
        <v>332038.13016391348</v>
      </c>
      <c r="AM228" s="67">
        <f t="shared" si="121"/>
        <v>11534194.912769692</v>
      </c>
      <c r="AN228" s="67">
        <f t="shared" si="122"/>
        <v>18822248.97129795</v>
      </c>
      <c r="AO228" s="67">
        <f t="shared" si="123"/>
        <v>0</v>
      </c>
      <c r="AP228" s="67">
        <f t="shared" si="124"/>
        <v>162112.58088583272</v>
      </c>
      <c r="AQ228" s="67">
        <f t="shared" si="125"/>
        <v>98415.062078003146</v>
      </c>
      <c r="AR228" s="67">
        <f t="shared" si="126"/>
        <v>38634.854911979732</v>
      </c>
      <c r="AS228" s="67">
        <f t="shared" si="127"/>
        <v>-17033.775101799478</v>
      </c>
      <c r="AT228" s="68">
        <v>981</v>
      </c>
      <c r="AU228" s="68"/>
      <c r="AV228" s="68"/>
      <c r="AW228" s="68">
        <v>10</v>
      </c>
      <c r="AX228" s="68">
        <v>8775.4201829071189</v>
      </c>
      <c r="AY228" s="68">
        <v>-2477.1182924500185</v>
      </c>
      <c r="AZ228" s="68">
        <v>1764.990872502955</v>
      </c>
      <c r="BA228" s="299"/>
      <c r="BB228" s="67"/>
      <c r="BC228" s="67"/>
      <c r="BD228" s="67"/>
      <c r="BE228" s="67"/>
      <c r="BF228" s="67"/>
      <c r="BG228" s="67"/>
      <c r="BH228" s="67"/>
      <c r="BN228" s="299"/>
      <c r="BO228" s="67">
        <v>13282163.71009554</v>
      </c>
      <c r="BP228" s="67">
        <v>17606006.050000001</v>
      </c>
      <c r="BQ228" s="67">
        <v>17929000</v>
      </c>
      <c r="BR228" s="67">
        <v>416791</v>
      </c>
      <c r="BS228" s="67">
        <v>456000</v>
      </c>
      <c r="BT228" s="428">
        <v>0.61872709130846271</v>
      </c>
      <c r="BU228" s="428">
        <v>0.33464287704132473</v>
      </c>
      <c r="BV228" s="67">
        <f t="shared" si="128"/>
        <v>13193713.476566335</v>
      </c>
      <c r="BW228" s="299"/>
      <c r="BX228" s="67">
        <v>32743454</v>
      </c>
      <c r="BY228" s="67">
        <v>13282163.71009554</v>
      </c>
      <c r="BZ228" s="67">
        <v>10944227.343464609</v>
      </c>
      <c r="CA228" s="67">
        <v>5120488.4642134532</v>
      </c>
      <c r="CB228" s="67">
        <f t="shared" si="129"/>
        <v>-387761.70262009872</v>
      </c>
      <c r="CC228" s="67">
        <f t="shared" si="130"/>
        <v>46.251553908109123</v>
      </c>
      <c r="CD228" s="67">
        <f t="shared" si="131"/>
        <v>-61.695574416545703</v>
      </c>
      <c r="CE228" s="67">
        <f t="shared" si="132"/>
        <v>-107.94712832465483</v>
      </c>
      <c r="CF228" s="67">
        <f t="shared" si="133"/>
        <v>92.947128324654827</v>
      </c>
      <c r="CG228" s="67">
        <f t="shared" si="134"/>
        <v>77.947128324654827</v>
      </c>
      <c r="CH228" s="67">
        <f t="shared" si="135"/>
        <v>62.947128324654827</v>
      </c>
      <c r="CI228" s="67">
        <f t="shared" si="136"/>
        <v>47.947128324654827</v>
      </c>
      <c r="CJ228" s="67">
        <f t="shared" si="137"/>
        <v>336282.71027860115</v>
      </c>
      <c r="CK228" s="67">
        <f t="shared" si="138"/>
        <v>282012.71027860115</v>
      </c>
      <c r="CL228" s="67">
        <f t="shared" si="139"/>
        <v>227742.71027860115</v>
      </c>
      <c r="CM228" s="67">
        <f t="shared" si="140"/>
        <v>173472.71027860115</v>
      </c>
      <c r="CN228" s="299"/>
      <c r="CO228" s="430">
        <v>8436.3923051627116</v>
      </c>
      <c r="CP228" s="430">
        <v>992.21633850258343</v>
      </c>
      <c r="CQ228" s="430">
        <v>1078.1210000000001</v>
      </c>
      <c r="CR228" s="430">
        <v>18912973.079585597</v>
      </c>
      <c r="CS228" s="430">
        <v>7378778.1668159049</v>
      </c>
      <c r="CT228" s="430">
        <v>2518931.3987886487</v>
      </c>
      <c r="CU228" s="430">
        <v>755271.164952836</v>
      </c>
      <c r="CV228" s="430">
        <v>145318</v>
      </c>
      <c r="CW228" s="430">
        <v>24677.769923382963</v>
      </c>
      <c r="CX228" s="430">
        <v>-60112.08</v>
      </c>
      <c r="CY228" s="430">
        <v>13034252.948702049</v>
      </c>
      <c r="CZ228" s="519"/>
      <c r="DA228" s="524">
        <v>8604.6323300000004</v>
      </c>
      <c r="DB228" s="524">
        <v>984.4568307838922</v>
      </c>
      <c r="DC228" s="520">
        <f t="shared" si="141"/>
        <v>-1</v>
      </c>
      <c r="DD228" s="440">
        <v>3670</v>
      </c>
      <c r="DE228" s="450">
        <v>13282163.71009554</v>
      </c>
      <c r="DF228" s="440">
        <v>3441301.4941134532</v>
      </c>
      <c r="DG228" s="440">
        <v>1085220.7805000001</v>
      </c>
      <c r="DH228" s="440">
        <v>593966.18959999993</v>
      </c>
      <c r="DI228" s="440">
        <v>7372917.7713972786</v>
      </c>
      <c r="DJ228" s="440">
        <v>755840.99864131329</v>
      </c>
      <c r="DK228" s="440">
        <v>-388451.5013686202</v>
      </c>
      <c r="DL228" s="440">
        <v>155471</v>
      </c>
      <c r="DM228" s="440">
        <v>170000</v>
      </c>
      <c r="DN228" s="440">
        <v>25815.076990467551</v>
      </c>
      <c r="DO228" s="457">
        <f t="shared" si="142"/>
        <v>-70081.900221647695</v>
      </c>
      <c r="DP228" s="459">
        <f t="shared" si="143"/>
        <v>-19.095885618977572</v>
      </c>
      <c r="DQ228" s="440"/>
      <c r="DR228" s="450">
        <v>32743454</v>
      </c>
      <c r="DS228" s="440">
        <v>8968057.2785646096</v>
      </c>
      <c r="DT228" s="440">
        <v>890949.2844</v>
      </c>
      <c r="DU228" s="440">
        <v>18907122.239585593</v>
      </c>
      <c r="DV228" s="440">
        <v>2520831.8711442682</v>
      </c>
      <c r="DW228" s="440">
        <v>1410691.7805000001</v>
      </c>
      <c r="DX228" s="457">
        <f t="shared" si="144"/>
        <v>-45801.54580552876</v>
      </c>
      <c r="DY228" s="459">
        <f t="shared" si="145"/>
        <v>-12.479985233114103</v>
      </c>
      <c r="DZ228" s="440"/>
      <c r="EA228" s="457">
        <f t="shared" si="146"/>
        <v>-24280.354416118935</v>
      </c>
      <c r="EB228" s="459">
        <f t="shared" si="147"/>
        <v>-6.61590038586347</v>
      </c>
      <c r="ED228" s="457">
        <v>39568.527922255889</v>
      </c>
      <c r="EE228" s="458">
        <v>10532.753024959367</v>
      </c>
      <c r="EF228" s="458">
        <v>6537.3464965470621</v>
      </c>
      <c r="EG228" s="458">
        <v>2169.1693958868245</v>
      </c>
      <c r="EH228" s="459">
        <v>-1413.48150951907</v>
      </c>
    </row>
    <row r="229" spans="1:138" x14ac:dyDescent="0.2">
      <c r="A229" s="67">
        <v>684</v>
      </c>
      <c r="B229" s="67" t="s">
        <v>346</v>
      </c>
      <c r="C229" s="67">
        <v>4</v>
      </c>
      <c r="D229" s="67">
        <v>38667</v>
      </c>
      <c r="E229" s="82">
        <v>108236788.20316061</v>
      </c>
      <c r="F229" s="67">
        <v>65133888.711437047</v>
      </c>
      <c r="G229" s="67">
        <v>9086456</v>
      </c>
      <c r="H229" s="67">
        <v>12132846.168754954</v>
      </c>
      <c r="I229" s="67">
        <v>7212701.1770127909</v>
      </c>
      <c r="J229" s="67">
        <v>6963780.2754166778</v>
      </c>
      <c r="K229" s="67">
        <v>1966136.1182143104</v>
      </c>
      <c r="L229" s="67">
        <v>-1301496</v>
      </c>
      <c r="M229" s="68">
        <v>1922598.63</v>
      </c>
      <c r="N229" s="68">
        <v>479520.20753763197</v>
      </c>
      <c r="O229" s="68">
        <v>-1125339.8691612878</v>
      </c>
      <c r="P229" s="168">
        <f t="shared" si="113"/>
        <v>-5765696.7839484904</v>
      </c>
      <c r="Q229" s="169">
        <f t="shared" si="114"/>
        <v>-149.11156241623323</v>
      </c>
      <c r="R229" s="67"/>
      <c r="S229" s="82">
        <v>265801685.24999997</v>
      </c>
      <c r="T229" s="67">
        <v>166911341.75209129</v>
      </c>
      <c r="U229" s="67">
        <v>18235088.721682649</v>
      </c>
      <c r="V229" s="67">
        <v>44856086.720121391</v>
      </c>
      <c r="W229" s="67">
        <v>23225148.269903205</v>
      </c>
      <c r="X229" s="67">
        <v>9707558.629999999</v>
      </c>
      <c r="Y229" s="168">
        <f t="shared" si="115"/>
        <v>-2866461.156201452</v>
      </c>
      <c r="Z229" s="169">
        <f t="shared" si="116"/>
        <v>-74.131977039890657</v>
      </c>
      <c r="AA229" s="67"/>
      <c r="AB229" s="77">
        <f t="shared" si="117"/>
        <v>-2899235.6277470384</v>
      </c>
      <c r="AC229" s="123">
        <f t="shared" si="118"/>
        <v>-74.97958537634257</v>
      </c>
      <c r="AE229" s="170"/>
      <c r="AF229" s="177">
        <v>2363625.2545991242</v>
      </c>
      <c r="AG229" s="177">
        <v>1682864.6244879176</v>
      </c>
      <c r="AH229" s="177">
        <v>1043969.8565253338</v>
      </c>
      <c r="AI229" s="178">
        <v>397168.92187053047</v>
      </c>
      <c r="AK229" s="67">
        <f t="shared" si="119"/>
        <v>101777453.04065424</v>
      </c>
      <c r="AL229" s="67">
        <f t="shared" si="120"/>
        <v>6102242.5529276952</v>
      </c>
      <c r="AM229" s="67">
        <f t="shared" si="121"/>
        <v>37643385.543108597</v>
      </c>
      <c r="AN229" s="67">
        <f t="shared" si="122"/>
        <v>157564897.04683936</v>
      </c>
      <c r="AO229" s="67">
        <f t="shared" si="123"/>
        <v>0</v>
      </c>
      <c r="AP229" s="67">
        <f t="shared" si="124"/>
        <v>2363625.2545991242</v>
      </c>
      <c r="AQ229" s="67">
        <f t="shared" si="125"/>
        <v>1682864.6244879176</v>
      </c>
      <c r="AR229" s="67">
        <f t="shared" si="126"/>
        <v>1043969.8565253338</v>
      </c>
      <c r="AS229" s="67">
        <f t="shared" si="127"/>
        <v>397168.92187053047</v>
      </c>
      <c r="AT229" s="68">
        <v>18050</v>
      </c>
      <c r="AU229" s="68"/>
      <c r="AV229" s="68"/>
      <c r="AW229" s="68">
        <v>488</v>
      </c>
      <c r="AX229" s="68">
        <v>41985.502121358237</v>
      </c>
      <c r="AY229" s="68">
        <v>5930.5947938537611</v>
      </c>
      <c r="AZ229" s="68">
        <v>16276.11047020924</v>
      </c>
      <c r="BA229" s="299"/>
      <c r="BB229" s="67"/>
      <c r="BC229" s="67"/>
      <c r="BD229" s="67"/>
      <c r="BE229" s="67"/>
      <c r="BF229" s="67"/>
      <c r="BG229" s="67"/>
      <c r="BH229" s="67"/>
      <c r="BN229" s="299"/>
      <c r="BO229" s="67">
        <v>101267201.03033179</v>
      </c>
      <c r="BP229" s="67">
        <v>143790641</v>
      </c>
      <c r="BQ229" s="67">
        <v>153501000</v>
      </c>
      <c r="BR229" s="67">
        <v>3629000</v>
      </c>
      <c r="BS229" s="67">
        <v>3856000</v>
      </c>
      <c r="BT229" s="428">
        <v>0.60976954574975151</v>
      </c>
      <c r="BU229" s="428">
        <v>0.33464287704132478</v>
      </c>
      <c r="BV229" s="67">
        <f t="shared" si="128"/>
        <v>55870889.655809432</v>
      </c>
      <c r="BW229" s="299"/>
      <c r="BX229" s="67">
        <v>252473463.81999999</v>
      </c>
      <c r="BY229" s="67">
        <v>101267201.03033179</v>
      </c>
      <c r="BZ229" s="67">
        <v>192367578.6311959</v>
      </c>
      <c r="CA229" s="67">
        <v>85962521.434867874</v>
      </c>
      <c r="CB229" s="67">
        <f t="shared" si="129"/>
        <v>4220109.7762607969</v>
      </c>
      <c r="CC229" s="67">
        <f t="shared" si="130"/>
        <v>-74.131977039890174</v>
      </c>
      <c r="CD229" s="67">
        <f t="shared" si="131"/>
        <v>-61.716276327119168</v>
      </c>
      <c r="CE229" s="67">
        <f t="shared" si="132"/>
        <v>12.415700712771006</v>
      </c>
      <c r="CF229" s="67">
        <f t="shared" si="133"/>
        <v>0</v>
      </c>
      <c r="CG229" s="67">
        <f t="shared" si="134"/>
        <v>0</v>
      </c>
      <c r="CH229" s="67">
        <f t="shared" si="135"/>
        <v>0</v>
      </c>
      <c r="CI229" s="67">
        <f t="shared" si="136"/>
        <v>0</v>
      </c>
      <c r="CJ229" s="67">
        <f t="shared" si="137"/>
        <v>0</v>
      </c>
      <c r="CK229" s="67">
        <f t="shared" si="138"/>
        <v>0</v>
      </c>
      <c r="CL229" s="67">
        <f t="shared" si="139"/>
        <v>0</v>
      </c>
      <c r="CM229" s="67">
        <f t="shared" si="140"/>
        <v>0</v>
      </c>
      <c r="CN229" s="299"/>
      <c r="CO229" s="430">
        <v>166911.34175209128</v>
      </c>
      <c r="CP229" s="430">
        <v>18235.088721682649</v>
      </c>
      <c r="CQ229" s="430">
        <v>9086.4560000000001</v>
      </c>
      <c r="CR229" s="430">
        <v>44856086.720121391</v>
      </c>
      <c r="CS229" s="430">
        <v>7212701.1770127909</v>
      </c>
      <c r="CT229" s="430">
        <v>23225148.269903205</v>
      </c>
      <c r="CU229" s="430">
        <v>6963780.2754166778</v>
      </c>
      <c r="CV229" s="430">
        <v>-1301496</v>
      </c>
      <c r="CW229" s="430">
        <v>479520.20753763197</v>
      </c>
      <c r="CX229" s="430">
        <v>1922598.63</v>
      </c>
      <c r="CY229" s="430">
        <v>108236788.20316061</v>
      </c>
      <c r="CZ229" s="519"/>
      <c r="DA229" s="524">
        <v>163185.50308000002</v>
      </c>
      <c r="DB229" s="524">
        <v>18092.48641364108</v>
      </c>
      <c r="DC229" s="520">
        <f t="shared" si="141"/>
        <v>-1</v>
      </c>
      <c r="DD229" s="440">
        <v>38959</v>
      </c>
      <c r="DE229" s="450">
        <v>101267201.03033179</v>
      </c>
      <c r="DF229" s="440">
        <v>65834647.486867875</v>
      </c>
      <c r="DG229" s="440">
        <v>9211881.3920000028</v>
      </c>
      <c r="DH229" s="440">
        <v>10915992.556</v>
      </c>
      <c r="DI229" s="440">
        <v>7151383.666784972</v>
      </c>
      <c r="DJ229" s="440">
        <v>6970093.6041405443</v>
      </c>
      <c r="DK229" s="440">
        <v>4224861.5882231388</v>
      </c>
      <c r="DL229" s="440">
        <v>-1150120</v>
      </c>
      <c r="DM229" s="440">
        <v>1163055</v>
      </c>
      <c r="DN229" s="440">
        <v>471665.16230403428</v>
      </c>
      <c r="DO229" s="457">
        <f t="shared" si="142"/>
        <v>3526259.4259887785</v>
      </c>
      <c r="DP229" s="459">
        <f t="shared" si="143"/>
        <v>90.512062064960048</v>
      </c>
      <c r="DQ229" s="440"/>
      <c r="DR229" s="450">
        <v>252473463.81999999</v>
      </c>
      <c r="DS229" s="440">
        <v>166781708.40519592</v>
      </c>
      <c r="DT229" s="440">
        <v>16373988.834000001</v>
      </c>
      <c r="DU229" s="440">
        <v>44794956.400121339</v>
      </c>
      <c r="DV229" s="440">
        <v>23246204.074349783</v>
      </c>
      <c r="DW229" s="440">
        <v>9224816.3920000028</v>
      </c>
      <c r="DX229" s="457">
        <f t="shared" si="144"/>
        <v>7948210.2856670618</v>
      </c>
      <c r="DY229" s="459">
        <f t="shared" si="145"/>
        <v>204.01474077022155</v>
      </c>
      <c r="DZ229" s="440"/>
      <c r="EA229" s="457">
        <f t="shared" si="146"/>
        <v>-4421950.8596782833</v>
      </c>
      <c r="EB229" s="459">
        <f t="shared" si="147"/>
        <v>-113.50267870526152</v>
      </c>
      <c r="ED229" s="457">
        <v>4584242.9445898775</v>
      </c>
      <c r="EE229" s="458">
        <v>3949376.6294601038</v>
      </c>
      <c r="EF229" s="458">
        <v>3322578.2662610803</v>
      </c>
      <c r="EG229" s="458">
        <v>2691822.7453715373</v>
      </c>
      <c r="EH229" s="459">
        <v>2069406.0024222983</v>
      </c>
    </row>
    <row r="230" spans="1:138" x14ac:dyDescent="0.2">
      <c r="A230" s="67">
        <v>686</v>
      </c>
      <c r="B230" s="67" t="s">
        <v>347</v>
      </c>
      <c r="C230" s="67">
        <v>11</v>
      </c>
      <c r="D230" s="67">
        <v>2964</v>
      </c>
      <c r="E230" s="82">
        <v>9131055.3611862995</v>
      </c>
      <c r="F230" s="67">
        <v>4158089.682560503</v>
      </c>
      <c r="G230" s="67">
        <v>1273812</v>
      </c>
      <c r="H230" s="67">
        <v>731325.85142543144</v>
      </c>
      <c r="I230" s="67">
        <v>1936786.6886011979</v>
      </c>
      <c r="J230" s="67">
        <v>655783.63740630914</v>
      </c>
      <c r="K230" s="67">
        <v>-550250.80010664917</v>
      </c>
      <c r="L230" s="67">
        <v>377106</v>
      </c>
      <c r="M230" s="68">
        <v>580579.61</v>
      </c>
      <c r="N230" s="68">
        <v>23687.099752391241</v>
      </c>
      <c r="O230" s="68">
        <v>-86262.378053483772</v>
      </c>
      <c r="P230" s="168">
        <f t="shared" si="113"/>
        <v>-30397.969600600409</v>
      </c>
      <c r="Q230" s="169">
        <f t="shared" si="114"/>
        <v>-10.255725236369909</v>
      </c>
      <c r="R230" s="67"/>
      <c r="S230" s="82">
        <v>26000555.659999996</v>
      </c>
      <c r="T230" s="67">
        <v>9119255.0143206026</v>
      </c>
      <c r="U230" s="67">
        <v>1099147.8503655451</v>
      </c>
      <c r="V230" s="67">
        <v>10817122.731884804</v>
      </c>
      <c r="W230" s="67">
        <v>2187127.0501605025</v>
      </c>
      <c r="X230" s="67">
        <v>2231497.61</v>
      </c>
      <c r="Y230" s="168">
        <f t="shared" si="115"/>
        <v>-546405.40326854214</v>
      </c>
      <c r="Z230" s="169">
        <f t="shared" si="116"/>
        <v>-184.34730204741638</v>
      </c>
      <c r="AA230" s="67"/>
      <c r="AB230" s="77">
        <f t="shared" si="117"/>
        <v>516007.43366794172</v>
      </c>
      <c r="AC230" s="123">
        <f t="shared" si="118"/>
        <v>174.09157681104645</v>
      </c>
      <c r="AE230" s="170"/>
      <c r="AF230" s="177">
        <v>-468144.38522897626</v>
      </c>
      <c r="AG230" s="177">
        <v>-431407.75884600409</v>
      </c>
      <c r="AH230" s="177">
        <v>-391461.9252473567</v>
      </c>
      <c r="AI230" s="178">
        <v>-352122.13499512186</v>
      </c>
      <c r="AK230" s="67">
        <f t="shared" si="119"/>
        <v>4961165.3317600992</v>
      </c>
      <c r="AL230" s="67">
        <f t="shared" si="120"/>
        <v>367821.9989401137</v>
      </c>
      <c r="AM230" s="67">
        <f t="shared" si="121"/>
        <v>8880336.0432836059</v>
      </c>
      <c r="AN230" s="67">
        <f t="shared" si="122"/>
        <v>16869500.298813697</v>
      </c>
      <c r="AO230" s="67">
        <f t="shared" si="123"/>
        <v>0</v>
      </c>
      <c r="AP230" s="67">
        <f t="shared" si="124"/>
        <v>-468144.38522897626</v>
      </c>
      <c r="AQ230" s="67">
        <f t="shared" si="125"/>
        <v>-431407.75884600409</v>
      </c>
      <c r="AR230" s="67">
        <f t="shared" si="126"/>
        <v>-391461.9252473567</v>
      </c>
      <c r="AS230" s="67">
        <f t="shared" si="127"/>
        <v>-352122.13499512186</v>
      </c>
      <c r="AT230" s="68">
        <v>1008</v>
      </c>
      <c r="AU230" s="68"/>
      <c r="AV230" s="68"/>
      <c r="AW230" s="68">
        <v>58</v>
      </c>
      <c r="AX230" s="68">
        <v>7513.4097793722412</v>
      </c>
      <c r="AY230" s="68">
        <v>-1516.099830841546</v>
      </c>
      <c r="AZ230" s="68">
        <v>1535.4484153805965</v>
      </c>
      <c r="BA230" s="299"/>
      <c r="BB230" s="67"/>
      <c r="BC230" s="67"/>
      <c r="BD230" s="67"/>
      <c r="BE230" s="67"/>
      <c r="BF230" s="67"/>
      <c r="BG230" s="67"/>
      <c r="BH230" s="67"/>
      <c r="BN230" s="299"/>
      <c r="BO230" s="67">
        <v>9452876.5288972482</v>
      </c>
      <c r="BP230" s="67">
        <v>15126022.730000004</v>
      </c>
      <c r="BQ230" s="67">
        <v>16833000</v>
      </c>
      <c r="BR230" s="67">
        <v>343875.32999999996</v>
      </c>
      <c r="BS230" s="67">
        <v>328000</v>
      </c>
      <c r="BT230" s="428">
        <v>0.54403186707348739</v>
      </c>
      <c r="BU230" s="428">
        <v>0.33464287704132489</v>
      </c>
      <c r="BV230" s="67">
        <f t="shared" si="128"/>
        <v>9861428.6559311524</v>
      </c>
      <c r="BW230" s="299"/>
      <c r="BX230" s="67">
        <v>26175351</v>
      </c>
      <c r="BY230" s="67">
        <v>9452876.5288972482</v>
      </c>
      <c r="BZ230" s="67">
        <v>11733408.21183718</v>
      </c>
      <c r="CA230" s="67">
        <v>6279489.4296236215</v>
      </c>
      <c r="CB230" s="67">
        <f t="shared" si="129"/>
        <v>-437142.41782356094</v>
      </c>
      <c r="CC230" s="67">
        <f t="shared" si="130"/>
        <v>-184.34730204741575</v>
      </c>
      <c r="CD230" s="67">
        <f t="shared" si="131"/>
        <v>57.008363946009787</v>
      </c>
      <c r="CE230" s="67">
        <f t="shared" si="132"/>
        <v>241.35566599342553</v>
      </c>
      <c r="CF230" s="67">
        <f t="shared" si="133"/>
        <v>-226.35566599342553</v>
      </c>
      <c r="CG230" s="67">
        <f t="shared" si="134"/>
        <v>-211.35566599342553</v>
      </c>
      <c r="CH230" s="67">
        <f t="shared" si="135"/>
        <v>-196.35566599342553</v>
      </c>
      <c r="CI230" s="67">
        <f t="shared" si="136"/>
        <v>-181.35566599342553</v>
      </c>
      <c r="CJ230" s="67">
        <f t="shared" si="137"/>
        <v>-670918.19400451332</v>
      </c>
      <c r="CK230" s="67">
        <f t="shared" si="138"/>
        <v>-626458.19400451332</v>
      </c>
      <c r="CL230" s="67">
        <f t="shared" si="139"/>
        <v>-581998.19400451332</v>
      </c>
      <c r="CM230" s="67">
        <f t="shared" si="140"/>
        <v>-537538.19400451332</v>
      </c>
      <c r="CN230" s="299"/>
      <c r="CO230" s="430">
        <v>9119.2550143206026</v>
      </c>
      <c r="CP230" s="430">
        <v>1099.1478503655451</v>
      </c>
      <c r="CQ230" s="430">
        <v>1273.8119999999999</v>
      </c>
      <c r="CR230" s="430">
        <v>10817122.731884804</v>
      </c>
      <c r="CS230" s="430">
        <v>1936786.6886011979</v>
      </c>
      <c r="CT230" s="430">
        <v>2187127.0501605025</v>
      </c>
      <c r="CU230" s="430">
        <v>655783.63740630914</v>
      </c>
      <c r="CV230" s="430">
        <v>377106</v>
      </c>
      <c r="CW230" s="430">
        <v>23687.099752391241</v>
      </c>
      <c r="CX230" s="430">
        <v>580579.61</v>
      </c>
      <c r="CY230" s="430">
        <v>9131055.3611862995</v>
      </c>
      <c r="CZ230" s="519"/>
      <c r="DA230" s="524">
        <v>9437.2673800000011</v>
      </c>
      <c r="DB230" s="524">
        <v>1090.5522972556284</v>
      </c>
      <c r="DC230" s="520">
        <f t="shared" si="141"/>
        <v>-1</v>
      </c>
      <c r="DD230" s="440">
        <v>3033</v>
      </c>
      <c r="DE230" s="450">
        <v>9452876.5288972482</v>
      </c>
      <c r="DF230" s="440">
        <v>4348346.8700236212</v>
      </c>
      <c r="DG230" s="440">
        <v>1273164.4200000002</v>
      </c>
      <c r="DH230" s="440">
        <v>657978.13959999999</v>
      </c>
      <c r="DI230" s="440">
        <v>1931998.9496759451</v>
      </c>
      <c r="DJ230" s="440">
        <v>657541.56677178456</v>
      </c>
      <c r="DK230" s="440">
        <v>-437443.22531851195</v>
      </c>
      <c r="DL230" s="440">
        <v>105714</v>
      </c>
      <c r="DM230" s="440">
        <v>184000</v>
      </c>
      <c r="DN230" s="440">
        <v>24175.763402480003</v>
      </c>
      <c r="DO230" s="457">
        <f t="shared" si="142"/>
        <v>-707400.04474192858</v>
      </c>
      <c r="DP230" s="459">
        <f t="shared" si="143"/>
        <v>-233.23443611669256</v>
      </c>
      <c r="DQ230" s="440"/>
      <c r="DR230" s="450">
        <v>26175351</v>
      </c>
      <c r="DS230" s="440">
        <v>9473276.58243718</v>
      </c>
      <c r="DT230" s="440">
        <v>986967.20940000005</v>
      </c>
      <c r="DU230" s="440">
        <v>10812351.951884797</v>
      </c>
      <c r="DV230" s="440">
        <v>2192989.982152381</v>
      </c>
      <c r="DW230" s="440">
        <v>1562878.4200000002</v>
      </c>
      <c r="DX230" s="457">
        <f t="shared" si="144"/>
        <v>-1146886.8541256413</v>
      </c>
      <c r="DY230" s="459">
        <f t="shared" si="145"/>
        <v>-378.13612071402616</v>
      </c>
      <c r="DZ230" s="440"/>
      <c r="EA230" s="457">
        <f t="shared" si="146"/>
        <v>439486.80938371271</v>
      </c>
      <c r="EB230" s="459">
        <f t="shared" si="147"/>
        <v>144.90168459733357</v>
      </c>
      <c r="ED230" s="457">
        <v>-426852.19623817626</v>
      </c>
      <c r="EE230" s="458">
        <v>-385287.22084837174</v>
      </c>
      <c r="EF230" s="458">
        <v>-343094.1467341141</v>
      </c>
      <c r="EG230" s="458">
        <v>-301209.14159686683</v>
      </c>
      <c r="EH230" s="459">
        <v>-258674.95363939981</v>
      </c>
    </row>
    <row r="231" spans="1:138" x14ac:dyDescent="0.2">
      <c r="A231" s="67">
        <v>687</v>
      </c>
      <c r="B231" s="67" t="s">
        <v>348</v>
      </c>
      <c r="C231" s="67">
        <v>11</v>
      </c>
      <c r="D231" s="67">
        <v>1477</v>
      </c>
      <c r="E231" s="82">
        <v>4568494.9527996592</v>
      </c>
      <c r="F231" s="67">
        <v>1666953.2751192632</v>
      </c>
      <c r="G231" s="67">
        <v>468190</v>
      </c>
      <c r="H231" s="67">
        <v>1307380.2125907899</v>
      </c>
      <c r="I231" s="67">
        <v>997583.43700367189</v>
      </c>
      <c r="J231" s="67">
        <v>376465.62666123314</v>
      </c>
      <c r="K231" s="67">
        <v>2219.9846201406631</v>
      </c>
      <c r="L231" s="67">
        <v>159381</v>
      </c>
      <c r="M231" s="68">
        <v>361285.53</v>
      </c>
      <c r="N231" s="68">
        <v>11933.982775380769</v>
      </c>
      <c r="O231" s="68">
        <v>-42985.672194667859</v>
      </c>
      <c r="P231" s="168">
        <f t="shared" si="113"/>
        <v>739912.42377615278</v>
      </c>
      <c r="Q231" s="169">
        <f t="shared" si="114"/>
        <v>500.95627879224969</v>
      </c>
      <c r="R231" s="67"/>
      <c r="S231" s="82">
        <v>14336674.870000001</v>
      </c>
      <c r="T231" s="67">
        <v>3694242.164493328</v>
      </c>
      <c r="U231" s="67">
        <v>1964930.0615843714</v>
      </c>
      <c r="V231" s="67">
        <v>7009936.7704075286</v>
      </c>
      <c r="W231" s="67">
        <v>1255563.7386485457</v>
      </c>
      <c r="X231" s="67">
        <v>988856.53</v>
      </c>
      <c r="Y231" s="168">
        <f t="shared" si="115"/>
        <v>576854.39513377286</v>
      </c>
      <c r="Z231" s="169">
        <f t="shared" si="116"/>
        <v>390.55815513457878</v>
      </c>
      <c r="AA231" s="67"/>
      <c r="AB231" s="77">
        <f t="shared" si="117"/>
        <v>163058.02864237991</v>
      </c>
      <c r="AC231" s="123">
        <f t="shared" si="118"/>
        <v>110.39812365767089</v>
      </c>
      <c r="AE231" s="170"/>
      <c r="AF231" s="177">
        <v>-139207.24505791767</v>
      </c>
      <c r="AG231" s="177">
        <v>-120900.9032334744</v>
      </c>
      <c r="AH231" s="177">
        <v>-100995.37144359507</v>
      </c>
      <c r="AI231" s="178">
        <v>-81391.838986594128</v>
      </c>
      <c r="AK231" s="67">
        <f t="shared" si="119"/>
        <v>2027288.8893740647</v>
      </c>
      <c r="AL231" s="67">
        <f t="shared" si="120"/>
        <v>657549.84899358149</v>
      </c>
      <c r="AM231" s="67">
        <f t="shared" si="121"/>
        <v>6012353.3334038565</v>
      </c>
      <c r="AN231" s="67">
        <f t="shared" si="122"/>
        <v>9768179.9172003418</v>
      </c>
      <c r="AO231" s="67">
        <f t="shared" si="123"/>
        <v>0</v>
      </c>
      <c r="AP231" s="67">
        <f t="shared" si="124"/>
        <v>-139207.24505791767</v>
      </c>
      <c r="AQ231" s="67">
        <f t="shared" si="125"/>
        <v>-120900.9032334744</v>
      </c>
      <c r="AR231" s="67">
        <f t="shared" si="126"/>
        <v>-100995.37144359507</v>
      </c>
      <c r="AS231" s="67">
        <f t="shared" si="127"/>
        <v>-81391.838986594128</v>
      </c>
      <c r="AT231" s="68">
        <v>1569</v>
      </c>
      <c r="AU231" s="68"/>
      <c r="AV231" s="68"/>
      <c r="AW231" s="68">
        <v>7</v>
      </c>
      <c r="AX231" s="68">
        <v>5421.5246657568732</v>
      </c>
      <c r="AY231" s="68">
        <v>-755.36668603612702</v>
      </c>
      <c r="AZ231" s="68">
        <v>877.33792445017878</v>
      </c>
      <c r="BA231" s="299"/>
      <c r="BB231" s="67"/>
      <c r="BC231" s="67"/>
      <c r="BD231" s="67"/>
      <c r="BE231" s="67"/>
      <c r="BF231" s="67"/>
      <c r="BG231" s="67"/>
      <c r="BH231" s="67"/>
      <c r="BN231" s="299"/>
      <c r="BO231" s="67">
        <v>5081618.2677605879</v>
      </c>
      <c r="BP231" s="67">
        <v>8843156.5300000012</v>
      </c>
      <c r="BQ231" s="67">
        <v>9480000</v>
      </c>
      <c r="BR231" s="67">
        <v>270077.55</v>
      </c>
      <c r="BS231" s="67">
        <v>301000</v>
      </c>
      <c r="BT231" s="428">
        <v>0.5487698962615547</v>
      </c>
      <c r="BU231" s="428">
        <v>0.33464287704132478</v>
      </c>
      <c r="BV231" s="67">
        <f t="shared" si="128"/>
        <v>6893671.4300113106</v>
      </c>
      <c r="BW231" s="299"/>
      <c r="BX231" s="67">
        <v>15133534</v>
      </c>
      <c r="BY231" s="67">
        <v>5081618.2677605879</v>
      </c>
      <c r="BZ231" s="67">
        <v>6101476.3818807201</v>
      </c>
      <c r="CA231" s="67">
        <v>3397911.2953898283</v>
      </c>
      <c r="CB231" s="67">
        <f t="shared" si="129"/>
        <v>-184017.68981410548</v>
      </c>
      <c r="CC231" s="67">
        <f t="shared" si="130"/>
        <v>390.55815513457912</v>
      </c>
      <c r="CD231" s="67">
        <f t="shared" si="131"/>
        <v>403.9677870931443</v>
      </c>
      <c r="CE231" s="67">
        <f t="shared" si="132"/>
        <v>13.409631958565171</v>
      </c>
      <c r="CF231" s="67">
        <f t="shared" si="133"/>
        <v>0</v>
      </c>
      <c r="CG231" s="67">
        <f t="shared" si="134"/>
        <v>0</v>
      </c>
      <c r="CH231" s="67">
        <f t="shared" si="135"/>
        <v>0</v>
      </c>
      <c r="CI231" s="67">
        <f t="shared" si="136"/>
        <v>0</v>
      </c>
      <c r="CJ231" s="67">
        <f t="shared" si="137"/>
        <v>0</v>
      </c>
      <c r="CK231" s="67">
        <f t="shared" si="138"/>
        <v>0</v>
      </c>
      <c r="CL231" s="67">
        <f t="shared" si="139"/>
        <v>0</v>
      </c>
      <c r="CM231" s="67">
        <f t="shared" si="140"/>
        <v>0</v>
      </c>
      <c r="CN231" s="299"/>
      <c r="CO231" s="430">
        <v>3694.2421644933279</v>
      </c>
      <c r="CP231" s="430">
        <v>1964.9300615843713</v>
      </c>
      <c r="CQ231" s="430">
        <v>468.19</v>
      </c>
      <c r="CR231" s="430">
        <v>7009936.7704075286</v>
      </c>
      <c r="CS231" s="430">
        <v>997583.43700367189</v>
      </c>
      <c r="CT231" s="430">
        <v>1255563.7386485457</v>
      </c>
      <c r="CU231" s="430">
        <v>376465.62666123314</v>
      </c>
      <c r="CV231" s="430">
        <v>159381</v>
      </c>
      <c r="CW231" s="430">
        <v>11933.982775380769</v>
      </c>
      <c r="CX231" s="430">
        <v>361285.53</v>
      </c>
      <c r="CY231" s="430">
        <v>4568494.9527996592</v>
      </c>
      <c r="CZ231" s="519"/>
      <c r="DA231" s="524">
        <v>3839.1563999999998</v>
      </c>
      <c r="DB231" s="524">
        <v>1949.562863308834</v>
      </c>
      <c r="DC231" s="520">
        <f t="shared" si="141"/>
        <v>-1</v>
      </c>
      <c r="DD231" s="440">
        <v>1513</v>
      </c>
      <c r="DE231" s="450">
        <v>5081618.2677605879</v>
      </c>
      <c r="DF231" s="440">
        <v>1751826.2190898282</v>
      </c>
      <c r="DG231" s="440">
        <v>469827.46370000002</v>
      </c>
      <c r="DH231" s="440">
        <v>1176257.6126000001</v>
      </c>
      <c r="DI231" s="440">
        <v>995139.04973792925</v>
      </c>
      <c r="DJ231" s="440">
        <v>375711.84264648927</v>
      </c>
      <c r="DK231" s="440">
        <v>-184051.24712608245</v>
      </c>
      <c r="DL231" s="440">
        <v>105677</v>
      </c>
      <c r="DM231" s="440">
        <v>248000</v>
      </c>
      <c r="DN231" s="440">
        <v>11984.181005292035</v>
      </c>
      <c r="DO231" s="457">
        <f t="shared" si="142"/>
        <v>-131246.14610713162</v>
      </c>
      <c r="DP231" s="459">
        <f t="shared" si="143"/>
        <v>-86.745635232737357</v>
      </c>
      <c r="DQ231" s="440"/>
      <c r="DR231" s="450">
        <v>15133534</v>
      </c>
      <c r="DS231" s="440">
        <v>3867262.4992807196</v>
      </c>
      <c r="DT231" s="440">
        <v>1764386.4189000002</v>
      </c>
      <c r="DU231" s="440">
        <v>7007502.1604075273</v>
      </c>
      <c r="DV231" s="440">
        <v>1253049.767096668</v>
      </c>
      <c r="DW231" s="440">
        <v>823504.46369999996</v>
      </c>
      <c r="DX231" s="457">
        <f t="shared" si="144"/>
        <v>-417828.69061508588</v>
      </c>
      <c r="DY231" s="459">
        <f t="shared" si="145"/>
        <v>-276.15908170197349</v>
      </c>
      <c r="DZ231" s="440"/>
      <c r="EA231" s="457">
        <f t="shared" si="146"/>
        <v>286582.54450795427</v>
      </c>
      <c r="EB231" s="459">
        <f t="shared" si="147"/>
        <v>189.41344646923613</v>
      </c>
      <c r="ED231" s="457">
        <v>-280279.81793716451</v>
      </c>
      <c r="EE231" s="458">
        <v>-259545.29510011396</v>
      </c>
      <c r="EF231" s="458">
        <v>-238497.44770978368</v>
      </c>
      <c r="EG231" s="458">
        <v>-217603.27930468801</v>
      </c>
      <c r="EH231" s="459">
        <v>-196385.26862890573</v>
      </c>
    </row>
    <row r="232" spans="1:138" x14ac:dyDescent="0.2">
      <c r="A232" s="67">
        <v>689</v>
      </c>
      <c r="B232" s="67" t="s">
        <v>349</v>
      </c>
      <c r="C232" s="67">
        <v>9</v>
      </c>
      <c r="D232" s="67">
        <v>3093</v>
      </c>
      <c r="E232" s="82">
        <v>8630811.9782227892</v>
      </c>
      <c r="F232" s="67">
        <v>4182769.6341221919</v>
      </c>
      <c r="G232" s="67">
        <v>859772</v>
      </c>
      <c r="H232" s="67">
        <v>2092612.0951146183</v>
      </c>
      <c r="I232" s="67">
        <v>-151157.13457550111</v>
      </c>
      <c r="J232" s="67">
        <v>594689.28722761525</v>
      </c>
      <c r="K232" s="67">
        <v>1168315.8547469308</v>
      </c>
      <c r="L232" s="67">
        <v>-465675</v>
      </c>
      <c r="M232" s="68">
        <v>81853.2</v>
      </c>
      <c r="N232" s="68">
        <v>32104.65728420348</v>
      </c>
      <c r="O232" s="68">
        <v>-90016.712320993698</v>
      </c>
      <c r="P232" s="168">
        <f t="shared" si="113"/>
        <v>-325544.09662372345</v>
      </c>
      <c r="Q232" s="169">
        <f t="shared" si="114"/>
        <v>-105.25189027601793</v>
      </c>
      <c r="R232" s="67"/>
      <c r="S232" s="82">
        <v>25064086.809999999</v>
      </c>
      <c r="T232" s="67">
        <v>10353006.587910252</v>
      </c>
      <c r="U232" s="67">
        <v>3145096.1038927496</v>
      </c>
      <c r="V232" s="67">
        <v>9582448.7974247467</v>
      </c>
      <c r="W232" s="67">
        <v>1983369.1363212909</v>
      </c>
      <c r="X232" s="67">
        <v>475950.2</v>
      </c>
      <c r="Y232" s="168">
        <f t="shared" si="115"/>
        <v>475784.01554903761</v>
      </c>
      <c r="Z232" s="169">
        <f t="shared" si="116"/>
        <v>153.82606386971796</v>
      </c>
      <c r="AA232" s="67"/>
      <c r="AB232" s="77">
        <f t="shared" si="117"/>
        <v>-801328.112172761</v>
      </c>
      <c r="AC232" s="123">
        <f t="shared" si="118"/>
        <v>-259.07795414573587</v>
      </c>
      <c r="AE232" s="170"/>
      <c r="AF232" s="177">
        <v>758484.26899521041</v>
      </c>
      <c r="AG232" s="177">
        <v>704029.75664788682</v>
      </c>
      <c r="AH232" s="177">
        <v>652924.12349020003</v>
      </c>
      <c r="AI232" s="178">
        <v>601186.07060563937</v>
      </c>
      <c r="AK232" s="67">
        <f t="shared" si="119"/>
        <v>6170236.9537880598</v>
      </c>
      <c r="AL232" s="67">
        <f t="shared" si="120"/>
        <v>1052484.0087781313</v>
      </c>
      <c r="AM232" s="67">
        <f t="shared" si="121"/>
        <v>9733605.9320002478</v>
      </c>
      <c r="AN232" s="67">
        <f t="shared" si="122"/>
        <v>16433274.831777209</v>
      </c>
      <c r="AO232" s="67">
        <f t="shared" si="123"/>
        <v>0</v>
      </c>
      <c r="AP232" s="67">
        <f t="shared" si="124"/>
        <v>758484.26899521041</v>
      </c>
      <c r="AQ232" s="67">
        <f t="shared" si="125"/>
        <v>704029.75664788682</v>
      </c>
      <c r="AR232" s="67">
        <f t="shared" si="126"/>
        <v>652924.12349020003</v>
      </c>
      <c r="AS232" s="67">
        <f t="shared" si="127"/>
        <v>601186.07060563937</v>
      </c>
      <c r="AT232" s="68">
        <v>1601</v>
      </c>
      <c r="AU232" s="68"/>
      <c r="AV232" s="68"/>
      <c r="AW232" s="68">
        <v>0</v>
      </c>
      <c r="AX232" s="68">
        <v>9313.5065368163778</v>
      </c>
      <c r="AY232" s="68">
        <v>-397.64851950906751</v>
      </c>
      <c r="AZ232" s="68">
        <v>1387.2402582120112</v>
      </c>
      <c r="BA232" s="299"/>
      <c r="BB232" s="67"/>
      <c r="BC232" s="67"/>
      <c r="BD232" s="67"/>
      <c r="BE232" s="67"/>
      <c r="BF232" s="67"/>
      <c r="BG232" s="67"/>
      <c r="BH232" s="67"/>
      <c r="BN232" s="299"/>
      <c r="BO232" s="67">
        <v>8528992.7395101953</v>
      </c>
      <c r="BP232" s="67">
        <v>14859848.540000003</v>
      </c>
      <c r="BQ232" s="67">
        <v>16263000</v>
      </c>
      <c r="BR232" s="67">
        <v>295226.86000000004</v>
      </c>
      <c r="BS232" s="67">
        <v>369000</v>
      </c>
      <c r="BT232" s="428">
        <v>0.59598503114963419</v>
      </c>
      <c r="BU232" s="428">
        <v>0.33464287704132489</v>
      </c>
      <c r="BV232" s="67">
        <f t="shared" si="128"/>
        <v>12290601.635840854</v>
      </c>
      <c r="BW232" s="299"/>
      <c r="BX232" s="67">
        <v>24706739.920000002</v>
      </c>
      <c r="BY232" s="67">
        <v>8528992.7395101953</v>
      </c>
      <c r="BZ232" s="67">
        <v>14892866.099864226</v>
      </c>
      <c r="CA232" s="67">
        <v>7314132.2141807359</v>
      </c>
      <c r="CB232" s="67">
        <f t="shared" si="129"/>
        <v>1479561.2774326415</v>
      </c>
      <c r="CC232" s="67">
        <f t="shared" si="130"/>
        <v>153.82606386971864</v>
      </c>
      <c r="CD232" s="67">
        <f t="shared" si="131"/>
        <v>24.480452112182384</v>
      </c>
      <c r="CE232" s="67">
        <f t="shared" si="132"/>
        <v>-129.34561175753626</v>
      </c>
      <c r="CF232" s="67">
        <f t="shared" si="133"/>
        <v>114.34561175753626</v>
      </c>
      <c r="CG232" s="67">
        <f t="shared" si="134"/>
        <v>99.345611757536261</v>
      </c>
      <c r="CH232" s="67">
        <f t="shared" si="135"/>
        <v>84.345611757536261</v>
      </c>
      <c r="CI232" s="67">
        <f t="shared" si="136"/>
        <v>69.345611757536261</v>
      </c>
      <c r="CJ232" s="67">
        <f t="shared" si="137"/>
        <v>353670.97716605966</v>
      </c>
      <c r="CK232" s="67">
        <f t="shared" si="138"/>
        <v>307275.97716605966</v>
      </c>
      <c r="CL232" s="67">
        <f t="shared" si="139"/>
        <v>260880.97716605966</v>
      </c>
      <c r="CM232" s="67">
        <f t="shared" si="140"/>
        <v>214485.97716605966</v>
      </c>
      <c r="CN232" s="299"/>
      <c r="CO232" s="430">
        <v>10353.006587910251</v>
      </c>
      <c r="CP232" s="430">
        <v>3145.0961038927499</v>
      </c>
      <c r="CQ232" s="430">
        <v>859.77200000000005</v>
      </c>
      <c r="CR232" s="430">
        <v>9582448.7974247467</v>
      </c>
      <c r="CS232" s="430">
        <v>-151157.13457550111</v>
      </c>
      <c r="CT232" s="430">
        <v>1983369.1363212909</v>
      </c>
      <c r="CU232" s="430">
        <v>594689.28722761525</v>
      </c>
      <c r="CV232" s="430">
        <v>-465675</v>
      </c>
      <c r="CW232" s="430">
        <v>32104.65728420348</v>
      </c>
      <c r="CX232" s="430">
        <v>81853.2</v>
      </c>
      <c r="CY232" s="430">
        <v>8630811.9782227892</v>
      </c>
      <c r="CZ232" s="519"/>
      <c r="DA232" s="524">
        <v>10724.255070000001</v>
      </c>
      <c r="DB232" s="524">
        <v>3120.5079614766078</v>
      </c>
      <c r="DC232" s="520">
        <f t="shared" si="141"/>
        <v>-1</v>
      </c>
      <c r="DD232" s="440">
        <v>3092</v>
      </c>
      <c r="DE232" s="450">
        <v>8528992.7395101953</v>
      </c>
      <c r="DF232" s="440">
        <v>4543710.0396807352</v>
      </c>
      <c r="DG232" s="440">
        <v>887686.85129999998</v>
      </c>
      <c r="DH232" s="440">
        <v>1882735.3232</v>
      </c>
      <c r="DI232" s="440">
        <v>-156076.82457490105</v>
      </c>
      <c r="DJ232" s="440">
        <v>594072.79576208931</v>
      </c>
      <c r="DK232" s="440">
        <v>1478680.7573115446</v>
      </c>
      <c r="DL232" s="440">
        <v>-494646</v>
      </c>
      <c r="DM232" s="440">
        <v>70800</v>
      </c>
      <c r="DN232" s="440">
        <v>33594.500510012847</v>
      </c>
      <c r="DO232" s="457">
        <f t="shared" si="142"/>
        <v>311564.70367928594</v>
      </c>
      <c r="DP232" s="459">
        <f t="shared" si="143"/>
        <v>100.7647812675569</v>
      </c>
      <c r="DQ232" s="440"/>
      <c r="DR232" s="450">
        <v>24706739.920000002</v>
      </c>
      <c r="DS232" s="440">
        <v>11181076.263764227</v>
      </c>
      <c r="DT232" s="440">
        <v>2824102.9847999997</v>
      </c>
      <c r="DU232" s="440">
        <v>9577550.7974247448</v>
      </c>
      <c r="DV232" s="440">
        <v>1981313.0539741004</v>
      </c>
      <c r="DW232" s="440">
        <v>463840.85129999998</v>
      </c>
      <c r="DX232" s="457">
        <f t="shared" si="144"/>
        <v>1321144.0312630683</v>
      </c>
      <c r="DY232" s="459">
        <f t="shared" si="145"/>
        <v>427.278147239026</v>
      </c>
      <c r="DZ232" s="440"/>
      <c r="EA232" s="457">
        <f t="shared" si="146"/>
        <v>-1009579.3275837824</v>
      </c>
      <c r="EB232" s="459">
        <f t="shared" si="147"/>
        <v>-326.51336597146906</v>
      </c>
      <c r="ED232" s="457">
        <v>1022459.7179055758</v>
      </c>
      <c r="EE232" s="458">
        <v>972073.24375630962</v>
      </c>
      <c r="EF232" s="458">
        <v>922327.08653945662</v>
      </c>
      <c r="EG232" s="458">
        <v>872266.86757617537</v>
      </c>
      <c r="EH232" s="459">
        <v>822868.45978339203</v>
      </c>
    </row>
    <row r="233" spans="1:138" x14ac:dyDescent="0.2">
      <c r="A233" s="67">
        <v>691</v>
      </c>
      <c r="B233" s="67" t="s">
        <v>350</v>
      </c>
      <c r="C233" s="67">
        <v>17</v>
      </c>
      <c r="D233" s="67">
        <v>2636</v>
      </c>
      <c r="E233" s="82">
        <v>8132172.6664022747</v>
      </c>
      <c r="F233" s="67">
        <v>3519047.9391692104</v>
      </c>
      <c r="G233" s="67">
        <v>779810</v>
      </c>
      <c r="H233" s="67">
        <v>426245.12109922874</v>
      </c>
      <c r="I233" s="67">
        <v>3555645.5670911088</v>
      </c>
      <c r="J233" s="67">
        <v>570775.4463251566</v>
      </c>
      <c r="K233" s="67">
        <v>637420.58128441451</v>
      </c>
      <c r="L233" s="67">
        <v>13579</v>
      </c>
      <c r="M233" s="68">
        <v>305749.78000000003</v>
      </c>
      <c r="N233" s="68">
        <v>19381.055190303625</v>
      </c>
      <c r="O233" s="68">
        <v>-76716.473869427544</v>
      </c>
      <c r="P233" s="168">
        <f t="shared" si="113"/>
        <v>1618765.3498877198</v>
      </c>
      <c r="Q233" s="169">
        <f t="shared" si="114"/>
        <v>614.09914639139595</v>
      </c>
      <c r="R233" s="67"/>
      <c r="S233" s="82">
        <v>20477619.25</v>
      </c>
      <c r="T233" s="67">
        <v>7664905.2027760372</v>
      </c>
      <c r="U233" s="67">
        <v>640626.07341426553</v>
      </c>
      <c r="V233" s="67">
        <v>10897115.616100879</v>
      </c>
      <c r="W233" s="67">
        <v>1903613.2453114691</v>
      </c>
      <c r="X233" s="67">
        <v>1099138.78</v>
      </c>
      <c r="Y233" s="168">
        <f t="shared" si="115"/>
        <v>1727779.6676026508</v>
      </c>
      <c r="Z233" s="169">
        <f t="shared" si="116"/>
        <v>655.45510910570977</v>
      </c>
      <c r="AA233" s="67"/>
      <c r="AB233" s="77">
        <f t="shared" si="117"/>
        <v>-109014.31771493098</v>
      </c>
      <c r="AC233" s="123">
        <f t="shared" si="118"/>
        <v>-41.355962714313726</v>
      </c>
      <c r="AE233" s="170"/>
      <c r="AF233" s="177">
        <v>72500.780496682753</v>
      </c>
      <c r="AG233" s="177">
        <v>26092.085201647154</v>
      </c>
      <c r="AH233" s="177">
        <v>-7856.8555341885249</v>
      </c>
      <c r="AI233" s="178">
        <v>-12410.456375993208</v>
      </c>
      <c r="AK233" s="67">
        <f t="shared" si="119"/>
        <v>4145857.2636068268</v>
      </c>
      <c r="AL233" s="67">
        <f t="shared" si="120"/>
        <v>214380.95231503679</v>
      </c>
      <c r="AM233" s="67">
        <f t="shared" si="121"/>
        <v>7341470.0490097702</v>
      </c>
      <c r="AN233" s="67">
        <f t="shared" si="122"/>
        <v>12345446.583597725</v>
      </c>
      <c r="AO233" s="67">
        <f t="shared" si="123"/>
        <v>0</v>
      </c>
      <c r="AP233" s="67">
        <f t="shared" si="124"/>
        <v>72500.780496682753</v>
      </c>
      <c r="AQ233" s="67">
        <f t="shared" si="125"/>
        <v>26092.085201647154</v>
      </c>
      <c r="AR233" s="67">
        <f t="shared" si="126"/>
        <v>-7856.8555341885249</v>
      </c>
      <c r="AS233" s="67">
        <f t="shared" si="127"/>
        <v>-12410.456375993208</v>
      </c>
      <c r="AT233" s="68">
        <v>1022</v>
      </c>
      <c r="AU233" s="68"/>
      <c r="AV233" s="68"/>
      <c r="AW233" s="68">
        <v>0</v>
      </c>
      <c r="AX233" s="68">
        <v>6043.5595534273707</v>
      </c>
      <c r="AY233" s="68">
        <v>-1613.8432320570814</v>
      </c>
      <c r="AZ233" s="68">
        <v>1334.6106644693871</v>
      </c>
      <c r="BA233" s="299"/>
      <c r="BB233" s="67"/>
      <c r="BC233" s="67"/>
      <c r="BD233" s="67"/>
      <c r="BE233" s="67"/>
      <c r="BF233" s="67"/>
      <c r="BG233" s="67"/>
      <c r="BH233" s="67"/>
      <c r="BN233" s="299"/>
      <c r="BO233" s="67">
        <v>8312103.812574707</v>
      </c>
      <c r="BP233" s="67">
        <v>11656795.920000002</v>
      </c>
      <c r="BQ233" s="67">
        <v>11683000</v>
      </c>
      <c r="BR233" s="67">
        <v>274036.03999999998</v>
      </c>
      <c r="BS233" s="67">
        <v>266000</v>
      </c>
      <c r="BT233" s="428">
        <v>0.54088826331541595</v>
      </c>
      <c r="BU233" s="428">
        <v>0.33464287704132484</v>
      </c>
      <c r="BV233" s="67">
        <f t="shared" si="128"/>
        <v>9311728.4292804971</v>
      </c>
      <c r="BW233" s="299"/>
      <c r="BX233" s="67">
        <v>20802848</v>
      </c>
      <c r="BY233" s="67">
        <v>8312103.812574707</v>
      </c>
      <c r="BZ233" s="67">
        <v>9212187.1294165049</v>
      </c>
      <c r="CA233" s="67">
        <v>4796002.7477591615</v>
      </c>
      <c r="CB233" s="67">
        <f t="shared" si="129"/>
        <v>538157.37520995003</v>
      </c>
      <c r="CC233" s="67">
        <f t="shared" si="130"/>
        <v>655.45510910571011</v>
      </c>
      <c r="CD233" s="67">
        <f t="shared" si="131"/>
        <v>605.54575784623819</v>
      </c>
      <c r="CE233" s="67">
        <f t="shared" si="132"/>
        <v>-49.909351259471919</v>
      </c>
      <c r="CF233" s="67">
        <f t="shared" si="133"/>
        <v>34.909351259471919</v>
      </c>
      <c r="CG233" s="67">
        <f t="shared" si="134"/>
        <v>19.909351259471919</v>
      </c>
      <c r="CH233" s="67">
        <f t="shared" si="135"/>
        <v>4.9093512594719186</v>
      </c>
      <c r="CI233" s="67">
        <f t="shared" si="136"/>
        <v>0</v>
      </c>
      <c r="CJ233" s="67">
        <f t="shared" si="137"/>
        <v>92021.049919967976</v>
      </c>
      <c r="CK233" s="67">
        <f t="shared" si="138"/>
        <v>52481.049919967976</v>
      </c>
      <c r="CL233" s="67">
        <f t="shared" si="139"/>
        <v>12941.049919967978</v>
      </c>
      <c r="CM233" s="67">
        <f t="shared" si="140"/>
        <v>0</v>
      </c>
      <c r="CN233" s="299"/>
      <c r="CO233" s="430">
        <v>7664.9052027760372</v>
      </c>
      <c r="CP233" s="430">
        <v>640.62607341426553</v>
      </c>
      <c r="CQ233" s="430">
        <v>779.81</v>
      </c>
      <c r="CR233" s="430">
        <v>10897115.616100879</v>
      </c>
      <c r="CS233" s="430">
        <v>3555645.5670911088</v>
      </c>
      <c r="CT233" s="430">
        <v>1903613.2453114691</v>
      </c>
      <c r="CU233" s="430">
        <v>570775.4463251566</v>
      </c>
      <c r="CV233" s="430">
        <v>13579</v>
      </c>
      <c r="CW233" s="430">
        <v>19381.055190303625</v>
      </c>
      <c r="CX233" s="430">
        <v>305749.78000000003</v>
      </c>
      <c r="CY233" s="430">
        <v>8132172.6664022747</v>
      </c>
      <c r="CZ233" s="519"/>
      <c r="DA233" s="524">
        <v>8001.7987499999999</v>
      </c>
      <c r="DB233" s="524">
        <v>635.6165251270595</v>
      </c>
      <c r="DC233" s="520">
        <f t="shared" si="141"/>
        <v>-1</v>
      </c>
      <c r="DD233" s="440">
        <v>2690</v>
      </c>
      <c r="DE233" s="450">
        <v>8312103.812574707</v>
      </c>
      <c r="DF233" s="440">
        <v>3630100.6559591615</v>
      </c>
      <c r="DG233" s="440">
        <v>782406.86699999997</v>
      </c>
      <c r="DH233" s="440">
        <v>383495.22480000003</v>
      </c>
      <c r="DI233" s="440">
        <v>3551373.3123606858</v>
      </c>
      <c r="DJ233" s="440">
        <v>571534.65955286357</v>
      </c>
      <c r="DK233" s="440">
        <v>538032.02669340617</v>
      </c>
      <c r="DL233" s="440">
        <v>2184</v>
      </c>
      <c r="DM233" s="440">
        <v>151500</v>
      </c>
      <c r="DN233" s="440">
        <v>19575.764329468664</v>
      </c>
      <c r="DO233" s="457">
        <f t="shared" si="142"/>
        <v>1318098.698120879</v>
      </c>
      <c r="DP233" s="459">
        <f t="shared" si="143"/>
        <v>489.99951603006656</v>
      </c>
      <c r="DQ233" s="440"/>
      <c r="DR233" s="450">
        <v>20802848</v>
      </c>
      <c r="DS233" s="440">
        <v>7854537.4252165044</v>
      </c>
      <c r="DT233" s="440">
        <v>575242.83720000007</v>
      </c>
      <c r="DU233" s="440">
        <v>10892852.15610088</v>
      </c>
      <c r="DV233" s="440">
        <v>1906145.3240222507</v>
      </c>
      <c r="DW233" s="440">
        <v>936090.86699999997</v>
      </c>
      <c r="DX233" s="457">
        <f t="shared" si="144"/>
        <v>1362020.6095396355</v>
      </c>
      <c r="DY233" s="459">
        <f t="shared" si="145"/>
        <v>506.32736414112844</v>
      </c>
      <c r="DZ233" s="440"/>
      <c r="EA233" s="457">
        <f t="shared" si="146"/>
        <v>-43921.91141875647</v>
      </c>
      <c r="EB233" s="459">
        <f t="shared" si="147"/>
        <v>-16.327848111061886</v>
      </c>
      <c r="ED233" s="457">
        <v>55127.684370124356</v>
      </c>
      <c r="EE233" s="458">
        <v>11292.103690458762</v>
      </c>
      <c r="EF233" s="458">
        <v>4791.6790397034329</v>
      </c>
      <c r="EG233" s="458">
        <v>1589.9361512085989</v>
      </c>
      <c r="EH233" s="459">
        <v>-1036.0395805466753</v>
      </c>
    </row>
    <row r="234" spans="1:138" x14ac:dyDescent="0.2">
      <c r="A234" s="67">
        <v>694</v>
      </c>
      <c r="B234" s="67" t="s">
        <v>351</v>
      </c>
      <c r="C234" s="67">
        <v>5</v>
      </c>
      <c r="D234" s="67">
        <v>28349</v>
      </c>
      <c r="E234" s="82">
        <v>67711243.865906507</v>
      </c>
      <c r="F234" s="67">
        <v>44760527.94557362</v>
      </c>
      <c r="G234" s="67">
        <v>9980780</v>
      </c>
      <c r="H234" s="67">
        <v>9901733.4495080505</v>
      </c>
      <c r="I234" s="67">
        <v>8598372.3937464133</v>
      </c>
      <c r="J234" s="67">
        <v>4200649.5835725106</v>
      </c>
      <c r="K234" s="67">
        <v>-1026335.2150063083</v>
      </c>
      <c r="L234" s="67">
        <v>-481472</v>
      </c>
      <c r="M234" s="68">
        <v>1463979.53</v>
      </c>
      <c r="N234" s="68">
        <v>332722.67477474676</v>
      </c>
      <c r="O234" s="68">
        <v>-825051.33449332369</v>
      </c>
      <c r="P234" s="168">
        <f t="shared" si="113"/>
        <v>9194663.1617691964</v>
      </c>
      <c r="Q234" s="169">
        <f t="shared" si="114"/>
        <v>324.33818341984539</v>
      </c>
      <c r="R234" s="67"/>
      <c r="S234" s="82">
        <v>179984443.69999996</v>
      </c>
      <c r="T234" s="67">
        <v>114634460.42179923</v>
      </c>
      <c r="U234" s="67">
        <v>14881832.790002368</v>
      </c>
      <c r="V234" s="67">
        <v>35456473.02675087</v>
      </c>
      <c r="W234" s="67">
        <v>14009734.016563462</v>
      </c>
      <c r="X234" s="67">
        <v>10963287.529999999</v>
      </c>
      <c r="Y234" s="168">
        <f t="shared" si="115"/>
        <v>9961344.0851159692</v>
      </c>
      <c r="Z234" s="169">
        <f t="shared" si="116"/>
        <v>351.38255617891173</v>
      </c>
      <c r="AA234" s="67"/>
      <c r="AB234" s="77">
        <f t="shared" si="117"/>
        <v>-766680.92334677279</v>
      </c>
      <c r="AC234" s="123">
        <f t="shared" si="118"/>
        <v>-27.04437275906638</v>
      </c>
      <c r="AE234" s="170"/>
      <c r="AF234" s="177">
        <v>373994.17577466095</v>
      </c>
      <c r="AG234" s="177">
        <v>-41321.49071284051</v>
      </c>
      <c r="AH234" s="177">
        <v>-84496.964164912933</v>
      </c>
      <c r="AI234" s="178">
        <v>-133468.90280843378</v>
      </c>
      <c r="AK234" s="67">
        <f t="shared" si="119"/>
        <v>69873932.476225615</v>
      </c>
      <c r="AL234" s="67">
        <f t="shared" si="120"/>
        <v>4980099.3404943179</v>
      </c>
      <c r="AM234" s="67">
        <f t="shared" si="121"/>
        <v>26858100.633004457</v>
      </c>
      <c r="AN234" s="67">
        <f t="shared" si="122"/>
        <v>112273199.83409345</v>
      </c>
      <c r="AO234" s="67">
        <f t="shared" si="123"/>
        <v>0</v>
      </c>
      <c r="AP234" s="67">
        <f t="shared" si="124"/>
        <v>373994.17577466095</v>
      </c>
      <c r="AQ234" s="67">
        <f t="shared" si="125"/>
        <v>-41321.49071284051</v>
      </c>
      <c r="AR234" s="67">
        <f t="shared" si="126"/>
        <v>-84496.964164912933</v>
      </c>
      <c r="AS234" s="67">
        <f t="shared" si="127"/>
        <v>-133468.90280843378</v>
      </c>
      <c r="AT234" s="68">
        <v>8702</v>
      </c>
      <c r="AU234" s="68"/>
      <c r="AV234" s="68"/>
      <c r="AW234" s="68">
        <v>81</v>
      </c>
      <c r="AX234" s="68">
        <v>26898.854182596162</v>
      </c>
      <c r="AY234" s="68">
        <v>1491.6579496093022</v>
      </c>
      <c r="AZ234" s="68">
        <v>9703.2447297688159</v>
      </c>
      <c r="BA234" s="299"/>
      <c r="BB234" s="67"/>
      <c r="BC234" s="67"/>
      <c r="BD234" s="67"/>
      <c r="BE234" s="67"/>
      <c r="BF234" s="67"/>
      <c r="BG234" s="67"/>
      <c r="BH234" s="67"/>
      <c r="BN234" s="299"/>
      <c r="BO234" s="67">
        <v>64679508.694603741</v>
      </c>
      <c r="BP234" s="67">
        <v>100954602.28</v>
      </c>
      <c r="BQ234" s="67">
        <v>111360000</v>
      </c>
      <c r="BR234" s="67">
        <v>2327910.8200000003</v>
      </c>
      <c r="BS234" s="67">
        <v>2528000</v>
      </c>
      <c r="BT234" s="428">
        <v>0.6095368898595015</v>
      </c>
      <c r="BU234" s="428">
        <v>0.33464287704132478</v>
      </c>
      <c r="BV234" s="67">
        <f t="shared" si="128"/>
        <v>35640849.850989103</v>
      </c>
      <c r="BW234" s="299"/>
      <c r="BX234" s="67">
        <v>172345700</v>
      </c>
      <c r="BY234" s="67">
        <v>64679508.694603741</v>
      </c>
      <c r="BZ234" s="67">
        <v>137016849.28277642</v>
      </c>
      <c r="CA234" s="67">
        <v>63820492.814822339</v>
      </c>
      <c r="CB234" s="67">
        <f t="shared" si="129"/>
        <v>177350.53108400406</v>
      </c>
      <c r="CC234" s="67">
        <f t="shared" si="130"/>
        <v>351.38255617891173</v>
      </c>
      <c r="CD234" s="67">
        <f t="shared" si="131"/>
        <v>395.90109853444</v>
      </c>
      <c r="CE234" s="67">
        <f t="shared" si="132"/>
        <v>44.518542355528268</v>
      </c>
      <c r="CF234" s="67">
        <f t="shared" si="133"/>
        <v>-29.518542355528268</v>
      </c>
      <c r="CG234" s="67">
        <f t="shared" si="134"/>
        <v>-14.518542355528268</v>
      </c>
      <c r="CH234" s="67">
        <f t="shared" si="135"/>
        <v>0</v>
      </c>
      <c r="CI234" s="67">
        <f t="shared" si="136"/>
        <v>0</v>
      </c>
      <c r="CJ234" s="67">
        <f t="shared" si="137"/>
        <v>-836821.15723687084</v>
      </c>
      <c r="CK234" s="67">
        <f t="shared" si="138"/>
        <v>-411586.1572368709</v>
      </c>
      <c r="CL234" s="67">
        <f t="shared" si="139"/>
        <v>0</v>
      </c>
      <c r="CM234" s="67">
        <f t="shared" si="140"/>
        <v>0</v>
      </c>
      <c r="CN234" s="299"/>
      <c r="CO234" s="430">
        <v>114634.46042179923</v>
      </c>
      <c r="CP234" s="430">
        <v>14881.832790002369</v>
      </c>
      <c r="CQ234" s="430">
        <v>9980.7800000000007</v>
      </c>
      <c r="CR234" s="430">
        <v>35456473.02675087</v>
      </c>
      <c r="CS234" s="430">
        <v>8598372.3937464133</v>
      </c>
      <c r="CT234" s="430">
        <v>14009734.016563462</v>
      </c>
      <c r="CU234" s="430">
        <v>4200649.5835725106</v>
      </c>
      <c r="CV234" s="430">
        <v>-481472</v>
      </c>
      <c r="CW234" s="430">
        <v>332722.67477474676</v>
      </c>
      <c r="CX234" s="430">
        <v>1463979.53</v>
      </c>
      <c r="CY234" s="430">
        <v>67711243.865906507</v>
      </c>
      <c r="CZ234" s="519"/>
      <c r="DA234" s="524">
        <v>113947.39479999999</v>
      </c>
      <c r="DB234" s="524">
        <v>14765.463955590974</v>
      </c>
      <c r="DC234" s="520">
        <f t="shared" si="141"/>
        <v>-1</v>
      </c>
      <c r="DD234" s="440">
        <v>28521</v>
      </c>
      <c r="DE234" s="450">
        <v>64679508.694603741</v>
      </c>
      <c r="DF234" s="440">
        <v>44919142.479922339</v>
      </c>
      <c r="DG234" s="440">
        <v>9992702.9224999994</v>
      </c>
      <c r="DH234" s="440">
        <v>8908647.4123999998</v>
      </c>
      <c r="DI234" s="440">
        <v>8553213.6815428473</v>
      </c>
      <c r="DJ234" s="440">
        <v>4155324.7106648944</v>
      </c>
      <c r="DK234" s="440">
        <v>182336.14887084407</v>
      </c>
      <c r="DL234" s="440">
        <v>-504462</v>
      </c>
      <c r="DM234" s="440">
        <v>1341300</v>
      </c>
      <c r="DN234" s="440">
        <v>324459.87308498833</v>
      </c>
      <c r="DO234" s="457">
        <f t="shared" si="142"/>
        <v>13193156.534382164</v>
      </c>
      <c r="DP234" s="459">
        <f t="shared" si="143"/>
        <v>462.57692697949454</v>
      </c>
      <c r="DQ234" s="440"/>
      <c r="DR234" s="450">
        <v>172345700</v>
      </c>
      <c r="DS234" s="440">
        <v>113661175.24167643</v>
      </c>
      <c r="DT234" s="440">
        <v>13362971.118600002</v>
      </c>
      <c r="DU234" s="440">
        <v>35411431.756750852</v>
      </c>
      <c r="DV234" s="440">
        <v>13858569.440433711</v>
      </c>
      <c r="DW234" s="440">
        <v>10829540.922499999</v>
      </c>
      <c r="DX234" s="457">
        <f t="shared" si="144"/>
        <v>14777988.479960978</v>
      </c>
      <c r="DY234" s="459">
        <f t="shared" si="145"/>
        <v>518.14412117250367</v>
      </c>
      <c r="DZ234" s="440"/>
      <c r="EA234" s="457">
        <f t="shared" si="146"/>
        <v>-1584831.9455788136</v>
      </c>
      <c r="EB234" s="459">
        <f t="shared" si="147"/>
        <v>-55.567194193009136</v>
      </c>
      <c r="ED234" s="457">
        <v>1703642.2988672401</v>
      </c>
      <c r="EE234" s="458">
        <v>1238871.0733784882</v>
      </c>
      <c r="EF234" s="458">
        <v>780006.21245291666</v>
      </c>
      <c r="EG234" s="458">
        <v>318244.40616192744</v>
      </c>
      <c r="EH234" s="459">
        <v>-10984.715567573132</v>
      </c>
    </row>
    <row r="235" spans="1:138" x14ac:dyDescent="0.2">
      <c r="A235" s="67">
        <v>697</v>
      </c>
      <c r="B235" s="67" t="s">
        <v>352</v>
      </c>
      <c r="C235" s="67">
        <v>18</v>
      </c>
      <c r="D235" s="67">
        <v>1174</v>
      </c>
      <c r="E235" s="82">
        <v>3580662.8514489308</v>
      </c>
      <c r="F235" s="67">
        <v>1667156.8082627119</v>
      </c>
      <c r="G235" s="67">
        <v>830783</v>
      </c>
      <c r="H235" s="67">
        <v>434642.81316990842</v>
      </c>
      <c r="I235" s="67">
        <v>724072.70878581144</v>
      </c>
      <c r="J235" s="67">
        <v>291432.94267706352</v>
      </c>
      <c r="K235" s="67">
        <v>-109522.89187456362</v>
      </c>
      <c r="L235" s="67">
        <v>-257531</v>
      </c>
      <c r="M235" s="68">
        <v>9392.5400000000009</v>
      </c>
      <c r="N235" s="68">
        <v>10383.772692548086</v>
      </c>
      <c r="O235" s="68">
        <v>-34167.352170981765</v>
      </c>
      <c r="P235" s="168">
        <f t="shared" si="113"/>
        <v>-14019.50990643289</v>
      </c>
      <c r="Q235" s="169">
        <f t="shared" si="114"/>
        <v>-11.941660908375544</v>
      </c>
      <c r="R235" s="67"/>
      <c r="S235" s="82">
        <v>11442394.34</v>
      </c>
      <c r="T235" s="67">
        <v>3784633.616452625</v>
      </c>
      <c r="U235" s="67">
        <v>653247.40379596688</v>
      </c>
      <c r="V235" s="67">
        <v>5368947.8322101105</v>
      </c>
      <c r="W235" s="67">
        <v>971968.24665809888</v>
      </c>
      <c r="X235" s="67">
        <v>582644.54</v>
      </c>
      <c r="Y235" s="168">
        <f t="shared" si="115"/>
        <v>-80952.700883198529</v>
      </c>
      <c r="Z235" s="169">
        <f t="shared" si="116"/>
        <v>-68.954600411583073</v>
      </c>
      <c r="AA235" s="67"/>
      <c r="AB235" s="77">
        <f t="shared" si="117"/>
        <v>66933.190976765647</v>
      </c>
      <c r="AC235" s="123">
        <f t="shared" si="118"/>
        <v>57.012939503207534</v>
      </c>
      <c r="AE235" s="170"/>
      <c r="AF235" s="177">
        <v>-47975.289874421745</v>
      </c>
      <c r="AG235" s="177">
        <v>-33424.412892772198</v>
      </c>
      <c r="AH235" s="177">
        <v>-17602.412675224241</v>
      </c>
      <c r="AI235" s="178">
        <v>-5527.2669899150324</v>
      </c>
      <c r="AK235" s="67">
        <f t="shared" si="119"/>
        <v>2117476.8081899132</v>
      </c>
      <c r="AL235" s="67">
        <f t="shared" si="120"/>
        <v>218604.59062605846</v>
      </c>
      <c r="AM235" s="67">
        <f t="shared" si="121"/>
        <v>4644875.1234242991</v>
      </c>
      <c r="AN235" s="67">
        <f t="shared" si="122"/>
        <v>7861731.4885510691</v>
      </c>
      <c r="AO235" s="67">
        <f t="shared" si="123"/>
        <v>0</v>
      </c>
      <c r="AP235" s="67">
        <f t="shared" si="124"/>
        <v>-47975.289874421745</v>
      </c>
      <c r="AQ235" s="67">
        <f t="shared" si="125"/>
        <v>-33424.412892772198</v>
      </c>
      <c r="AR235" s="67">
        <f t="shared" si="126"/>
        <v>-17602.412675224241</v>
      </c>
      <c r="AS235" s="67">
        <f t="shared" si="127"/>
        <v>-5527.2669899150324</v>
      </c>
      <c r="AT235" s="68">
        <v>532</v>
      </c>
      <c r="AU235" s="68"/>
      <c r="AV235" s="68"/>
      <c r="AW235" s="68">
        <v>0</v>
      </c>
      <c r="AX235" s="68">
        <v>4152.6077908793923</v>
      </c>
      <c r="AY235" s="68">
        <v>-486.18526227196645</v>
      </c>
      <c r="AZ235" s="68">
        <v>680.47055100912792</v>
      </c>
      <c r="BA235" s="299"/>
      <c r="BB235" s="67"/>
      <c r="BC235" s="67"/>
      <c r="BD235" s="67"/>
      <c r="BE235" s="67"/>
      <c r="BF235" s="67"/>
      <c r="BG235" s="67"/>
      <c r="BH235" s="67"/>
      <c r="BN235" s="299"/>
      <c r="BO235" s="67">
        <v>3774169.899831702</v>
      </c>
      <c r="BP235" s="67">
        <v>7522239.3100000015</v>
      </c>
      <c r="BQ235" s="67">
        <v>7341000</v>
      </c>
      <c r="BR235" s="67">
        <v>174730.42</v>
      </c>
      <c r="BS235" s="67">
        <v>169000</v>
      </c>
      <c r="BT235" s="428">
        <v>0.55949320932541036</v>
      </c>
      <c r="BU235" s="428">
        <v>0.33464287704132489</v>
      </c>
      <c r="BV235" s="67">
        <f t="shared" si="128"/>
        <v>5215887.5355307702</v>
      </c>
      <c r="BW235" s="299"/>
      <c r="BX235" s="67">
        <v>11701182</v>
      </c>
      <c r="BY235" s="67">
        <v>3774169.899831702</v>
      </c>
      <c r="BZ235" s="67">
        <v>5449265.6739470391</v>
      </c>
      <c r="CA235" s="67">
        <v>3048294.3960516439</v>
      </c>
      <c r="CB235" s="67">
        <f t="shared" si="129"/>
        <v>-130602.19888055384</v>
      </c>
      <c r="CC235" s="67">
        <f t="shared" si="130"/>
        <v>-68.954600411583073</v>
      </c>
      <c r="CD235" s="67">
        <f t="shared" si="131"/>
        <v>-0.79341119373191205</v>
      </c>
      <c r="CE235" s="67">
        <f t="shared" si="132"/>
        <v>68.16118921785116</v>
      </c>
      <c r="CF235" s="67">
        <f t="shared" si="133"/>
        <v>-53.16118921785116</v>
      </c>
      <c r="CG235" s="67">
        <f t="shared" si="134"/>
        <v>-38.16118921785116</v>
      </c>
      <c r="CH235" s="67">
        <f t="shared" si="135"/>
        <v>-23.16118921785116</v>
      </c>
      <c r="CI235" s="67">
        <f t="shared" si="136"/>
        <v>-8.1611892178511596</v>
      </c>
      <c r="CJ235" s="67">
        <f t="shared" si="137"/>
        <v>-62411.236141757261</v>
      </c>
      <c r="CK235" s="67">
        <f t="shared" si="138"/>
        <v>-44801.236141757261</v>
      </c>
      <c r="CL235" s="67">
        <f t="shared" si="139"/>
        <v>-27191.236141757261</v>
      </c>
      <c r="CM235" s="67">
        <f t="shared" si="140"/>
        <v>-9581.2361417572611</v>
      </c>
      <c r="CN235" s="299"/>
      <c r="CO235" s="430">
        <v>3784.6336164526251</v>
      </c>
      <c r="CP235" s="430">
        <v>653.24740379596687</v>
      </c>
      <c r="CQ235" s="430">
        <v>830.78300000000002</v>
      </c>
      <c r="CR235" s="430">
        <v>5368947.8322101105</v>
      </c>
      <c r="CS235" s="430">
        <v>724072.70878581144</v>
      </c>
      <c r="CT235" s="430">
        <v>971968.24665809888</v>
      </c>
      <c r="CU235" s="430">
        <v>291432.94267706352</v>
      </c>
      <c r="CV235" s="430">
        <v>-257531</v>
      </c>
      <c r="CW235" s="430">
        <v>10383.772692548086</v>
      </c>
      <c r="CX235" s="430">
        <v>9392.5400000000009</v>
      </c>
      <c r="CY235" s="430">
        <v>3580662.8514489308</v>
      </c>
      <c r="CZ235" s="519"/>
      <c r="DA235" s="524">
        <v>3830.1134099999999</v>
      </c>
      <c r="DB235" s="524">
        <v>648.13853793424596</v>
      </c>
      <c r="DC235" s="520">
        <f t="shared" si="141"/>
        <v>-1</v>
      </c>
      <c r="DD235" s="440">
        <v>1210</v>
      </c>
      <c r="DE235" s="450">
        <v>3774169.899831702</v>
      </c>
      <c r="DF235" s="440">
        <v>1768070.7681516439</v>
      </c>
      <c r="DG235" s="440">
        <v>889172.95050000004</v>
      </c>
      <c r="DH235" s="440">
        <v>391050.67739999999</v>
      </c>
      <c r="DI235" s="440">
        <v>722139.92925274943</v>
      </c>
      <c r="DJ235" s="440">
        <v>291405.21281640953</v>
      </c>
      <c r="DK235" s="440">
        <v>-130762.00988030998</v>
      </c>
      <c r="DL235" s="440">
        <v>-257531</v>
      </c>
      <c r="DM235" s="440">
        <v>8500</v>
      </c>
      <c r="DN235" s="440">
        <v>10642.863575425405</v>
      </c>
      <c r="DO235" s="457">
        <f t="shared" si="142"/>
        <v>-81480.508015783504</v>
      </c>
      <c r="DP235" s="459">
        <f t="shared" si="143"/>
        <v>-67.339262822961572</v>
      </c>
      <c r="DQ235" s="440"/>
      <c r="DR235" s="450">
        <v>11701182</v>
      </c>
      <c r="DS235" s="440">
        <v>3973516.7073470391</v>
      </c>
      <c r="DT235" s="440">
        <v>586576.01610000001</v>
      </c>
      <c r="DU235" s="440">
        <v>5367023.3122101119</v>
      </c>
      <c r="DV235" s="440">
        <v>971875.7638255374</v>
      </c>
      <c r="DW235" s="440">
        <v>640141.95050000004</v>
      </c>
      <c r="DX235" s="457">
        <f t="shared" si="144"/>
        <v>-162048.25001731142</v>
      </c>
      <c r="DY235" s="459">
        <f t="shared" si="145"/>
        <v>-133.92417356802596</v>
      </c>
      <c r="DZ235" s="440"/>
      <c r="EA235" s="457">
        <f t="shared" si="146"/>
        <v>80567.74200152792</v>
      </c>
      <c r="EB235" s="459">
        <f t="shared" si="147"/>
        <v>66.584910745064391</v>
      </c>
      <c r="ED235" s="457">
        <v>-75527.227030838621</v>
      </c>
      <c r="EE235" s="458">
        <v>-58945.090459238396</v>
      </c>
      <c r="EF235" s="458">
        <v>-42112.377080322563</v>
      </c>
      <c r="EG235" s="458">
        <v>-25402.56626064923</v>
      </c>
      <c r="EH235" s="459">
        <v>-8433.7672403607121</v>
      </c>
    </row>
    <row r="236" spans="1:138" x14ac:dyDescent="0.2">
      <c r="A236" s="67">
        <v>698</v>
      </c>
      <c r="B236" s="67" t="s">
        <v>353</v>
      </c>
      <c r="C236" s="67">
        <v>19</v>
      </c>
      <c r="D236" s="67">
        <v>64535</v>
      </c>
      <c r="E236" s="82">
        <v>182151061.06039926</v>
      </c>
      <c r="F236" s="67">
        <v>103426806.85475178</v>
      </c>
      <c r="G236" s="67">
        <v>33842833</v>
      </c>
      <c r="H236" s="67">
        <v>12192976.32461717</v>
      </c>
      <c r="I236" s="67">
        <v>38062259.44541119</v>
      </c>
      <c r="J236" s="67">
        <v>9523173.4182633981</v>
      </c>
      <c r="K236" s="67">
        <v>-21050866.220237911</v>
      </c>
      <c r="L236" s="67">
        <v>-3440286</v>
      </c>
      <c r="M236" s="68">
        <v>11929613.98</v>
      </c>
      <c r="N236" s="68">
        <v>656448.18377487245</v>
      </c>
      <c r="O236" s="68">
        <v>-1878185.7515794788</v>
      </c>
      <c r="P236" s="168">
        <f t="shared" si="113"/>
        <v>1113712.1746017481</v>
      </c>
      <c r="Q236" s="169">
        <f t="shared" si="114"/>
        <v>17.257490890241701</v>
      </c>
      <c r="R236" s="67"/>
      <c r="S236" s="82">
        <v>445845742.56999993</v>
      </c>
      <c r="T236" s="67">
        <v>244978254.77931786</v>
      </c>
      <c r="U236" s="67">
        <v>18325461.476083826</v>
      </c>
      <c r="V236" s="67">
        <v>95574042.340892568</v>
      </c>
      <c r="W236" s="67">
        <v>31761070.265235242</v>
      </c>
      <c r="X236" s="67">
        <v>42332160.980000004</v>
      </c>
      <c r="Y236" s="168">
        <f t="shared" si="115"/>
        <v>-12874752.728470445</v>
      </c>
      <c r="Z236" s="169">
        <f t="shared" si="116"/>
        <v>-199.50031344960789</v>
      </c>
      <c r="AA236" s="67"/>
      <c r="AB236" s="77">
        <f t="shared" si="117"/>
        <v>13988464.903072193</v>
      </c>
      <c r="AC236" s="123">
        <f t="shared" si="118"/>
        <v>216.7578043398496</v>
      </c>
      <c r="AE236" s="170"/>
      <c r="AF236" s="177">
        <v>-12946345.526888374</v>
      </c>
      <c r="AG236" s="177">
        <v>-12146481.092466949</v>
      </c>
      <c r="AH236" s="177">
        <v>-11276742.775567923</v>
      </c>
      <c r="AI236" s="178">
        <v>-10420199.805281831</v>
      </c>
      <c r="AK236" s="67">
        <f t="shared" si="119"/>
        <v>141551447.92456609</v>
      </c>
      <c r="AL236" s="67">
        <f t="shared" si="120"/>
        <v>6132485.1514666565</v>
      </c>
      <c r="AM236" s="67">
        <f t="shared" si="121"/>
        <v>57511782.895481378</v>
      </c>
      <c r="AN236" s="67">
        <f t="shared" si="122"/>
        <v>263694681.50960067</v>
      </c>
      <c r="AO236" s="67">
        <f t="shared" si="123"/>
        <v>0</v>
      </c>
      <c r="AP236" s="67">
        <f t="shared" si="124"/>
        <v>-12946345.526888374</v>
      </c>
      <c r="AQ236" s="67">
        <f t="shared" si="125"/>
        <v>-12146481.092466949</v>
      </c>
      <c r="AR236" s="67">
        <f t="shared" si="126"/>
        <v>-11276742.775567923</v>
      </c>
      <c r="AS236" s="67">
        <f t="shared" si="127"/>
        <v>-10420199.805281831</v>
      </c>
      <c r="AT236" s="68">
        <v>15050</v>
      </c>
      <c r="AU236" s="68"/>
      <c r="AV236" s="68"/>
      <c r="AW236" s="68">
        <v>0</v>
      </c>
      <c r="AX236" s="68">
        <v>49434.497505924148</v>
      </c>
      <c r="AY236" s="68">
        <v>-8031.8394791375449</v>
      </c>
      <c r="AZ236" s="68">
        <v>22295.780799656241</v>
      </c>
      <c r="BA236" s="299"/>
      <c r="BB236" s="67"/>
      <c r="BC236" s="67"/>
      <c r="BD236" s="67"/>
      <c r="BE236" s="67"/>
      <c r="BF236" s="67"/>
      <c r="BG236" s="67"/>
      <c r="BH236" s="67"/>
      <c r="BN236" s="299"/>
      <c r="BO236" s="67">
        <v>174441441.43971613</v>
      </c>
      <c r="BP236" s="67">
        <v>228117816.81999999</v>
      </c>
      <c r="BQ236" s="67">
        <v>271352000</v>
      </c>
      <c r="BR236" s="67">
        <v>5062046</v>
      </c>
      <c r="BS236" s="67">
        <v>5536000</v>
      </c>
      <c r="BT236" s="428">
        <v>0.57781229624677888</v>
      </c>
      <c r="BU236" s="428">
        <v>0.33464287704132489</v>
      </c>
      <c r="BV236" s="67">
        <f t="shared" si="128"/>
        <v>58698813.522215307</v>
      </c>
      <c r="BW236" s="299"/>
      <c r="BX236" s="67">
        <v>427219577</v>
      </c>
      <c r="BY236" s="67">
        <v>174441441.43971613</v>
      </c>
      <c r="BZ236" s="67">
        <v>291046358.2310276</v>
      </c>
      <c r="CA236" s="67">
        <v>147884345.84941709</v>
      </c>
      <c r="CB236" s="67">
        <f t="shared" si="129"/>
        <v>-18323071.27764117</v>
      </c>
      <c r="CC236" s="67">
        <f t="shared" si="130"/>
        <v>-199.50031344960789</v>
      </c>
      <c r="CD236" s="67">
        <f t="shared" si="131"/>
        <v>88.629315391306704</v>
      </c>
      <c r="CE236" s="67">
        <f t="shared" si="132"/>
        <v>288.12962884091462</v>
      </c>
      <c r="CF236" s="67">
        <f t="shared" si="133"/>
        <v>-273.12962884091462</v>
      </c>
      <c r="CG236" s="67">
        <f t="shared" si="134"/>
        <v>-258.12962884091462</v>
      </c>
      <c r="CH236" s="67">
        <f t="shared" si="135"/>
        <v>-243.12962884091462</v>
      </c>
      <c r="CI236" s="67">
        <f t="shared" si="136"/>
        <v>-228.12962884091462</v>
      </c>
      <c r="CJ236" s="67">
        <f t="shared" si="137"/>
        <v>-17626420.597248424</v>
      </c>
      <c r="CK236" s="67">
        <f t="shared" si="138"/>
        <v>-16658395.597248426</v>
      </c>
      <c r="CL236" s="67">
        <f t="shared" si="139"/>
        <v>-15690370.597248426</v>
      </c>
      <c r="CM236" s="67">
        <f t="shared" si="140"/>
        <v>-14722345.597248426</v>
      </c>
      <c r="CN236" s="299"/>
      <c r="CO236" s="430">
        <v>244978.25477931785</v>
      </c>
      <c r="CP236" s="430">
        <v>18325.461476083827</v>
      </c>
      <c r="CQ236" s="430">
        <v>33842.832999999999</v>
      </c>
      <c r="CR236" s="430">
        <v>95574042.340892568</v>
      </c>
      <c r="CS236" s="430">
        <v>38062259.44541119</v>
      </c>
      <c r="CT236" s="430">
        <v>31761070.265235242</v>
      </c>
      <c r="CU236" s="430">
        <v>9523173.4182633981</v>
      </c>
      <c r="CV236" s="430">
        <v>-3440286</v>
      </c>
      <c r="CW236" s="430">
        <v>656448.18377487245</v>
      </c>
      <c r="CX236" s="430">
        <v>11929613.98</v>
      </c>
      <c r="CY236" s="430">
        <v>182151061.06039926</v>
      </c>
      <c r="CZ236" s="519"/>
      <c r="DA236" s="524">
        <v>247783.15219999998</v>
      </c>
      <c r="DB236" s="524">
        <v>18182.163546215226</v>
      </c>
      <c r="DC236" s="520">
        <f t="shared" si="141"/>
        <v>-1</v>
      </c>
      <c r="DD236" s="440">
        <v>64180</v>
      </c>
      <c r="DE236" s="450">
        <v>174441441.43971613</v>
      </c>
      <c r="DF236" s="440">
        <v>102765371.65401709</v>
      </c>
      <c r="DG236" s="440">
        <v>34148882.187000006</v>
      </c>
      <c r="DH236" s="440">
        <v>10970092.008400001</v>
      </c>
      <c r="DI236" s="440">
        <v>37962270.768640071</v>
      </c>
      <c r="DJ236" s="440">
        <v>9547961.6850379929</v>
      </c>
      <c r="DK236" s="440">
        <v>-18309719.873889558</v>
      </c>
      <c r="DL236" s="440">
        <v>-3819856</v>
      </c>
      <c r="DM236" s="440">
        <v>11449000</v>
      </c>
      <c r="DN236" s="440">
        <v>634598.91460943373</v>
      </c>
      <c r="DO236" s="457">
        <f t="shared" si="142"/>
        <v>10907159.904098898</v>
      </c>
      <c r="DP236" s="459">
        <f t="shared" si="143"/>
        <v>169.94639925364442</v>
      </c>
      <c r="DQ236" s="440"/>
      <c r="DR236" s="450">
        <v>427219577</v>
      </c>
      <c r="DS236" s="440">
        <v>240442338.03142759</v>
      </c>
      <c r="DT236" s="440">
        <v>16455138.012599999</v>
      </c>
      <c r="DU236" s="440">
        <v>95474294.180892482</v>
      </c>
      <c r="DV236" s="440">
        <v>31843742.484694231</v>
      </c>
      <c r="DW236" s="440">
        <v>41778026.187000006</v>
      </c>
      <c r="DX236" s="457">
        <f t="shared" si="144"/>
        <v>-1226038.1033856869</v>
      </c>
      <c r="DY236" s="459">
        <f t="shared" si="145"/>
        <v>-19.103117846458193</v>
      </c>
      <c r="DZ236" s="440"/>
      <c r="EA236" s="457">
        <f t="shared" si="146"/>
        <v>12133198.007484585</v>
      </c>
      <c r="EB236" s="459">
        <f t="shared" si="147"/>
        <v>189.04951710010261</v>
      </c>
      <c r="ED236" s="457">
        <v>-11865842.428295486</v>
      </c>
      <c r="EE236" s="458">
        <v>-10986303.97774565</v>
      </c>
      <c r="EF236" s="458">
        <v>-10093474.601994561</v>
      </c>
      <c r="EG236" s="458">
        <v>-9207164.1405014731</v>
      </c>
      <c r="EH236" s="459">
        <v>-8307116.6023840215</v>
      </c>
    </row>
    <row r="237" spans="1:138" x14ac:dyDescent="0.2">
      <c r="A237" s="67">
        <v>700</v>
      </c>
      <c r="B237" s="67" t="s">
        <v>354</v>
      </c>
      <c r="C237" s="67">
        <v>9</v>
      </c>
      <c r="D237" s="67">
        <v>4842</v>
      </c>
      <c r="E237" s="82">
        <v>11873870.574868567</v>
      </c>
      <c r="F237" s="67">
        <v>6926010.9287993647</v>
      </c>
      <c r="G237" s="67">
        <v>1873807</v>
      </c>
      <c r="H237" s="67">
        <v>1494898.5207600219</v>
      </c>
      <c r="I237" s="67">
        <v>504870.03356075136</v>
      </c>
      <c r="J237" s="67">
        <v>831703.77833160409</v>
      </c>
      <c r="K237" s="67">
        <v>150130.40342345473</v>
      </c>
      <c r="L237" s="67">
        <v>-1000953</v>
      </c>
      <c r="M237" s="68">
        <v>-122590</v>
      </c>
      <c r="N237" s="68">
        <v>51421.131708406494</v>
      </c>
      <c r="O237" s="68">
        <v>-140918.50018048869</v>
      </c>
      <c r="P237" s="168">
        <f t="shared" si="113"/>
        <v>-1305490.2784654519</v>
      </c>
      <c r="Q237" s="169">
        <f t="shared" si="114"/>
        <v>-269.6179839870822</v>
      </c>
      <c r="R237" s="67"/>
      <c r="S237" s="82">
        <v>34958496.000000007</v>
      </c>
      <c r="T237" s="67">
        <v>17742578.490105342</v>
      </c>
      <c r="U237" s="67">
        <v>2246761.1289897757</v>
      </c>
      <c r="V237" s="67">
        <v>10563876.860096386</v>
      </c>
      <c r="W237" s="67">
        <v>2773844.493138378</v>
      </c>
      <c r="X237" s="67">
        <v>750264</v>
      </c>
      <c r="Y237" s="168">
        <f t="shared" si="115"/>
        <v>-881171.02767012268</v>
      </c>
      <c r="Z237" s="169">
        <f t="shared" si="116"/>
        <v>-181.98492929990141</v>
      </c>
      <c r="AA237" s="67"/>
      <c r="AB237" s="77">
        <f t="shared" si="117"/>
        <v>-424319.25079532922</v>
      </c>
      <c r="AC237" s="123">
        <f t="shared" si="118"/>
        <v>-87.63305468718076</v>
      </c>
      <c r="AE237" s="170"/>
      <c r="AF237" s="177">
        <v>357248.48174724606</v>
      </c>
      <c r="AG237" s="177">
        <v>272001.5535914941</v>
      </c>
      <c r="AH237" s="177">
        <v>191997.19673746274</v>
      </c>
      <c r="AI237" s="178">
        <v>111002.8055098382</v>
      </c>
      <c r="AK237" s="67">
        <f t="shared" si="119"/>
        <v>10816567.561305977</v>
      </c>
      <c r="AL237" s="67">
        <f t="shared" si="120"/>
        <v>751862.60822975379</v>
      </c>
      <c r="AM237" s="67">
        <f t="shared" si="121"/>
        <v>10059006.826535635</v>
      </c>
      <c r="AN237" s="67">
        <f t="shared" si="122"/>
        <v>23084625.42513144</v>
      </c>
      <c r="AO237" s="67">
        <f t="shared" si="123"/>
        <v>0</v>
      </c>
      <c r="AP237" s="67">
        <f t="shared" si="124"/>
        <v>357248.48174724606</v>
      </c>
      <c r="AQ237" s="67">
        <f t="shared" si="125"/>
        <v>272001.5535914941</v>
      </c>
      <c r="AR237" s="67">
        <f t="shared" si="126"/>
        <v>191997.19673746274</v>
      </c>
      <c r="AS237" s="67">
        <f t="shared" si="127"/>
        <v>111002.8055098382</v>
      </c>
      <c r="AT237" s="68">
        <v>1819</v>
      </c>
      <c r="AU237" s="68"/>
      <c r="AV237" s="68"/>
      <c r="AW237" s="68">
        <v>0</v>
      </c>
      <c r="AX237" s="68">
        <v>9685.9248360234906</v>
      </c>
      <c r="AY237" s="68">
        <v>-48.849675332455377</v>
      </c>
      <c r="AZ237" s="68">
        <v>1953.3464570390568</v>
      </c>
      <c r="BA237" s="299"/>
      <c r="BB237" s="67"/>
      <c r="BC237" s="67"/>
      <c r="BD237" s="67"/>
      <c r="BE237" s="67"/>
      <c r="BF237" s="67"/>
      <c r="BG237" s="67"/>
      <c r="BH237" s="67"/>
      <c r="BN237" s="299"/>
      <c r="BO237" s="67">
        <v>12188317.580846973</v>
      </c>
      <c r="BP237" s="67">
        <v>21714542.650000002</v>
      </c>
      <c r="BQ237" s="67">
        <v>22068000</v>
      </c>
      <c r="BR237" s="67">
        <v>417484.91</v>
      </c>
      <c r="BS237" s="67">
        <v>453000</v>
      </c>
      <c r="BT237" s="428">
        <v>0.60963898608864242</v>
      </c>
      <c r="BU237" s="428">
        <v>0.33464287704132489</v>
      </c>
      <c r="BV237" s="67">
        <f t="shared" si="128"/>
        <v>12151277.944765864</v>
      </c>
      <c r="BW237" s="299"/>
      <c r="BX237" s="67">
        <v>35212710</v>
      </c>
      <c r="BY237" s="67">
        <v>12188317.580846973</v>
      </c>
      <c r="BZ237" s="67">
        <v>22238187.418903165</v>
      </c>
      <c r="CA237" s="67">
        <v>10442795.041491676</v>
      </c>
      <c r="CB237" s="67">
        <f t="shared" si="129"/>
        <v>243359.45405982886</v>
      </c>
      <c r="CC237" s="67">
        <f t="shared" si="130"/>
        <v>-181.98492929990229</v>
      </c>
      <c r="CD237" s="67">
        <f t="shared" si="131"/>
        <v>-221.26037332684638</v>
      </c>
      <c r="CE237" s="67">
        <f t="shared" si="132"/>
        <v>-39.275444026944086</v>
      </c>
      <c r="CF237" s="67">
        <f t="shared" si="133"/>
        <v>24.275444026944086</v>
      </c>
      <c r="CG237" s="67">
        <f t="shared" si="134"/>
        <v>9.2754440269440863</v>
      </c>
      <c r="CH237" s="67">
        <f t="shared" si="135"/>
        <v>0</v>
      </c>
      <c r="CI237" s="67">
        <f t="shared" si="136"/>
        <v>0</v>
      </c>
      <c r="CJ237" s="67">
        <f t="shared" si="137"/>
        <v>117541.69997846326</v>
      </c>
      <c r="CK237" s="67">
        <f t="shared" si="138"/>
        <v>44911.699978463264</v>
      </c>
      <c r="CL237" s="67">
        <f t="shared" si="139"/>
        <v>0</v>
      </c>
      <c r="CM237" s="67">
        <f t="shared" si="140"/>
        <v>0</v>
      </c>
      <c r="CN237" s="299"/>
      <c r="CO237" s="430">
        <v>17742.578490105341</v>
      </c>
      <c r="CP237" s="430">
        <v>2246.7611289897754</v>
      </c>
      <c r="CQ237" s="430">
        <v>1873.807</v>
      </c>
      <c r="CR237" s="430">
        <v>10563876.860096386</v>
      </c>
      <c r="CS237" s="430">
        <v>504870.03356075136</v>
      </c>
      <c r="CT237" s="430">
        <v>2773844.493138378</v>
      </c>
      <c r="CU237" s="430">
        <v>831703.77833160409</v>
      </c>
      <c r="CV237" s="430">
        <v>-1000953</v>
      </c>
      <c r="CW237" s="430">
        <v>51421.131708406494</v>
      </c>
      <c r="CX237" s="430">
        <v>-122590</v>
      </c>
      <c r="CY237" s="430">
        <v>11873870.574868567</v>
      </c>
      <c r="CZ237" s="519"/>
      <c r="DA237" s="524">
        <v>18151.55586</v>
      </c>
      <c r="DB237" s="524">
        <v>2229.1893728474111</v>
      </c>
      <c r="DC237" s="520">
        <f t="shared" si="141"/>
        <v>-1</v>
      </c>
      <c r="DD237" s="440">
        <v>4913</v>
      </c>
      <c r="DE237" s="450">
        <v>12188317.580846973</v>
      </c>
      <c r="DF237" s="440">
        <v>7214418.3559916746</v>
      </c>
      <c r="DG237" s="440">
        <v>1883407.7559000002</v>
      </c>
      <c r="DH237" s="440">
        <v>1344968.9296000001</v>
      </c>
      <c r="DI237" s="440">
        <v>497140.78283538268</v>
      </c>
      <c r="DJ237" s="440">
        <v>836502.53368570888</v>
      </c>
      <c r="DK237" s="440">
        <v>242837.30904163822</v>
      </c>
      <c r="DL237" s="440">
        <v>-1000953</v>
      </c>
      <c r="DM237" s="440">
        <v>-98200</v>
      </c>
      <c r="DN237" s="440">
        <v>52285.81992927636</v>
      </c>
      <c r="DO237" s="457">
        <f t="shared" si="142"/>
        <v>-1215909.0938632917</v>
      </c>
      <c r="DP237" s="459">
        <f t="shared" si="143"/>
        <v>-247.4881119200675</v>
      </c>
      <c r="DQ237" s="440"/>
      <c r="DR237" s="450">
        <v>35212710</v>
      </c>
      <c r="DS237" s="440">
        <v>18337326.268603165</v>
      </c>
      <c r="DT237" s="440">
        <v>2017453.3944000001</v>
      </c>
      <c r="DU237" s="440">
        <v>10556172.220096385</v>
      </c>
      <c r="DV237" s="440">
        <v>2789848.9907247657</v>
      </c>
      <c r="DW237" s="440">
        <v>784254.75590000022</v>
      </c>
      <c r="DX237" s="457">
        <f t="shared" si="144"/>
        <v>-727654.3702756837</v>
      </c>
      <c r="DY237" s="459">
        <f t="shared" si="145"/>
        <v>-148.10795242737302</v>
      </c>
      <c r="DZ237" s="440"/>
      <c r="EA237" s="457">
        <f t="shared" si="146"/>
        <v>-488254.72358760796</v>
      </c>
      <c r="EB237" s="459">
        <f t="shared" si="147"/>
        <v>-99.380159492694474</v>
      </c>
      <c r="ED237" s="457">
        <v>508720.88065454527</v>
      </c>
      <c r="EE237" s="458">
        <v>428659.83683328249</v>
      </c>
      <c r="EF237" s="458">
        <v>349616.21768502914</v>
      </c>
      <c r="EG237" s="458">
        <v>270073.57351730607</v>
      </c>
      <c r="EH237" s="459">
        <v>191582.5070600147</v>
      </c>
    </row>
    <row r="238" spans="1:138" x14ac:dyDescent="0.2">
      <c r="A238" s="67">
        <v>702</v>
      </c>
      <c r="B238" s="67" t="s">
        <v>355</v>
      </c>
      <c r="C238" s="67">
        <v>6</v>
      </c>
      <c r="D238" s="67">
        <v>4114</v>
      </c>
      <c r="E238" s="82">
        <v>13171876.720926348</v>
      </c>
      <c r="F238" s="67">
        <v>5721764.8481551521</v>
      </c>
      <c r="G238" s="67">
        <v>1976537</v>
      </c>
      <c r="H238" s="67">
        <v>1480739.2771149084</v>
      </c>
      <c r="I238" s="67">
        <v>1154107.2994897754</v>
      </c>
      <c r="J238" s="67">
        <v>896641.1792673138</v>
      </c>
      <c r="K238" s="67">
        <v>726591.82922375575</v>
      </c>
      <c r="L238" s="67">
        <v>-792365</v>
      </c>
      <c r="M238" s="68">
        <v>-86939.55</v>
      </c>
      <c r="N238" s="68">
        <v>35324.082734732634</v>
      </c>
      <c r="O238" s="68">
        <v>-119731.2494305102</v>
      </c>
      <c r="P238" s="168">
        <f t="shared" si="113"/>
        <v>-2179207.0043712212</v>
      </c>
      <c r="Q238" s="169">
        <f t="shared" si="114"/>
        <v>-529.70515419815774</v>
      </c>
      <c r="R238" s="67"/>
      <c r="S238" s="82">
        <v>33880176.339999996</v>
      </c>
      <c r="T238" s="67">
        <v>12924032.429213978</v>
      </c>
      <c r="U238" s="67">
        <v>2225480.4615759351</v>
      </c>
      <c r="V238" s="67">
        <v>12751156.041159039</v>
      </c>
      <c r="W238" s="67">
        <v>2990419.5005834214</v>
      </c>
      <c r="X238" s="67">
        <v>1097232.45</v>
      </c>
      <c r="Y238" s="168">
        <f t="shared" si="115"/>
        <v>-1891855.4574676193</v>
      </c>
      <c r="Z238" s="169">
        <f t="shared" si="116"/>
        <v>-459.85791382295076</v>
      </c>
      <c r="AA238" s="67"/>
      <c r="AB238" s="77">
        <f t="shared" si="117"/>
        <v>-287351.54690360185</v>
      </c>
      <c r="AC238" s="123">
        <f t="shared" si="118"/>
        <v>-69.847240375207065</v>
      </c>
      <c r="AE238" s="170"/>
      <c r="AF238" s="177">
        <v>230364.94139681858</v>
      </c>
      <c r="AG238" s="177">
        <v>157934.98219963483</v>
      </c>
      <c r="AH238" s="177">
        <v>89959.367970497071</v>
      </c>
      <c r="AI238" s="178">
        <v>21142.572119516622</v>
      </c>
      <c r="AK238" s="67">
        <f t="shared" si="119"/>
        <v>7202267.5810588263</v>
      </c>
      <c r="AL238" s="67">
        <f t="shared" si="120"/>
        <v>744741.18446102669</v>
      </c>
      <c r="AM238" s="67">
        <f t="shared" si="121"/>
        <v>11597048.741669264</v>
      </c>
      <c r="AN238" s="67">
        <f t="shared" si="122"/>
        <v>20708299.619073648</v>
      </c>
      <c r="AO238" s="67">
        <f t="shared" si="123"/>
        <v>0</v>
      </c>
      <c r="AP238" s="67">
        <f t="shared" si="124"/>
        <v>230364.94139681858</v>
      </c>
      <c r="AQ238" s="67">
        <f t="shared" si="125"/>
        <v>157934.98219963483</v>
      </c>
      <c r="AR238" s="67">
        <f t="shared" si="126"/>
        <v>89959.367970497071</v>
      </c>
      <c r="AS238" s="67">
        <f t="shared" si="127"/>
        <v>21142.572119516622</v>
      </c>
      <c r="AT238" s="68">
        <v>1245</v>
      </c>
      <c r="AU238" s="68"/>
      <c r="AV238" s="68"/>
      <c r="AW238" s="68">
        <v>0</v>
      </c>
      <c r="AX238" s="68">
        <v>10275.101464197889</v>
      </c>
      <c r="AY238" s="68">
        <v>-1518.990283383619</v>
      </c>
      <c r="AZ238" s="68">
        <v>2097.1731570080901</v>
      </c>
      <c r="BA238" s="299"/>
      <c r="BB238" s="67"/>
      <c r="BC238" s="67"/>
      <c r="BD238" s="67"/>
      <c r="BE238" s="67"/>
      <c r="BF238" s="67"/>
      <c r="BG238" s="67"/>
      <c r="BH238" s="67"/>
      <c r="BN238" s="299"/>
      <c r="BO238" s="67">
        <v>12959234.236704394</v>
      </c>
      <c r="BP238" s="67">
        <v>18748998.02</v>
      </c>
      <c r="BQ238" s="67">
        <v>20623000</v>
      </c>
      <c r="BR238" s="67">
        <v>342714.24</v>
      </c>
      <c r="BS238" s="67">
        <v>342000</v>
      </c>
      <c r="BT238" s="428">
        <v>0.55727712078302627</v>
      </c>
      <c r="BU238" s="428">
        <v>0.33464287704132489</v>
      </c>
      <c r="BV238" s="67">
        <f t="shared" si="128"/>
        <v>14417418.892209128</v>
      </c>
      <c r="BW238" s="299"/>
      <c r="BX238" s="67">
        <v>33991516</v>
      </c>
      <c r="BY238" s="67">
        <v>12959234.236704394</v>
      </c>
      <c r="BZ238" s="67">
        <v>17517391.982218437</v>
      </c>
      <c r="CA238" s="67">
        <v>9345875.5743111558</v>
      </c>
      <c r="CB238" s="67">
        <f t="shared" si="129"/>
        <v>596034.362936461</v>
      </c>
      <c r="CC238" s="67">
        <f t="shared" si="130"/>
        <v>-459.85791382295105</v>
      </c>
      <c r="CD238" s="67">
        <f t="shared" si="131"/>
        <v>-532.33670909771627</v>
      </c>
      <c r="CE238" s="67">
        <f t="shared" si="132"/>
        <v>-72.478795274765218</v>
      </c>
      <c r="CF238" s="67">
        <f t="shared" si="133"/>
        <v>57.478795274765218</v>
      </c>
      <c r="CG238" s="67">
        <f t="shared" si="134"/>
        <v>42.478795274765218</v>
      </c>
      <c r="CH238" s="67">
        <f t="shared" si="135"/>
        <v>27.478795274765218</v>
      </c>
      <c r="CI238" s="67">
        <f t="shared" si="136"/>
        <v>12.478795274765218</v>
      </c>
      <c r="CJ238" s="67">
        <f t="shared" si="137"/>
        <v>236467.76376038411</v>
      </c>
      <c r="CK238" s="67">
        <f t="shared" si="138"/>
        <v>174757.76376038411</v>
      </c>
      <c r="CL238" s="67">
        <f t="shared" si="139"/>
        <v>113047.76376038411</v>
      </c>
      <c r="CM238" s="67">
        <f t="shared" si="140"/>
        <v>51337.763760384107</v>
      </c>
      <c r="CN238" s="299"/>
      <c r="CO238" s="430">
        <v>12924.032429213978</v>
      </c>
      <c r="CP238" s="430">
        <v>2225.4804615759354</v>
      </c>
      <c r="CQ238" s="430">
        <v>1976.537</v>
      </c>
      <c r="CR238" s="430">
        <v>12751156.041159039</v>
      </c>
      <c r="CS238" s="430">
        <v>1154107.2994897754</v>
      </c>
      <c r="CT238" s="430">
        <v>2990419.5005834214</v>
      </c>
      <c r="CU238" s="430">
        <v>896641.1792673138</v>
      </c>
      <c r="CV238" s="430">
        <v>-792365</v>
      </c>
      <c r="CW238" s="430">
        <v>35324.082734732634</v>
      </c>
      <c r="CX238" s="430">
        <v>-86939.55</v>
      </c>
      <c r="CY238" s="430">
        <v>13171876.720926348</v>
      </c>
      <c r="CZ238" s="519"/>
      <c r="DA238" s="524">
        <v>13310.896949999998</v>
      </c>
      <c r="DB238" s="524">
        <v>2208.0766044060624</v>
      </c>
      <c r="DC238" s="520">
        <f t="shared" si="141"/>
        <v>-1</v>
      </c>
      <c r="DD238" s="440">
        <v>4155</v>
      </c>
      <c r="DE238" s="450">
        <v>12959234.236704394</v>
      </c>
      <c r="DF238" s="440">
        <v>6026729.2274111556</v>
      </c>
      <c r="DG238" s="440">
        <v>1986916.5715000001</v>
      </c>
      <c r="DH238" s="440">
        <v>1332229.7753999999</v>
      </c>
      <c r="DI238" s="440">
        <v>1147507.1483980583</v>
      </c>
      <c r="DJ238" s="440">
        <v>898094.98621874396</v>
      </c>
      <c r="DK238" s="440">
        <v>595501.04167854588</v>
      </c>
      <c r="DL238" s="440">
        <v>-912196</v>
      </c>
      <c r="DM238" s="440">
        <v>-63500</v>
      </c>
      <c r="DN238" s="440">
        <v>36222.146901291017</v>
      </c>
      <c r="DO238" s="457">
        <f t="shared" si="142"/>
        <v>-1911729.3391966</v>
      </c>
      <c r="DP238" s="459">
        <f t="shared" si="143"/>
        <v>-460.10333073323704</v>
      </c>
      <c r="DQ238" s="440"/>
      <c r="DR238" s="450">
        <v>33991516</v>
      </c>
      <c r="DS238" s="440">
        <v>13532130.747618437</v>
      </c>
      <c r="DT238" s="440">
        <v>1998344.6631</v>
      </c>
      <c r="DU238" s="440">
        <v>12744582.581159033</v>
      </c>
      <c r="DV238" s="440">
        <v>2995268.143226834</v>
      </c>
      <c r="DW238" s="440">
        <v>1011220.5715000001</v>
      </c>
      <c r="DX238" s="457">
        <f t="shared" si="144"/>
        <v>-1709969.2933956981</v>
      </c>
      <c r="DY238" s="459">
        <f t="shared" si="145"/>
        <v>-411.54495629258679</v>
      </c>
      <c r="DZ238" s="440"/>
      <c r="EA238" s="457">
        <f t="shared" si="146"/>
        <v>-201760.04580090195</v>
      </c>
      <c r="EB238" s="459">
        <f t="shared" si="147"/>
        <v>-48.55837444065029</v>
      </c>
      <c r="ED238" s="457">
        <v>219068.59101017009</v>
      </c>
      <c r="EE238" s="458">
        <v>151359.72940273123</v>
      </c>
      <c r="EF238" s="458">
        <v>84511.319559256255</v>
      </c>
      <c r="EG238" s="458">
        <v>17240.876547473348</v>
      </c>
      <c r="EH238" s="459">
        <v>-1600.2767498778571</v>
      </c>
    </row>
    <row r="239" spans="1:138" x14ac:dyDescent="0.2">
      <c r="A239" s="67">
        <v>704</v>
      </c>
      <c r="B239" s="67" t="s">
        <v>356</v>
      </c>
      <c r="C239" s="67">
        <v>2</v>
      </c>
      <c r="D239" s="67">
        <v>6428</v>
      </c>
      <c r="E239" s="82">
        <v>17464120.634174656</v>
      </c>
      <c r="F239" s="67">
        <v>9421383.4952545855</v>
      </c>
      <c r="G239" s="67">
        <v>1257248</v>
      </c>
      <c r="H239" s="67">
        <v>1024945.4092888996</v>
      </c>
      <c r="I239" s="67">
        <v>4311862.0769029064</v>
      </c>
      <c r="J239" s="67">
        <v>860100.61637865775</v>
      </c>
      <c r="K239" s="67">
        <v>698817.25875291473</v>
      </c>
      <c r="L239" s="67">
        <v>-971431</v>
      </c>
      <c r="M239" s="68">
        <v>34966.39</v>
      </c>
      <c r="N239" s="68">
        <v>74316.686874530511</v>
      </c>
      <c r="O239" s="68">
        <v>-187076.43931437033</v>
      </c>
      <c r="P239" s="168">
        <f t="shared" si="113"/>
        <v>-938988.14003653196</v>
      </c>
      <c r="Q239" s="169">
        <f t="shared" si="114"/>
        <v>-146.07780647736962</v>
      </c>
      <c r="R239" s="67"/>
      <c r="S239" s="82">
        <v>37063152.069999993</v>
      </c>
      <c r="T239" s="67">
        <v>25625225.228730932</v>
      </c>
      <c r="U239" s="67">
        <v>1540444.0321180092</v>
      </c>
      <c r="V239" s="67">
        <v>5896874.5718143936</v>
      </c>
      <c r="W239" s="67">
        <v>2868551.7854358489</v>
      </c>
      <c r="X239" s="67">
        <v>320783.39</v>
      </c>
      <c r="Y239" s="168">
        <f t="shared" si="115"/>
        <v>-811273.06190080941</v>
      </c>
      <c r="Z239" s="169">
        <f t="shared" si="116"/>
        <v>-126.20925045127713</v>
      </c>
      <c r="AA239" s="67"/>
      <c r="AB239" s="77">
        <f t="shared" si="117"/>
        <v>-127715.07813572255</v>
      </c>
      <c r="AC239" s="123">
        <f t="shared" si="118"/>
        <v>-19.868556026092495</v>
      </c>
      <c r="AE239" s="170"/>
      <c r="AF239" s="177">
        <v>38675.238515500772</v>
      </c>
      <c r="AG239" s="177">
        <v>-9369.45014999255</v>
      </c>
      <c r="AH239" s="177">
        <v>-19159.282008256389</v>
      </c>
      <c r="AI239" s="178">
        <v>-30263.434592141253</v>
      </c>
      <c r="AK239" s="67">
        <f t="shared" si="119"/>
        <v>16203841.733476346</v>
      </c>
      <c r="AL239" s="67">
        <f t="shared" si="120"/>
        <v>515498.62282910955</v>
      </c>
      <c r="AM239" s="67">
        <f t="shared" si="121"/>
        <v>1585012.4949114872</v>
      </c>
      <c r="AN239" s="67">
        <f t="shared" si="122"/>
        <v>19599031.435825337</v>
      </c>
      <c r="AO239" s="67">
        <f t="shared" si="123"/>
        <v>0</v>
      </c>
      <c r="AP239" s="67">
        <f t="shared" si="124"/>
        <v>38675.238515500772</v>
      </c>
      <c r="AQ239" s="67">
        <f t="shared" si="125"/>
        <v>-9369.45014999255</v>
      </c>
      <c r="AR239" s="67">
        <f t="shared" si="126"/>
        <v>-19159.282008256389</v>
      </c>
      <c r="AS239" s="67">
        <f t="shared" si="127"/>
        <v>-30263.434592141253</v>
      </c>
      <c r="AT239" s="68">
        <v>1677</v>
      </c>
      <c r="AU239" s="68"/>
      <c r="AV239" s="68"/>
      <c r="AW239" s="68">
        <v>0</v>
      </c>
      <c r="AX239" s="68">
        <v>2580.7832563337493</v>
      </c>
      <c r="AY239" s="68">
        <v>657.60766705602703</v>
      </c>
      <c r="AZ239" s="68">
        <v>2022.6699047249178</v>
      </c>
      <c r="BA239" s="299"/>
      <c r="BB239" s="67"/>
      <c r="BC239" s="67"/>
      <c r="BD239" s="67"/>
      <c r="BE239" s="67"/>
      <c r="BF239" s="67"/>
      <c r="BG239" s="67"/>
      <c r="BH239" s="67"/>
      <c r="BN239" s="299"/>
      <c r="BO239" s="67">
        <v>16700251.528287567</v>
      </c>
      <c r="BP239" s="67">
        <v>17503581.800000001</v>
      </c>
      <c r="BQ239" s="67">
        <v>19383000</v>
      </c>
      <c r="BR239" s="67">
        <v>473436.38</v>
      </c>
      <c r="BS239" s="67">
        <v>550000</v>
      </c>
      <c r="BT239" s="428">
        <v>0.63233948536415763</v>
      </c>
      <c r="BU239" s="428">
        <v>0.33464287704132478</v>
      </c>
      <c r="BV239" s="67">
        <f t="shared" si="128"/>
        <v>4292280.9227215946</v>
      </c>
      <c r="BW239" s="299"/>
      <c r="BX239" s="67">
        <v>36016056</v>
      </c>
      <c r="BY239" s="67">
        <v>16700251.528287567</v>
      </c>
      <c r="BZ239" s="67">
        <v>27802952.926882237</v>
      </c>
      <c r="CA239" s="67">
        <v>11600134.540325209</v>
      </c>
      <c r="CB239" s="67">
        <f t="shared" si="129"/>
        <v>453452.35799826065</v>
      </c>
      <c r="CC239" s="67">
        <f t="shared" si="130"/>
        <v>-126.20925045127707</v>
      </c>
      <c r="CD239" s="67">
        <f t="shared" si="131"/>
        <v>-155.1457065147504</v>
      </c>
      <c r="CE239" s="67">
        <f t="shared" si="132"/>
        <v>-28.936456063473329</v>
      </c>
      <c r="CF239" s="67">
        <f t="shared" si="133"/>
        <v>13.936456063473329</v>
      </c>
      <c r="CG239" s="67">
        <f t="shared" si="134"/>
        <v>0</v>
      </c>
      <c r="CH239" s="67">
        <f t="shared" si="135"/>
        <v>0</v>
      </c>
      <c r="CI239" s="67">
        <f t="shared" si="136"/>
        <v>0</v>
      </c>
      <c r="CJ239" s="67">
        <f t="shared" si="137"/>
        <v>89583.539576006558</v>
      </c>
      <c r="CK239" s="67">
        <f t="shared" si="138"/>
        <v>0</v>
      </c>
      <c r="CL239" s="67">
        <f t="shared" si="139"/>
        <v>0</v>
      </c>
      <c r="CM239" s="67">
        <f t="shared" si="140"/>
        <v>0</v>
      </c>
      <c r="CN239" s="299"/>
      <c r="CO239" s="430">
        <v>25625.225228730931</v>
      </c>
      <c r="CP239" s="430">
        <v>1540.4440321180091</v>
      </c>
      <c r="CQ239" s="430">
        <v>1257.248</v>
      </c>
      <c r="CR239" s="430">
        <v>5896874.5718143936</v>
      </c>
      <c r="CS239" s="430">
        <v>4311862.0769029064</v>
      </c>
      <c r="CT239" s="430">
        <v>2868551.7854358489</v>
      </c>
      <c r="CU239" s="430">
        <v>860100.61637865775</v>
      </c>
      <c r="CV239" s="430">
        <v>-971431</v>
      </c>
      <c r="CW239" s="430">
        <v>74316.686874530511</v>
      </c>
      <c r="CX239" s="430">
        <v>34966.39</v>
      </c>
      <c r="CY239" s="430">
        <v>17464120.634174656</v>
      </c>
      <c r="CZ239" s="519"/>
      <c r="DA239" s="524">
        <v>25389.84043</v>
      </c>
      <c r="DB239" s="524">
        <v>1528.3975544240941</v>
      </c>
      <c r="DC239" s="520">
        <f t="shared" si="141"/>
        <v>-1</v>
      </c>
      <c r="DD239" s="440">
        <v>6379</v>
      </c>
      <c r="DE239" s="450">
        <v>16700251.528287567</v>
      </c>
      <c r="DF239" s="440">
        <v>9426164.0142252091</v>
      </c>
      <c r="DG239" s="440">
        <v>1251821.1555000001</v>
      </c>
      <c r="DH239" s="440">
        <v>922149.37060000002</v>
      </c>
      <c r="DI239" s="440">
        <v>4301829.9845657032</v>
      </c>
      <c r="DJ239" s="440">
        <v>866189.658273404</v>
      </c>
      <c r="DK239" s="440">
        <v>454971.36601067602</v>
      </c>
      <c r="DL239" s="440">
        <v>-971431</v>
      </c>
      <c r="DM239" s="440">
        <v>-17000</v>
      </c>
      <c r="DN239" s="440">
        <v>71822.760735679985</v>
      </c>
      <c r="DO239" s="457">
        <f t="shared" si="142"/>
        <v>-393734.21837689355</v>
      </c>
      <c r="DP239" s="459">
        <f t="shared" si="143"/>
        <v>-61.723501861873892</v>
      </c>
      <c r="DQ239" s="440"/>
      <c r="DR239" s="450">
        <v>36016056</v>
      </c>
      <c r="DS239" s="440">
        <v>25167907.715482239</v>
      </c>
      <c r="DT239" s="440">
        <v>1383224.0559</v>
      </c>
      <c r="DU239" s="440">
        <v>5886857.7518143924</v>
      </c>
      <c r="DV239" s="440">
        <v>2888859.5629983218</v>
      </c>
      <c r="DW239" s="440">
        <v>263390.15550000011</v>
      </c>
      <c r="DX239" s="457">
        <f t="shared" si="144"/>
        <v>-425816.75830504298</v>
      </c>
      <c r="DY239" s="459">
        <f t="shared" si="145"/>
        <v>-66.752901443022878</v>
      </c>
      <c r="DZ239" s="440"/>
      <c r="EA239" s="457">
        <f t="shared" si="146"/>
        <v>32082.539928149432</v>
      </c>
      <c r="EB239" s="459">
        <f t="shared" si="147"/>
        <v>5.0293995811489935</v>
      </c>
      <c r="ED239" s="457">
        <v>-5509.4448884601379</v>
      </c>
      <c r="EE239" s="458">
        <v>18307.474535753627</v>
      </c>
      <c r="EF239" s="458">
        <v>11362.870109393381</v>
      </c>
      <c r="EG239" s="458">
        <v>3770.3355793902051</v>
      </c>
      <c r="EH239" s="459">
        <v>-2456.8388417499041</v>
      </c>
    </row>
    <row r="240" spans="1:138" x14ac:dyDescent="0.2">
      <c r="A240" s="67">
        <v>707</v>
      </c>
      <c r="B240" s="67" t="s">
        <v>357</v>
      </c>
      <c r="C240" s="67">
        <v>12</v>
      </c>
      <c r="D240" s="67">
        <v>1960</v>
      </c>
      <c r="E240" s="82">
        <v>2991370.5322558042</v>
      </c>
      <c r="F240" s="67">
        <v>2124985.2011191687</v>
      </c>
      <c r="G240" s="67">
        <v>664382</v>
      </c>
      <c r="H240" s="67">
        <v>476395.71897810325</v>
      </c>
      <c r="I240" s="67">
        <v>1173818.038889905</v>
      </c>
      <c r="J240" s="67">
        <v>516226.745809254</v>
      </c>
      <c r="K240" s="67">
        <v>-270680.92151397717</v>
      </c>
      <c r="L240" s="67">
        <v>-531857</v>
      </c>
      <c r="M240" s="68">
        <v>93111.54</v>
      </c>
      <c r="N240" s="68">
        <v>13229.941110691227</v>
      </c>
      <c r="O240" s="68">
        <v>-57042.59817301896</v>
      </c>
      <c r="P240" s="168">
        <f t="shared" si="113"/>
        <v>1211198.133964322</v>
      </c>
      <c r="Q240" s="169">
        <f t="shared" si="114"/>
        <v>617.95823161445003</v>
      </c>
      <c r="R240" s="67"/>
      <c r="S240" s="82">
        <v>15085499.519999996</v>
      </c>
      <c r="T240" s="67">
        <v>4861776.875174134</v>
      </c>
      <c r="U240" s="67">
        <v>716000.02846545284</v>
      </c>
      <c r="V240" s="67">
        <v>8751371.5673616156</v>
      </c>
      <c r="W240" s="67">
        <v>1721685.9576449182</v>
      </c>
      <c r="X240" s="67">
        <v>225636.53999999998</v>
      </c>
      <c r="Y240" s="168">
        <f t="shared" si="115"/>
        <v>1190971.4486461245</v>
      </c>
      <c r="Z240" s="169">
        <f t="shared" si="116"/>
        <v>607.63849420720635</v>
      </c>
      <c r="AA240" s="67"/>
      <c r="AB240" s="77">
        <f t="shared" si="117"/>
        <v>20226.685318197589</v>
      </c>
      <c r="AC240" s="123">
        <f t="shared" si="118"/>
        <v>10.319737407243668</v>
      </c>
      <c r="AE240" s="170"/>
      <c r="AF240" s="177">
        <v>2250.3289272518691</v>
      </c>
      <c r="AG240" s="177">
        <v>-2856.8951919703482</v>
      </c>
      <c r="AH240" s="177">
        <v>-5841.9714897608155</v>
      </c>
      <c r="AI240" s="178">
        <v>-9227.8051961102756</v>
      </c>
      <c r="AK240" s="67">
        <f t="shared" si="119"/>
        <v>2736791.6740549654</v>
      </c>
      <c r="AL240" s="67">
        <f t="shared" si="120"/>
        <v>239604.30948734959</v>
      </c>
      <c r="AM240" s="67">
        <f t="shared" si="121"/>
        <v>7577553.5284717102</v>
      </c>
      <c r="AN240" s="67">
        <f t="shared" si="122"/>
        <v>12094128.987744192</v>
      </c>
      <c r="AO240" s="67">
        <f t="shared" si="123"/>
        <v>0</v>
      </c>
      <c r="AP240" s="67">
        <f t="shared" si="124"/>
        <v>2250.3289272518691</v>
      </c>
      <c r="AQ240" s="67">
        <f t="shared" si="125"/>
        <v>-2856.8951919703482</v>
      </c>
      <c r="AR240" s="67">
        <f t="shared" si="126"/>
        <v>-5841.9714897608155</v>
      </c>
      <c r="AS240" s="67">
        <f t="shared" si="127"/>
        <v>-9227.8051961102756</v>
      </c>
      <c r="AT240" s="68">
        <v>308</v>
      </c>
      <c r="AU240" s="68"/>
      <c r="AV240" s="68"/>
      <c r="AW240" s="68">
        <v>101</v>
      </c>
      <c r="AX240" s="68">
        <v>5931.7887095997057</v>
      </c>
      <c r="AY240" s="68">
        <v>-1485.5375565142206</v>
      </c>
      <c r="AZ240" s="68">
        <v>1208.3508684975534</v>
      </c>
      <c r="BA240" s="299"/>
      <c r="BB240" s="67"/>
      <c r="BC240" s="67"/>
      <c r="BD240" s="67"/>
      <c r="BE240" s="67"/>
      <c r="BF240" s="67"/>
      <c r="BG240" s="67"/>
      <c r="BH240" s="67"/>
      <c r="BN240" s="299"/>
      <c r="BO240" s="67">
        <v>3942144.062890118</v>
      </c>
      <c r="BP240" s="67">
        <v>11448989.66</v>
      </c>
      <c r="BQ240" s="67">
        <v>11481000</v>
      </c>
      <c r="BR240" s="67">
        <v>254891.85000000006</v>
      </c>
      <c r="BS240" s="67">
        <v>209000</v>
      </c>
      <c r="BT240" s="428">
        <v>0.56292004843536592</v>
      </c>
      <c r="BU240" s="428">
        <v>0.33464287704132478</v>
      </c>
      <c r="BV240" s="67">
        <f t="shared" si="128"/>
        <v>8512331.8187933993</v>
      </c>
      <c r="BW240" s="299"/>
      <c r="BX240" s="67">
        <v>15397251</v>
      </c>
      <c r="BY240" s="67">
        <v>3942144.062890118</v>
      </c>
      <c r="BZ240" s="67">
        <v>6380757.2438127585</v>
      </c>
      <c r="CA240" s="67">
        <v>3335893.6546020289</v>
      </c>
      <c r="CB240" s="67">
        <f t="shared" si="129"/>
        <v>120812.09899705689</v>
      </c>
      <c r="CC240" s="67">
        <f t="shared" si="130"/>
        <v>607.63849420720737</v>
      </c>
      <c r="CD240" s="67">
        <f t="shared" si="131"/>
        <v>846.80293502468112</v>
      </c>
      <c r="CE240" s="67">
        <f t="shared" si="132"/>
        <v>239.16444081747375</v>
      </c>
      <c r="CF240" s="67">
        <f t="shared" si="133"/>
        <v>-224.16444081747375</v>
      </c>
      <c r="CG240" s="67">
        <f t="shared" si="134"/>
        <v>-209.16444081747375</v>
      </c>
      <c r="CH240" s="67">
        <f t="shared" si="135"/>
        <v>-194.16444081747375</v>
      </c>
      <c r="CI240" s="67">
        <f t="shared" si="136"/>
        <v>-179.16444081747375</v>
      </c>
      <c r="CJ240" s="67">
        <f t="shared" si="137"/>
        <v>-439362.30400224857</v>
      </c>
      <c r="CK240" s="67">
        <f t="shared" si="138"/>
        <v>-409962.30400224857</v>
      </c>
      <c r="CL240" s="67">
        <f t="shared" si="139"/>
        <v>-380562.30400224857</v>
      </c>
      <c r="CM240" s="67">
        <f t="shared" si="140"/>
        <v>-351162.30400224857</v>
      </c>
      <c r="CN240" s="299"/>
      <c r="CO240" s="430">
        <v>4861.7768751741341</v>
      </c>
      <c r="CP240" s="430">
        <v>716.00002846545283</v>
      </c>
      <c r="CQ240" s="430">
        <v>664.38199999999995</v>
      </c>
      <c r="CR240" s="430">
        <v>8751371.5673616156</v>
      </c>
      <c r="CS240" s="430">
        <v>1173818.038889905</v>
      </c>
      <c r="CT240" s="430">
        <v>1721685.9576449182</v>
      </c>
      <c r="CU240" s="430">
        <v>516226.745809254</v>
      </c>
      <c r="CV240" s="430">
        <v>-531857</v>
      </c>
      <c r="CW240" s="430">
        <v>13229.941110691227</v>
      </c>
      <c r="CX240" s="430">
        <v>93111.54</v>
      </c>
      <c r="CY240" s="430">
        <v>2991370.5322558042</v>
      </c>
      <c r="CZ240" s="519"/>
      <c r="DA240" s="524">
        <v>5021.08691</v>
      </c>
      <c r="DB240" s="524">
        <v>710.40086607804744</v>
      </c>
      <c r="DC240" s="520">
        <f t="shared" si="141"/>
        <v>-1</v>
      </c>
      <c r="DD240" s="440">
        <v>2032</v>
      </c>
      <c r="DE240" s="450">
        <v>3942144.062890118</v>
      </c>
      <c r="DF240" s="440">
        <v>2242309.6180020287</v>
      </c>
      <c r="DG240" s="440">
        <v>664968.02600000007</v>
      </c>
      <c r="DH240" s="440">
        <v>428616.01060000004</v>
      </c>
      <c r="DI240" s="440">
        <v>1170586.2761853004</v>
      </c>
      <c r="DJ240" s="440">
        <v>517465.07100011059</v>
      </c>
      <c r="DK240" s="440">
        <v>120641.47269543461</v>
      </c>
      <c r="DL240" s="440">
        <v>-531857</v>
      </c>
      <c r="DM240" s="440">
        <v>99500</v>
      </c>
      <c r="DN240" s="440">
        <v>13497.065993290817</v>
      </c>
      <c r="DO240" s="457">
        <f t="shared" si="142"/>
        <v>783582.47758604772</v>
      </c>
      <c r="DP240" s="459">
        <f t="shared" si="143"/>
        <v>385.62129802462977</v>
      </c>
      <c r="DQ240" s="440"/>
      <c r="DR240" s="450">
        <v>15397251</v>
      </c>
      <c r="DS240" s="440">
        <v>5072865.2019127589</v>
      </c>
      <c r="DT240" s="440">
        <v>642924.0159</v>
      </c>
      <c r="DU240" s="440">
        <v>8748153.6473616119</v>
      </c>
      <c r="DV240" s="440">
        <v>1725815.9394976639</v>
      </c>
      <c r="DW240" s="440">
        <v>232611.02600000007</v>
      </c>
      <c r="DX240" s="457">
        <f t="shared" si="144"/>
        <v>1025118.830672035</v>
      </c>
      <c r="DY240" s="459">
        <f t="shared" si="145"/>
        <v>504.48761351970228</v>
      </c>
      <c r="DZ240" s="440"/>
      <c r="EA240" s="457">
        <f t="shared" si="146"/>
        <v>-241536.35308598727</v>
      </c>
      <c r="EB240" s="459">
        <f t="shared" si="147"/>
        <v>-118.86631549507247</v>
      </c>
      <c r="ED240" s="457">
        <v>250001.08566486588</v>
      </c>
      <c r="EE240" s="458">
        <v>216888.11170907388</v>
      </c>
      <c r="EF240" s="458">
        <v>184195.94111895567</v>
      </c>
      <c r="EG240" s="458">
        <v>151297.37548720048</v>
      </c>
      <c r="EH240" s="459">
        <v>118833.73880061062</v>
      </c>
    </row>
    <row r="241" spans="1:138" x14ac:dyDescent="0.2">
      <c r="A241" s="67">
        <v>729</v>
      </c>
      <c r="B241" s="67" t="s">
        <v>358</v>
      </c>
      <c r="C241" s="67">
        <v>13</v>
      </c>
      <c r="D241" s="67">
        <v>8975</v>
      </c>
      <c r="E241" s="82">
        <v>20827052.93908111</v>
      </c>
      <c r="F241" s="67">
        <v>11917863.891667707</v>
      </c>
      <c r="G241" s="67">
        <v>2735900</v>
      </c>
      <c r="H241" s="67">
        <v>1990824.3812747633</v>
      </c>
      <c r="I241" s="67">
        <v>6383102.3872591313</v>
      </c>
      <c r="J241" s="67">
        <v>1890838.7504743328</v>
      </c>
      <c r="K241" s="67">
        <v>-1205078.3296249185</v>
      </c>
      <c r="L241" s="67">
        <v>241103</v>
      </c>
      <c r="M241" s="68">
        <v>-13500.44</v>
      </c>
      <c r="N241" s="68">
        <v>70619.677058834743</v>
      </c>
      <c r="O241" s="68">
        <v>-261202.71357288019</v>
      </c>
      <c r="P241" s="168">
        <f t="shared" si="113"/>
        <v>2923417.6654558573</v>
      </c>
      <c r="Q241" s="169">
        <f t="shared" si="114"/>
        <v>325.72898779452447</v>
      </c>
      <c r="R241" s="67"/>
      <c r="S241" s="82">
        <v>66480205.019999996</v>
      </c>
      <c r="T241" s="67">
        <v>26804182.617311563</v>
      </c>
      <c r="U241" s="67">
        <v>2992114.0280607049</v>
      </c>
      <c r="V241" s="67">
        <v>29692830.284602955</v>
      </c>
      <c r="W241" s="67">
        <v>6306202.7515819687</v>
      </c>
      <c r="X241" s="67">
        <v>2963502.56</v>
      </c>
      <c r="Y241" s="168">
        <f t="shared" si="115"/>
        <v>2278627.2215572</v>
      </c>
      <c r="Z241" s="169">
        <f t="shared" si="116"/>
        <v>253.8860413991309</v>
      </c>
      <c r="AA241" s="67"/>
      <c r="AB241" s="77">
        <f t="shared" si="117"/>
        <v>644790.44389865734</v>
      </c>
      <c r="AC241" s="123">
        <f t="shared" si="118"/>
        <v>71.842946395393568</v>
      </c>
      <c r="AE241" s="170"/>
      <c r="AF241" s="177">
        <v>-499861.00404045597</v>
      </c>
      <c r="AG241" s="177">
        <v>-388622.40019862913</v>
      </c>
      <c r="AH241" s="177">
        <v>-267666.30824590946</v>
      </c>
      <c r="AI241" s="178">
        <v>-148545.31718187191</v>
      </c>
      <c r="AK241" s="67">
        <f t="shared" si="119"/>
        <v>14886318.725643856</v>
      </c>
      <c r="AL241" s="67">
        <f t="shared" si="120"/>
        <v>1001289.6467859417</v>
      </c>
      <c r="AM241" s="67">
        <f t="shared" si="121"/>
        <v>23309727.897343822</v>
      </c>
      <c r="AN241" s="67">
        <f t="shared" si="122"/>
        <v>45653152.080918886</v>
      </c>
      <c r="AO241" s="67">
        <f t="shared" si="123"/>
        <v>0</v>
      </c>
      <c r="AP241" s="67">
        <f t="shared" si="124"/>
        <v>-499861.00404045597</v>
      </c>
      <c r="AQ241" s="67">
        <f t="shared" si="125"/>
        <v>-388622.40019862913</v>
      </c>
      <c r="AR241" s="67">
        <f t="shared" si="126"/>
        <v>-267666.30824590946</v>
      </c>
      <c r="AS241" s="67">
        <f t="shared" si="127"/>
        <v>-148545.31718187191</v>
      </c>
      <c r="AT241" s="68">
        <v>3284</v>
      </c>
      <c r="AU241" s="68"/>
      <c r="AV241" s="68"/>
      <c r="AW241" s="68">
        <v>0</v>
      </c>
      <c r="AX241" s="68">
        <v>18514.189290161976</v>
      </c>
      <c r="AY241" s="68">
        <v>-4636.9434979972493</v>
      </c>
      <c r="AZ241" s="68">
        <v>4419.8962503372268</v>
      </c>
      <c r="BA241" s="299"/>
      <c r="BB241" s="67"/>
      <c r="BC241" s="67"/>
      <c r="BD241" s="67"/>
      <c r="BE241" s="67"/>
      <c r="BF241" s="67"/>
      <c r="BG241" s="67"/>
      <c r="BH241" s="67"/>
      <c r="BN241" s="299"/>
      <c r="BO241" s="67">
        <v>24034882.544692934</v>
      </c>
      <c r="BP241" s="67">
        <v>40986165.030000001</v>
      </c>
      <c r="BQ241" s="67">
        <v>45577000</v>
      </c>
      <c r="BR241" s="67">
        <v>864529.04</v>
      </c>
      <c r="BS241" s="67">
        <v>880000</v>
      </c>
      <c r="BT241" s="428">
        <v>0.55537297809743624</v>
      </c>
      <c r="BU241" s="428">
        <v>0.33464287704132484</v>
      </c>
      <c r="BV241" s="67">
        <f t="shared" si="128"/>
        <v>26520013.568826541</v>
      </c>
      <c r="BW241" s="299"/>
      <c r="BX241" s="67">
        <v>67491345</v>
      </c>
      <c r="BY241" s="67">
        <v>24034882.544692934</v>
      </c>
      <c r="BZ241" s="67">
        <v>32842839.943360224</v>
      </c>
      <c r="CA241" s="67">
        <v>16886494.88751138</v>
      </c>
      <c r="CB241" s="67">
        <f t="shared" si="129"/>
        <v>-2161.1085604400996</v>
      </c>
      <c r="CC241" s="67">
        <f t="shared" si="130"/>
        <v>253.88604139913087</v>
      </c>
      <c r="CD241" s="67">
        <f t="shared" si="131"/>
        <v>488.86212814409117</v>
      </c>
      <c r="CE241" s="67">
        <f t="shared" si="132"/>
        <v>234.9760867449603</v>
      </c>
      <c r="CF241" s="67">
        <f t="shared" si="133"/>
        <v>-219.9760867449603</v>
      </c>
      <c r="CG241" s="67">
        <f t="shared" si="134"/>
        <v>-204.9760867449603</v>
      </c>
      <c r="CH241" s="67">
        <f t="shared" si="135"/>
        <v>-189.9760867449603</v>
      </c>
      <c r="CI241" s="67">
        <f t="shared" si="136"/>
        <v>-174.9760867449603</v>
      </c>
      <c r="CJ241" s="67">
        <f t="shared" si="137"/>
        <v>-1974285.3785360188</v>
      </c>
      <c r="CK241" s="67">
        <f t="shared" si="138"/>
        <v>-1839660.3785360188</v>
      </c>
      <c r="CL241" s="67">
        <f t="shared" si="139"/>
        <v>-1705035.3785360188</v>
      </c>
      <c r="CM241" s="67">
        <f t="shared" si="140"/>
        <v>-1570410.3785360188</v>
      </c>
      <c r="CN241" s="299"/>
      <c r="CO241" s="430">
        <v>26804.182617311562</v>
      </c>
      <c r="CP241" s="430">
        <v>2992.1140280607051</v>
      </c>
      <c r="CQ241" s="430">
        <v>2735.9</v>
      </c>
      <c r="CR241" s="430">
        <v>29692830.284602955</v>
      </c>
      <c r="CS241" s="430">
        <v>6383102.3872591313</v>
      </c>
      <c r="CT241" s="430">
        <v>6306202.7515819687</v>
      </c>
      <c r="CU241" s="430">
        <v>1890838.7504743328</v>
      </c>
      <c r="CV241" s="430">
        <v>241103</v>
      </c>
      <c r="CW241" s="430">
        <v>70619.677058834743</v>
      </c>
      <c r="CX241" s="430">
        <v>-13500.44</v>
      </c>
      <c r="CY241" s="430">
        <v>20827052.93908111</v>
      </c>
      <c r="CZ241" s="519"/>
      <c r="DA241" s="524">
        <v>27316.022140000001</v>
      </c>
      <c r="DB241" s="524">
        <v>2968.7155572924812</v>
      </c>
      <c r="DC241" s="520">
        <f t="shared" si="141"/>
        <v>-1</v>
      </c>
      <c r="DD241" s="440">
        <v>9117</v>
      </c>
      <c r="DE241" s="450">
        <v>24034882.544692934</v>
      </c>
      <c r="DF241" s="440">
        <v>12326824.17171138</v>
      </c>
      <c r="DG241" s="440">
        <v>2768514.3931999998</v>
      </c>
      <c r="DH241" s="440">
        <v>1791156.3226000001</v>
      </c>
      <c r="DI241" s="440">
        <v>6368648.3242453346</v>
      </c>
      <c r="DJ241" s="440">
        <v>1892779.6442416403</v>
      </c>
      <c r="DK241" s="440">
        <v>-2235.4910099561166</v>
      </c>
      <c r="DL241" s="440">
        <v>297261</v>
      </c>
      <c r="DM241" s="440">
        <v>-47000</v>
      </c>
      <c r="DN241" s="440">
        <v>70730.210375807583</v>
      </c>
      <c r="DO241" s="457">
        <f t="shared" si="142"/>
        <v>1431796.0306712687</v>
      </c>
      <c r="DP241" s="459">
        <f t="shared" si="143"/>
        <v>157.04683894606436</v>
      </c>
      <c r="DQ241" s="440"/>
      <c r="DR241" s="450">
        <v>67491345</v>
      </c>
      <c r="DS241" s="440">
        <v>27387591.066260226</v>
      </c>
      <c r="DT241" s="440">
        <v>2686734.4838999999</v>
      </c>
      <c r="DU241" s="440">
        <v>29678423.434602968</v>
      </c>
      <c r="DV241" s="440">
        <v>6312675.8945788667</v>
      </c>
      <c r="DW241" s="440">
        <v>3018775.3931999998</v>
      </c>
      <c r="DX241" s="457">
        <f t="shared" si="144"/>
        <v>1592855.2725420594</v>
      </c>
      <c r="DY241" s="459">
        <f t="shared" si="145"/>
        <v>174.71265466075019</v>
      </c>
      <c r="DZ241" s="440"/>
      <c r="EA241" s="457">
        <f t="shared" si="146"/>
        <v>-161059.24187079072</v>
      </c>
      <c r="EB241" s="459">
        <f t="shared" si="147"/>
        <v>-17.665815714685831</v>
      </c>
      <c r="ED241" s="457">
        <v>199038.06417472925</v>
      </c>
      <c r="EE241" s="458">
        <v>50469.666755951846</v>
      </c>
      <c r="EF241" s="458">
        <v>16240.051228615686</v>
      </c>
      <c r="EG241" s="458">
        <v>5388.6423385014114</v>
      </c>
      <c r="EH241" s="459">
        <v>-3511.3653739197171</v>
      </c>
    </row>
    <row r="242" spans="1:138" x14ac:dyDescent="0.2">
      <c r="A242" s="67">
        <v>732</v>
      </c>
      <c r="B242" s="67" t="s">
        <v>359</v>
      </c>
      <c r="C242" s="67">
        <v>19</v>
      </c>
      <c r="D242" s="67">
        <v>3336</v>
      </c>
      <c r="E242" s="82">
        <v>8066766.8543135524</v>
      </c>
      <c r="F242" s="67">
        <v>3639101.7159923171</v>
      </c>
      <c r="G242" s="67">
        <v>1381189</v>
      </c>
      <c r="H242" s="67">
        <v>1039444.9992853713</v>
      </c>
      <c r="I242" s="67">
        <v>3831590.0868732296</v>
      </c>
      <c r="J242" s="67">
        <v>746264.22304606508</v>
      </c>
      <c r="K242" s="67">
        <v>-967616.47334999521</v>
      </c>
      <c r="L242" s="67">
        <v>174626</v>
      </c>
      <c r="M242" s="68">
        <v>571062.66</v>
      </c>
      <c r="N242" s="68">
        <v>27131.989589857396</v>
      </c>
      <c r="O242" s="68">
        <v>-97088.830359791449</v>
      </c>
      <c r="P242" s="168">
        <f t="shared" si="113"/>
        <v>2278938.5167635018</v>
      </c>
      <c r="Q242" s="169">
        <f t="shared" si="114"/>
        <v>683.13504699145733</v>
      </c>
      <c r="R242" s="67"/>
      <c r="S242" s="82">
        <v>31885030.610000007</v>
      </c>
      <c r="T242" s="67">
        <v>9220309.3048048932</v>
      </c>
      <c r="U242" s="67">
        <v>1562236.2238540736</v>
      </c>
      <c r="V242" s="67">
        <v>19087528.197446361</v>
      </c>
      <c r="W242" s="67">
        <v>2488892.0303752562</v>
      </c>
      <c r="X242" s="67">
        <v>2126877.66</v>
      </c>
      <c r="Y242" s="168">
        <f t="shared" si="115"/>
        <v>2600812.8064805791</v>
      </c>
      <c r="Z242" s="169">
        <f t="shared" si="116"/>
        <v>779.62014582751169</v>
      </c>
      <c r="AA242" s="67"/>
      <c r="AB242" s="77">
        <f t="shared" si="117"/>
        <v>-321874.28971707728</v>
      </c>
      <c r="AC242" s="123">
        <f t="shared" si="118"/>
        <v>-96.485098836054334</v>
      </c>
      <c r="AE242" s="170"/>
      <c r="AF242" s="177">
        <v>275664.44140142488</v>
      </c>
      <c r="AG242" s="177">
        <v>216931.73749238133</v>
      </c>
      <c r="AH242" s="177">
        <v>161811.01579369308</v>
      </c>
      <c r="AI242" s="178">
        <v>106008.18862819218</v>
      </c>
      <c r="AK242" s="67">
        <f t="shared" si="119"/>
        <v>5581207.5888125766</v>
      </c>
      <c r="AL242" s="67">
        <f t="shared" si="120"/>
        <v>522791.22456870228</v>
      </c>
      <c r="AM242" s="67">
        <f t="shared" si="121"/>
        <v>15255938.110573132</v>
      </c>
      <c r="AN242" s="67">
        <f t="shared" si="122"/>
        <v>23818263.755686454</v>
      </c>
      <c r="AO242" s="67">
        <f t="shared" si="123"/>
        <v>0</v>
      </c>
      <c r="AP242" s="67">
        <f t="shared" si="124"/>
        <v>275664.44140142488</v>
      </c>
      <c r="AQ242" s="67">
        <f t="shared" si="125"/>
        <v>216931.73749238133</v>
      </c>
      <c r="AR242" s="67">
        <f t="shared" si="126"/>
        <v>161811.01579369308</v>
      </c>
      <c r="AS242" s="67">
        <f t="shared" si="127"/>
        <v>106008.18862819218</v>
      </c>
      <c r="AT242" s="68">
        <v>1301</v>
      </c>
      <c r="AU242" s="68"/>
      <c r="AV242" s="68"/>
      <c r="AW242" s="68">
        <v>37</v>
      </c>
      <c r="AX242" s="68">
        <v>12757.71088891084</v>
      </c>
      <c r="AY242" s="68">
        <v>-1531.2752830452253</v>
      </c>
      <c r="AZ242" s="68">
        <v>1744.8408980819618</v>
      </c>
      <c r="BA242" s="299"/>
      <c r="BB242" s="67"/>
      <c r="BC242" s="67"/>
      <c r="BD242" s="67"/>
      <c r="BE242" s="67"/>
      <c r="BF242" s="67"/>
      <c r="BG242" s="67"/>
      <c r="BH242" s="67"/>
      <c r="BN242" s="299"/>
      <c r="BO242" s="67">
        <v>10526165.785661131</v>
      </c>
      <c r="BP242" s="67">
        <v>22034571.77</v>
      </c>
      <c r="BQ242" s="67">
        <v>23255000</v>
      </c>
      <c r="BR242" s="67">
        <v>375854</v>
      </c>
      <c r="BS242" s="67">
        <v>407000</v>
      </c>
      <c r="BT242" s="428">
        <v>0.60531674202123509</v>
      </c>
      <c r="BU242" s="428">
        <v>0.33464287704132478</v>
      </c>
      <c r="BV242" s="67">
        <f t="shared" si="128"/>
        <v>16030949.444552328</v>
      </c>
      <c r="BW242" s="299"/>
      <c r="BX242" s="67">
        <v>33644860</v>
      </c>
      <c r="BY242" s="67">
        <v>10526165.785661131</v>
      </c>
      <c r="BZ242" s="67">
        <v>12188560.003213042</v>
      </c>
      <c r="CA242" s="67">
        <v>6083244.7239290634</v>
      </c>
      <c r="CB242" s="67">
        <f t="shared" si="129"/>
        <v>-604878.70822426386</v>
      </c>
      <c r="CC242" s="67">
        <f t="shared" si="130"/>
        <v>779.62014582751033</v>
      </c>
      <c r="CD242" s="67">
        <f t="shared" si="131"/>
        <v>820.97275547033087</v>
      </c>
      <c r="CE242" s="67">
        <f t="shared" si="132"/>
        <v>41.352609642820539</v>
      </c>
      <c r="CF242" s="67">
        <f t="shared" si="133"/>
        <v>-26.352609642820539</v>
      </c>
      <c r="CG242" s="67">
        <f t="shared" si="134"/>
        <v>-11.352609642820539</v>
      </c>
      <c r="CH242" s="67">
        <f t="shared" si="135"/>
        <v>0</v>
      </c>
      <c r="CI242" s="67">
        <f t="shared" si="136"/>
        <v>0</v>
      </c>
      <c r="CJ242" s="67">
        <f t="shared" si="137"/>
        <v>-87912.305768449325</v>
      </c>
      <c r="CK242" s="67">
        <f t="shared" si="138"/>
        <v>-37872.305768449318</v>
      </c>
      <c r="CL242" s="67">
        <f t="shared" si="139"/>
        <v>0</v>
      </c>
      <c r="CM242" s="67">
        <f t="shared" si="140"/>
        <v>0</v>
      </c>
      <c r="CN242" s="299"/>
      <c r="CO242" s="430">
        <v>9220.3093048048941</v>
      </c>
      <c r="CP242" s="430">
        <v>1562.2362238540736</v>
      </c>
      <c r="CQ242" s="430">
        <v>1381.1890000000001</v>
      </c>
      <c r="CR242" s="430">
        <v>19087528.197446361</v>
      </c>
      <c r="CS242" s="430">
        <v>3831590.0868732296</v>
      </c>
      <c r="CT242" s="430">
        <v>2488892.0303752562</v>
      </c>
      <c r="CU242" s="430">
        <v>746264.22304606508</v>
      </c>
      <c r="CV242" s="430">
        <v>174626</v>
      </c>
      <c r="CW242" s="430">
        <v>27131.989589857396</v>
      </c>
      <c r="CX242" s="430">
        <v>571062.66</v>
      </c>
      <c r="CY242" s="430">
        <v>8066766.8543135524</v>
      </c>
      <c r="CZ242" s="519"/>
      <c r="DA242" s="524">
        <v>9723.9061099999999</v>
      </c>
      <c r="DB242" s="524">
        <v>1550.0186564086889</v>
      </c>
      <c r="DC242" s="520">
        <f t="shared" si="141"/>
        <v>-1</v>
      </c>
      <c r="DD242" s="440">
        <v>3416</v>
      </c>
      <c r="DE242" s="450">
        <v>10526165.785661131</v>
      </c>
      <c r="DF242" s="440">
        <v>3730658.9755290635</v>
      </c>
      <c r="DG242" s="440">
        <v>1417391.0119999999</v>
      </c>
      <c r="DH242" s="440">
        <v>935194.73639999994</v>
      </c>
      <c r="DI242" s="440">
        <v>3826259.8793207332</v>
      </c>
      <c r="DJ242" s="440">
        <v>747211.95866936003</v>
      </c>
      <c r="DK242" s="440">
        <v>-604844.44520688534</v>
      </c>
      <c r="DL242" s="440">
        <v>103748</v>
      </c>
      <c r="DM242" s="440">
        <v>-70000</v>
      </c>
      <c r="DN242" s="440">
        <v>27063.229868929142</v>
      </c>
      <c r="DO242" s="457">
        <f t="shared" si="142"/>
        <v>-413482.43907992914</v>
      </c>
      <c r="DP242" s="459">
        <f t="shared" si="143"/>
        <v>-121.04286858311742</v>
      </c>
      <c r="DQ242" s="440"/>
      <c r="DR242" s="450">
        <v>33644860</v>
      </c>
      <c r="DS242" s="440">
        <v>9368376.886613043</v>
      </c>
      <c r="DT242" s="440">
        <v>1402792.1046</v>
      </c>
      <c r="DU242" s="440">
        <v>19082220.837446362</v>
      </c>
      <c r="DV242" s="440">
        <v>2492052.8567513218</v>
      </c>
      <c r="DW242" s="440">
        <v>1451139.0119999999</v>
      </c>
      <c r="DX242" s="457">
        <f t="shared" si="144"/>
        <v>151721.69741072506</v>
      </c>
      <c r="DY242" s="459">
        <f t="shared" si="145"/>
        <v>44.415016806418343</v>
      </c>
      <c r="DZ242" s="440"/>
      <c r="EA242" s="457">
        <f t="shared" si="146"/>
        <v>-565204.1364906542</v>
      </c>
      <c r="EB242" s="459">
        <f t="shared" si="147"/>
        <v>-165.45788538953576</v>
      </c>
      <c r="ED242" s="457">
        <v>579434.21842443547</v>
      </c>
      <c r="EE242" s="458">
        <v>523767.91968773003</v>
      </c>
      <c r="EF242" s="458">
        <v>468809.03448308248</v>
      </c>
      <c r="EG242" s="458">
        <v>413503.17808639159</v>
      </c>
      <c r="EH242" s="459">
        <v>358928.48176680948</v>
      </c>
    </row>
    <row r="243" spans="1:138" x14ac:dyDescent="0.2">
      <c r="A243" s="67">
        <v>734</v>
      </c>
      <c r="B243" s="67" t="s">
        <v>360</v>
      </c>
      <c r="C243" s="67">
        <v>2</v>
      </c>
      <c r="D243" s="67">
        <v>50933</v>
      </c>
      <c r="E243" s="82">
        <v>120639610.24091187</v>
      </c>
      <c r="F243" s="67">
        <v>72263762.3013037</v>
      </c>
      <c r="G243" s="67">
        <v>15167522</v>
      </c>
      <c r="H243" s="67">
        <v>11644503.094185734</v>
      </c>
      <c r="I243" s="67">
        <v>24328441.076373447</v>
      </c>
      <c r="J243" s="67">
        <v>9058081.7662253641</v>
      </c>
      <c r="K243" s="67">
        <v>-3323893.7556042294</v>
      </c>
      <c r="L243" s="67">
        <v>-2395741</v>
      </c>
      <c r="M243" s="68">
        <v>1581184.65</v>
      </c>
      <c r="N243" s="68">
        <v>498248.44704171695</v>
      </c>
      <c r="O243" s="68">
        <v>-1482321.7616052933</v>
      </c>
      <c r="P243" s="168">
        <f t="shared" si="113"/>
        <v>6700176.5770085743</v>
      </c>
      <c r="Q243" s="169">
        <f t="shared" si="114"/>
        <v>131.54883036555032</v>
      </c>
      <c r="R243" s="67"/>
      <c r="S243" s="82">
        <v>338190384.55000001</v>
      </c>
      <c r="T243" s="67">
        <v>178500200.10232365</v>
      </c>
      <c r="U243" s="67">
        <v>17501132.387980711</v>
      </c>
      <c r="V243" s="67">
        <v>103840108.29006165</v>
      </c>
      <c r="W243" s="67">
        <v>30209926.755465154</v>
      </c>
      <c r="X243" s="67">
        <v>14352965.65</v>
      </c>
      <c r="Y243" s="168">
        <f t="shared" si="115"/>
        <v>6213948.6358311772</v>
      </c>
      <c r="Z243" s="169">
        <f t="shared" si="116"/>
        <v>122.00240778731229</v>
      </c>
      <c r="AA243" s="67"/>
      <c r="AB243" s="77">
        <f t="shared" si="117"/>
        <v>486227.94117739704</v>
      </c>
      <c r="AC243" s="123">
        <f t="shared" si="118"/>
        <v>9.546422578238019</v>
      </c>
      <c r="AE243" s="170"/>
      <c r="AF243" s="177">
        <v>58477.552679448694</v>
      </c>
      <c r="AG243" s="177">
        <v>-74239.919802360062</v>
      </c>
      <c r="AH243" s="177">
        <v>-151810.78259591205</v>
      </c>
      <c r="AI243" s="178">
        <v>-239795.8173742269</v>
      </c>
      <c r="AK243" s="67">
        <f t="shared" si="119"/>
        <v>106236437.80101995</v>
      </c>
      <c r="AL243" s="67">
        <f t="shared" si="120"/>
        <v>5856629.2937949765</v>
      </c>
      <c r="AM243" s="67">
        <f t="shared" si="121"/>
        <v>79511667.21368821</v>
      </c>
      <c r="AN243" s="67">
        <f t="shared" si="122"/>
        <v>217550774.30908814</v>
      </c>
      <c r="AO243" s="67">
        <f t="shared" si="123"/>
        <v>0</v>
      </c>
      <c r="AP243" s="67">
        <f t="shared" si="124"/>
        <v>58477.552679448694</v>
      </c>
      <c r="AQ243" s="67">
        <f t="shared" si="125"/>
        <v>-74239.919802360062</v>
      </c>
      <c r="AR243" s="67">
        <f t="shared" si="126"/>
        <v>-151810.78259591205</v>
      </c>
      <c r="AS243" s="67">
        <f t="shared" si="127"/>
        <v>-239795.8173742269</v>
      </c>
      <c r="AT243" s="68">
        <v>16158</v>
      </c>
      <c r="AU243" s="68"/>
      <c r="AV243" s="68"/>
      <c r="AW243" s="68">
        <v>392</v>
      </c>
      <c r="AX243" s="68">
        <v>67030.761839532861</v>
      </c>
      <c r="AY243" s="68">
        <v>-10751.204144930049</v>
      </c>
      <c r="AZ243" s="68">
        <v>21132.009225452806</v>
      </c>
      <c r="BA243" s="299"/>
      <c r="BB243" s="67"/>
      <c r="BC243" s="67"/>
      <c r="BD243" s="67"/>
      <c r="BE243" s="67"/>
      <c r="BF243" s="67"/>
      <c r="BG243" s="67"/>
      <c r="BH243" s="67"/>
      <c r="BN243" s="299"/>
      <c r="BO243" s="67">
        <v>129447780.70858607</v>
      </c>
      <c r="BP243" s="67">
        <v>199211925.49000001</v>
      </c>
      <c r="BQ243" s="67">
        <v>213353000</v>
      </c>
      <c r="BR243" s="67">
        <v>3910534.27</v>
      </c>
      <c r="BS243" s="67">
        <v>4337000</v>
      </c>
      <c r="BT243" s="428">
        <v>0.59516144934359094</v>
      </c>
      <c r="BU243" s="428">
        <v>0.33464287704132484</v>
      </c>
      <c r="BV243" s="67">
        <f t="shared" si="128"/>
        <v>97339618.447323769</v>
      </c>
      <c r="BW243" s="299"/>
      <c r="BX243" s="67">
        <v>343730666.56</v>
      </c>
      <c r="BY243" s="67">
        <v>129447780.70858607</v>
      </c>
      <c r="BZ243" s="67">
        <v>209467339.96430409</v>
      </c>
      <c r="CA243" s="67">
        <v>98913736.592043057</v>
      </c>
      <c r="CB243" s="67">
        <f t="shared" si="129"/>
        <v>-3201391.8188488674</v>
      </c>
      <c r="CC243" s="67">
        <f t="shared" si="130"/>
        <v>122.00240778731168</v>
      </c>
      <c r="CD243" s="67">
        <f t="shared" si="131"/>
        <v>163.0573552582652</v>
      </c>
      <c r="CE243" s="67">
        <f t="shared" si="132"/>
        <v>41.054947470953522</v>
      </c>
      <c r="CF243" s="67">
        <f t="shared" si="133"/>
        <v>-26.054947470953522</v>
      </c>
      <c r="CG243" s="67">
        <f t="shared" si="134"/>
        <v>-11.054947470953522</v>
      </c>
      <c r="CH243" s="67">
        <f t="shared" si="135"/>
        <v>0</v>
      </c>
      <c r="CI243" s="67">
        <f t="shared" si="136"/>
        <v>0</v>
      </c>
      <c r="CJ243" s="67">
        <f t="shared" si="137"/>
        <v>-1327056.6395380758</v>
      </c>
      <c r="CK243" s="67">
        <f t="shared" si="138"/>
        <v>-563061.63953807577</v>
      </c>
      <c r="CL243" s="67">
        <f t="shared" si="139"/>
        <v>0</v>
      </c>
      <c r="CM243" s="67">
        <f t="shared" si="140"/>
        <v>0</v>
      </c>
      <c r="CN243" s="299"/>
      <c r="CO243" s="430">
        <v>178500.20010232364</v>
      </c>
      <c r="CP243" s="430">
        <v>17501.13238798071</v>
      </c>
      <c r="CQ243" s="430">
        <v>15167.522000000001</v>
      </c>
      <c r="CR243" s="430">
        <v>103840108.29006165</v>
      </c>
      <c r="CS243" s="430">
        <v>24328441.076373447</v>
      </c>
      <c r="CT243" s="430">
        <v>30209926.755465154</v>
      </c>
      <c r="CU243" s="430">
        <v>9058081.7662253641</v>
      </c>
      <c r="CV243" s="430">
        <v>-2395741</v>
      </c>
      <c r="CW243" s="430">
        <v>498248.44704171695</v>
      </c>
      <c r="CX243" s="430">
        <v>1581184.65</v>
      </c>
      <c r="CY243" s="430">
        <v>120639610.24091187</v>
      </c>
      <c r="CZ243" s="519"/>
      <c r="DA243" s="524">
        <v>181846.38191999999</v>
      </c>
      <c r="DB243" s="524">
        <v>17364.285478056681</v>
      </c>
      <c r="DC243" s="520">
        <f t="shared" si="141"/>
        <v>-1</v>
      </c>
      <c r="DD243" s="440">
        <v>51400</v>
      </c>
      <c r="DE243" s="450">
        <v>129447780.70858607</v>
      </c>
      <c r="DF243" s="440">
        <v>73220802.975443065</v>
      </c>
      <c r="DG243" s="440">
        <v>15216306.176800001</v>
      </c>
      <c r="DH243" s="440">
        <v>10476627.4398</v>
      </c>
      <c r="DI243" s="440">
        <v>24247413.534036305</v>
      </c>
      <c r="DJ243" s="440">
        <v>9049587.2840480916</v>
      </c>
      <c r="DK243" s="440">
        <v>-3196452.2279215986</v>
      </c>
      <c r="DL243" s="440">
        <v>-2100775</v>
      </c>
      <c r="DM243" s="440">
        <v>-292305</v>
      </c>
      <c r="DN243" s="440">
        <v>490054.5580428745</v>
      </c>
      <c r="DO243" s="457">
        <f t="shared" si="142"/>
        <v>-2336520.9683373272</v>
      </c>
      <c r="DP243" s="459">
        <f t="shared" si="143"/>
        <v>-45.457606387885747</v>
      </c>
      <c r="DQ243" s="440"/>
      <c r="DR243" s="450">
        <v>343730666.56</v>
      </c>
      <c r="DS243" s="440">
        <v>178536092.62780407</v>
      </c>
      <c r="DT243" s="440">
        <v>15714941.159700001</v>
      </c>
      <c r="DU243" s="440">
        <v>103759315.8800616</v>
      </c>
      <c r="DV243" s="440">
        <v>30181596.509500898</v>
      </c>
      <c r="DW243" s="440">
        <v>12823226.176800001</v>
      </c>
      <c r="DX243" s="457">
        <f t="shared" si="144"/>
        <v>-2715494.2061334252</v>
      </c>
      <c r="DY243" s="459">
        <f t="shared" si="145"/>
        <v>-52.83062657847131</v>
      </c>
      <c r="DZ243" s="440"/>
      <c r="EA243" s="457">
        <f t="shared" si="146"/>
        <v>378973.23779609799</v>
      </c>
      <c r="EB243" s="459">
        <f t="shared" si="147"/>
        <v>7.3730201905855637</v>
      </c>
      <c r="ED243" s="457">
        <v>-164855.49441304381</v>
      </c>
      <c r="EE243" s="458">
        <v>147515.94154847725</v>
      </c>
      <c r="EF243" s="458">
        <v>91558.476818125069</v>
      </c>
      <c r="EG243" s="458">
        <v>30380.19262904163</v>
      </c>
      <c r="EH243" s="459">
        <v>-19796.44402977662</v>
      </c>
    </row>
    <row r="244" spans="1:138" x14ac:dyDescent="0.2">
      <c r="A244" s="67">
        <v>790</v>
      </c>
      <c r="B244" s="67" t="s">
        <v>133</v>
      </c>
      <c r="C244" s="67">
        <v>6</v>
      </c>
      <c r="D244" s="67">
        <v>23734</v>
      </c>
      <c r="E244" s="82">
        <v>57961319.981474593</v>
      </c>
      <c r="F244" s="67">
        <v>33867729.18513573</v>
      </c>
      <c r="G244" s="67">
        <v>6205865</v>
      </c>
      <c r="H244" s="67">
        <v>4971594.253427539</v>
      </c>
      <c r="I244" s="67">
        <v>12818484.500752281</v>
      </c>
      <c r="J244" s="67">
        <v>4436352.2005087733</v>
      </c>
      <c r="K244" s="67">
        <v>2216901.3763652765</v>
      </c>
      <c r="L244" s="67">
        <v>-2129317</v>
      </c>
      <c r="M244" s="68">
        <v>-58678.98</v>
      </c>
      <c r="N244" s="68">
        <v>213306.97965848929</v>
      </c>
      <c r="O244" s="68">
        <v>-690739.29848899588</v>
      </c>
      <c r="P244" s="168">
        <f t="shared" si="113"/>
        <v>3890178.235884496</v>
      </c>
      <c r="Q244" s="169">
        <f t="shared" si="114"/>
        <v>163.90740018052145</v>
      </c>
      <c r="R244" s="67"/>
      <c r="S244" s="82">
        <v>163923353.53999999</v>
      </c>
      <c r="T244" s="67">
        <v>79355830.787861943</v>
      </c>
      <c r="U244" s="67">
        <v>7472068.8813251359</v>
      </c>
      <c r="V244" s="67">
        <v>63276252.48374632</v>
      </c>
      <c r="W244" s="67">
        <v>14795834.095750891</v>
      </c>
      <c r="X244" s="67">
        <v>4017869.02</v>
      </c>
      <c r="Y244" s="168">
        <f t="shared" si="115"/>
        <v>4994501.7286843061</v>
      </c>
      <c r="Z244" s="169">
        <f t="shared" si="116"/>
        <v>210.43657742834355</v>
      </c>
      <c r="AA244" s="67"/>
      <c r="AB244" s="77">
        <f t="shared" si="117"/>
        <v>-1104323.4927998101</v>
      </c>
      <c r="AC244" s="123">
        <f t="shared" si="118"/>
        <v>-46.529177247822119</v>
      </c>
      <c r="AE244" s="170"/>
      <c r="AF244" s="177">
        <v>775563.13910564024</v>
      </c>
      <c r="AG244" s="177">
        <v>357708.8241844055</v>
      </c>
      <c r="AH244" s="177">
        <v>-34448.012984859277</v>
      </c>
      <c r="AI244" s="178">
        <v>-111741.18802269454</v>
      </c>
      <c r="AK244" s="67">
        <f t="shared" si="119"/>
        <v>45488101.602726214</v>
      </c>
      <c r="AL244" s="67">
        <f t="shared" si="120"/>
        <v>2500474.6278975969</v>
      </c>
      <c r="AM244" s="67">
        <f t="shared" si="121"/>
        <v>50457767.982994035</v>
      </c>
      <c r="AN244" s="67">
        <f t="shared" si="122"/>
        <v>105962033.5585254</v>
      </c>
      <c r="AO244" s="67">
        <f t="shared" si="123"/>
        <v>0</v>
      </c>
      <c r="AP244" s="67">
        <f t="shared" si="124"/>
        <v>775563.13910564024</v>
      </c>
      <c r="AQ244" s="67">
        <f t="shared" si="125"/>
        <v>357708.8241844055</v>
      </c>
      <c r="AR244" s="67">
        <f t="shared" si="126"/>
        <v>-34448.012984859277</v>
      </c>
      <c r="AS244" s="67">
        <f t="shared" si="127"/>
        <v>-111741.18802269454</v>
      </c>
      <c r="AT244" s="68">
        <v>9340</v>
      </c>
      <c r="AU244" s="68"/>
      <c r="AV244" s="68"/>
      <c r="AW244" s="68">
        <v>10</v>
      </c>
      <c r="AX244" s="68">
        <v>42426.32576880807</v>
      </c>
      <c r="AY244" s="68">
        <v>-8405.0529722963947</v>
      </c>
      <c r="AZ244" s="68">
        <v>10393.376626100178</v>
      </c>
      <c r="BA244" s="299"/>
      <c r="BB244" s="67"/>
      <c r="BC244" s="67"/>
      <c r="BD244" s="67"/>
      <c r="BE244" s="67"/>
      <c r="BF244" s="67"/>
      <c r="BG244" s="67"/>
      <c r="BH244" s="67"/>
      <c r="BN244" s="299"/>
      <c r="BO244" s="67">
        <v>57466834.375307366</v>
      </c>
      <c r="BP244" s="67">
        <v>98904935.749999985</v>
      </c>
      <c r="BQ244" s="67">
        <v>102174000</v>
      </c>
      <c r="BR244" s="67">
        <v>1911723.24</v>
      </c>
      <c r="BS244" s="67">
        <v>1974000</v>
      </c>
      <c r="BT244" s="428">
        <v>0.57321687834542778</v>
      </c>
      <c r="BU244" s="428">
        <v>0.33464287704132484</v>
      </c>
      <c r="BV244" s="67">
        <f t="shared" si="128"/>
        <v>63034151.254601434</v>
      </c>
      <c r="BW244" s="299"/>
      <c r="BX244" s="67">
        <v>162488000</v>
      </c>
      <c r="BY244" s="67">
        <v>57466834.375307366</v>
      </c>
      <c r="BZ244" s="67">
        <v>92779683.501407012</v>
      </c>
      <c r="CA244" s="67">
        <v>45172467.765884057</v>
      </c>
      <c r="CB244" s="67">
        <f t="shared" si="129"/>
        <v>2152320.8922353806</v>
      </c>
      <c r="CC244" s="67">
        <f t="shared" si="130"/>
        <v>210.43657742834341</v>
      </c>
      <c r="CD244" s="67">
        <f t="shared" si="131"/>
        <v>190.28975521376924</v>
      </c>
      <c r="CE244" s="67">
        <f t="shared" si="132"/>
        <v>-20.146822214574172</v>
      </c>
      <c r="CF244" s="67">
        <f t="shared" si="133"/>
        <v>5.146822214574172</v>
      </c>
      <c r="CG244" s="67">
        <f t="shared" si="134"/>
        <v>0</v>
      </c>
      <c r="CH244" s="67">
        <f t="shared" si="135"/>
        <v>0</v>
      </c>
      <c r="CI244" s="67">
        <f t="shared" si="136"/>
        <v>0</v>
      </c>
      <c r="CJ244" s="67">
        <f t="shared" si="137"/>
        <v>122154.6784407034</v>
      </c>
      <c r="CK244" s="67">
        <f t="shared" si="138"/>
        <v>0</v>
      </c>
      <c r="CL244" s="67">
        <f t="shared" si="139"/>
        <v>0</v>
      </c>
      <c r="CM244" s="67">
        <f t="shared" si="140"/>
        <v>0</v>
      </c>
      <c r="CN244" s="299"/>
      <c r="CO244" s="430">
        <v>79355.830787861938</v>
      </c>
      <c r="CP244" s="430">
        <v>7472.0688813251363</v>
      </c>
      <c r="CQ244" s="430">
        <v>6205.8649999999998</v>
      </c>
      <c r="CR244" s="430">
        <v>63276252.48374632</v>
      </c>
      <c r="CS244" s="430">
        <v>12818484.500752281</v>
      </c>
      <c r="CT244" s="430">
        <v>14795834.095750891</v>
      </c>
      <c r="CU244" s="430">
        <v>4436352.2005087733</v>
      </c>
      <c r="CV244" s="430">
        <v>-2129317</v>
      </c>
      <c r="CW244" s="430">
        <v>213306.97965848929</v>
      </c>
      <c r="CX244" s="430">
        <v>-58678.98</v>
      </c>
      <c r="CY244" s="430">
        <v>57961319.981474593</v>
      </c>
      <c r="CZ244" s="519"/>
      <c r="DA244" s="524">
        <v>80714.187819999992</v>
      </c>
      <c r="DB244" s="524">
        <v>7413.6379530867762</v>
      </c>
      <c r="DC244" s="520">
        <f t="shared" si="141"/>
        <v>-1</v>
      </c>
      <c r="DD244" s="440">
        <v>23998</v>
      </c>
      <c r="DE244" s="450">
        <v>57466834.375307366</v>
      </c>
      <c r="DF244" s="440">
        <v>34506244.584984057</v>
      </c>
      <c r="DG244" s="440">
        <v>6193250.7961000009</v>
      </c>
      <c r="DH244" s="440">
        <v>4472972.3848000001</v>
      </c>
      <c r="DI244" s="440">
        <v>12780699.740503646</v>
      </c>
      <c r="DJ244" s="440">
        <v>4450867.3051586486</v>
      </c>
      <c r="DK244" s="440">
        <v>2153689.1027409001</v>
      </c>
      <c r="DL244" s="440">
        <v>-2062635</v>
      </c>
      <c r="DM244" s="440">
        <v>-220000</v>
      </c>
      <c r="DN244" s="440">
        <v>211030.05560447651</v>
      </c>
      <c r="DO244" s="457">
        <f t="shared" si="142"/>
        <v>5019284.5945843607</v>
      </c>
      <c r="DP244" s="459">
        <f t="shared" si="143"/>
        <v>209.15428763165099</v>
      </c>
      <c r="DQ244" s="440"/>
      <c r="DR244" s="450">
        <v>162488000</v>
      </c>
      <c r="DS244" s="440">
        <v>79876974.128107011</v>
      </c>
      <c r="DT244" s="440">
        <v>6709458.5772000002</v>
      </c>
      <c r="DU244" s="440">
        <v>63238582.903746292</v>
      </c>
      <c r="DV244" s="440">
        <v>14844243.931258827</v>
      </c>
      <c r="DW244" s="440">
        <v>3910615.7961000009</v>
      </c>
      <c r="DX244" s="457">
        <f t="shared" si="144"/>
        <v>6091875.3364121318</v>
      </c>
      <c r="DY244" s="459">
        <f t="shared" si="145"/>
        <v>253.84929312493256</v>
      </c>
      <c r="DZ244" s="440"/>
      <c r="EA244" s="457">
        <f t="shared" si="146"/>
        <v>-1072590.7418277711</v>
      </c>
      <c r="EB244" s="459">
        <f t="shared" si="147"/>
        <v>-44.69500549328157</v>
      </c>
      <c r="ED244" s="457">
        <v>1172559.5668414747</v>
      </c>
      <c r="EE244" s="458">
        <v>781494.04076317907</v>
      </c>
      <c r="EF244" s="458">
        <v>395398.21900055278</v>
      </c>
      <c r="EG244" s="458">
        <v>14184.121842640876</v>
      </c>
      <c r="EH244" s="459">
        <v>-9242.7055219178856</v>
      </c>
    </row>
    <row r="245" spans="1:138" x14ac:dyDescent="0.2">
      <c r="A245" s="67">
        <v>738</v>
      </c>
      <c r="B245" s="67" t="s">
        <v>361</v>
      </c>
      <c r="C245" s="67">
        <v>2</v>
      </c>
      <c r="D245" s="67">
        <v>2917</v>
      </c>
      <c r="E245" s="82">
        <v>7446418.6378774792</v>
      </c>
      <c r="F245" s="67">
        <v>4625738.1476215618</v>
      </c>
      <c r="G245" s="67">
        <v>1241754</v>
      </c>
      <c r="H245" s="67">
        <v>495776.2098244963</v>
      </c>
      <c r="I245" s="67">
        <v>1366884.822854354</v>
      </c>
      <c r="J245" s="67">
        <v>574246.56734256609</v>
      </c>
      <c r="K245" s="67">
        <v>153589.40337547509</v>
      </c>
      <c r="L245" s="67">
        <v>-571952</v>
      </c>
      <c r="M245" s="68">
        <v>-1034.18</v>
      </c>
      <c r="N245" s="68">
        <v>28780.386200702258</v>
      </c>
      <c r="O245" s="68">
        <v>-84894.519831987913</v>
      </c>
      <c r="P245" s="168">
        <f t="shared" si="113"/>
        <v>382470.19950968877</v>
      </c>
      <c r="Q245" s="169">
        <f t="shared" si="114"/>
        <v>131.11765495704105</v>
      </c>
      <c r="R245" s="67"/>
      <c r="S245" s="82">
        <v>17876180</v>
      </c>
      <c r="T245" s="67">
        <v>10851231.968944853</v>
      </c>
      <c r="U245" s="67">
        <v>745127.98122593865</v>
      </c>
      <c r="V245" s="67">
        <v>4128998.2773555713</v>
      </c>
      <c r="W245" s="67">
        <v>1915189.9029749373</v>
      </c>
      <c r="X245" s="67">
        <v>668767.81999999995</v>
      </c>
      <c r="Y245" s="168">
        <f t="shared" si="115"/>
        <v>433135.95050130039</v>
      </c>
      <c r="Z245" s="169">
        <f t="shared" si="116"/>
        <v>148.48678453935563</v>
      </c>
      <c r="AA245" s="67"/>
      <c r="AB245" s="77">
        <f t="shared" si="117"/>
        <v>-50665.750991611625</v>
      </c>
      <c r="AC245" s="123">
        <f t="shared" si="118"/>
        <v>-17.369129582314578</v>
      </c>
      <c r="AE245" s="170"/>
      <c r="AF245" s="177">
        <v>10259.837461404391</v>
      </c>
      <c r="AG245" s="177">
        <v>-4251.8179974375025</v>
      </c>
      <c r="AH245" s="177">
        <v>-8694.4034875674988</v>
      </c>
      <c r="AI245" s="178">
        <v>-13733.422325027386</v>
      </c>
      <c r="AK245" s="67">
        <f t="shared" si="119"/>
        <v>6225493.8213232914</v>
      </c>
      <c r="AL245" s="67">
        <f t="shared" si="120"/>
        <v>249351.77140144235</v>
      </c>
      <c r="AM245" s="67">
        <f t="shared" si="121"/>
        <v>2762113.4545012172</v>
      </c>
      <c r="AN245" s="67">
        <f t="shared" si="122"/>
        <v>10429761.362122521</v>
      </c>
      <c r="AO245" s="67">
        <f t="shared" si="123"/>
        <v>0</v>
      </c>
      <c r="AP245" s="67">
        <f t="shared" si="124"/>
        <v>10259.837461404391</v>
      </c>
      <c r="AQ245" s="67">
        <f t="shared" si="125"/>
        <v>-4251.8179974375025</v>
      </c>
      <c r="AR245" s="67">
        <f t="shared" si="126"/>
        <v>-8694.4034875674988</v>
      </c>
      <c r="AS245" s="67">
        <f t="shared" si="127"/>
        <v>-13733.422325027386</v>
      </c>
      <c r="AT245" s="68">
        <v>538</v>
      </c>
      <c r="AU245" s="68"/>
      <c r="AV245" s="68"/>
      <c r="AW245" s="68">
        <v>46</v>
      </c>
      <c r="AX245" s="68">
        <v>2347.6381969661616</v>
      </c>
      <c r="AY245" s="68">
        <v>-466.20244212709923</v>
      </c>
      <c r="AZ245" s="68">
        <v>1343.3634337225633</v>
      </c>
      <c r="BA245" s="299"/>
      <c r="BB245" s="67"/>
      <c r="BC245" s="67"/>
      <c r="BD245" s="67"/>
      <c r="BE245" s="67"/>
      <c r="BF245" s="67"/>
      <c r="BG245" s="67"/>
      <c r="BH245" s="67"/>
      <c r="BN245" s="299"/>
      <c r="BO245" s="67">
        <v>7508311.1436393615</v>
      </c>
      <c r="BP245" s="67">
        <v>10136938.25</v>
      </c>
      <c r="BQ245" s="67">
        <v>9556000</v>
      </c>
      <c r="BR245" s="67">
        <v>217311.49000000002</v>
      </c>
      <c r="BS245" s="67">
        <v>264000</v>
      </c>
      <c r="BT245" s="428">
        <v>0.57371308982611702</v>
      </c>
      <c r="BU245" s="428">
        <v>0.33464287704132478</v>
      </c>
      <c r="BV245" s="67">
        <f t="shared" si="128"/>
        <v>4256646.1935090628</v>
      </c>
      <c r="BW245" s="299"/>
      <c r="BX245" s="67">
        <v>18022700</v>
      </c>
      <c r="BY245" s="67">
        <v>7508311.1436393615</v>
      </c>
      <c r="BZ245" s="67">
        <v>12879526.699079396</v>
      </c>
      <c r="CA245" s="67">
        <v>6411569.9864602378</v>
      </c>
      <c r="CB245" s="67">
        <f t="shared" si="129"/>
        <v>48435.600317262477</v>
      </c>
      <c r="CC245" s="67">
        <f t="shared" si="130"/>
        <v>148.4867845393556</v>
      </c>
      <c r="CD245" s="67">
        <f t="shared" si="131"/>
        <v>124.1724087361892</v>
      </c>
      <c r="CE245" s="67">
        <f t="shared" si="132"/>
        <v>-24.314375803166399</v>
      </c>
      <c r="CF245" s="67">
        <f t="shared" si="133"/>
        <v>9.3143758031663992</v>
      </c>
      <c r="CG245" s="67">
        <f t="shared" si="134"/>
        <v>0</v>
      </c>
      <c r="CH245" s="67">
        <f t="shared" si="135"/>
        <v>0</v>
      </c>
      <c r="CI245" s="67">
        <f t="shared" si="136"/>
        <v>0</v>
      </c>
      <c r="CJ245" s="67">
        <f t="shared" si="137"/>
        <v>27170.034217836386</v>
      </c>
      <c r="CK245" s="67">
        <f t="shared" si="138"/>
        <v>0</v>
      </c>
      <c r="CL245" s="67">
        <f t="shared" si="139"/>
        <v>0</v>
      </c>
      <c r="CM245" s="67">
        <f t="shared" si="140"/>
        <v>0</v>
      </c>
      <c r="CN245" s="299"/>
      <c r="CO245" s="430">
        <v>10851.231968944852</v>
      </c>
      <c r="CP245" s="430">
        <v>745.1279812259387</v>
      </c>
      <c r="CQ245" s="430">
        <v>1241.7539999999999</v>
      </c>
      <c r="CR245" s="430">
        <v>4128998.2773555713</v>
      </c>
      <c r="CS245" s="430">
        <v>1366884.822854354</v>
      </c>
      <c r="CT245" s="430">
        <v>1915189.9029749373</v>
      </c>
      <c r="CU245" s="430">
        <v>574246.56734256609</v>
      </c>
      <c r="CV245" s="430">
        <v>-571952</v>
      </c>
      <c r="CW245" s="430">
        <v>28780.386200702258</v>
      </c>
      <c r="CX245" s="430">
        <v>-1034.18</v>
      </c>
      <c r="CY245" s="430">
        <v>7446418.6378774792</v>
      </c>
      <c r="CZ245" s="519"/>
      <c r="DA245" s="524">
        <v>10928.69757</v>
      </c>
      <c r="DB245" s="524">
        <v>739.30140189797703</v>
      </c>
      <c r="DC245" s="520">
        <f t="shared" si="141"/>
        <v>-1</v>
      </c>
      <c r="DD245" s="440">
        <v>2959</v>
      </c>
      <c r="DE245" s="450">
        <v>7508311.1436393615</v>
      </c>
      <c r="DF245" s="440">
        <v>4725568.0830602376</v>
      </c>
      <c r="DG245" s="440">
        <v>1239949.152</v>
      </c>
      <c r="DH245" s="440">
        <v>446052.75140000001</v>
      </c>
      <c r="DI245" s="440">
        <v>1362241.6040060315</v>
      </c>
      <c r="DJ245" s="440">
        <v>575282.95194137655</v>
      </c>
      <c r="DK245" s="440">
        <v>48497.464560992346</v>
      </c>
      <c r="DL245" s="440">
        <v>-571952</v>
      </c>
      <c r="DM245" s="440">
        <v>36500</v>
      </c>
      <c r="DN245" s="440">
        <v>28670.72236053702</v>
      </c>
      <c r="DO245" s="457">
        <f t="shared" si="142"/>
        <v>382499.58568981383</v>
      </c>
      <c r="DP245" s="459">
        <f t="shared" si="143"/>
        <v>129.26650411957209</v>
      </c>
      <c r="DQ245" s="440"/>
      <c r="DR245" s="450">
        <v>18022700</v>
      </c>
      <c r="DS245" s="440">
        <v>10970498.419979395</v>
      </c>
      <c r="DT245" s="440">
        <v>669079.12709999993</v>
      </c>
      <c r="DU245" s="440">
        <v>4124366.2573555699</v>
      </c>
      <c r="DV245" s="440">
        <v>1918646.3856639399</v>
      </c>
      <c r="DW245" s="440">
        <v>704497.152</v>
      </c>
      <c r="DX245" s="457">
        <f t="shared" si="144"/>
        <v>364387.34209890664</v>
      </c>
      <c r="DY245" s="459">
        <f t="shared" si="145"/>
        <v>123.14543497766361</v>
      </c>
      <c r="DZ245" s="440"/>
      <c r="EA245" s="457">
        <f t="shared" si="146"/>
        <v>18112.243590907194</v>
      </c>
      <c r="EB245" s="459">
        <f t="shared" si="147"/>
        <v>6.1210691419084808</v>
      </c>
      <c r="ED245" s="457">
        <v>-5785.8933444045251</v>
      </c>
      <c r="EE245" s="458">
        <v>8492.2114988705089</v>
      </c>
      <c r="EF245" s="458">
        <v>5270.846943673776</v>
      </c>
      <c r="EG245" s="458">
        <v>1748.9297663294587</v>
      </c>
      <c r="EH245" s="459">
        <v>-1139.6435386013429</v>
      </c>
    </row>
    <row r="246" spans="1:138" x14ac:dyDescent="0.2">
      <c r="A246" s="67">
        <v>739</v>
      </c>
      <c r="B246" s="67" t="s">
        <v>362</v>
      </c>
      <c r="C246" s="67">
        <v>9</v>
      </c>
      <c r="D246" s="67">
        <v>3256</v>
      </c>
      <c r="E246" s="82">
        <v>9935796.4075525515</v>
      </c>
      <c r="F246" s="67">
        <v>4313796.6854053345</v>
      </c>
      <c r="G246" s="67">
        <v>1401894</v>
      </c>
      <c r="H246" s="67">
        <v>854096.98935452278</v>
      </c>
      <c r="I246" s="67">
        <v>617706.32954013126</v>
      </c>
      <c r="J246" s="67">
        <v>726941.19708046457</v>
      </c>
      <c r="K246" s="67">
        <v>1097058.6218270541</v>
      </c>
      <c r="L246" s="67">
        <v>350712</v>
      </c>
      <c r="M246" s="68">
        <v>-20224.03</v>
      </c>
      <c r="N246" s="68">
        <v>27714.514333930405</v>
      </c>
      <c r="O246" s="68">
        <v>-94760.561046607007</v>
      </c>
      <c r="P246" s="168">
        <f t="shared" si="113"/>
        <v>-660860.66105772101</v>
      </c>
      <c r="Q246" s="169">
        <f t="shared" si="114"/>
        <v>-202.96703349438607</v>
      </c>
      <c r="R246" s="67"/>
      <c r="S246" s="82">
        <v>26383327.640000001</v>
      </c>
      <c r="T246" s="67">
        <v>10119278.540227631</v>
      </c>
      <c r="U246" s="67">
        <v>1283667.0111181333</v>
      </c>
      <c r="V246" s="67">
        <v>11124358.226277813</v>
      </c>
      <c r="W246" s="67">
        <v>2424447.1275602533</v>
      </c>
      <c r="X246" s="67">
        <v>1732381.97</v>
      </c>
      <c r="Y246" s="168">
        <f t="shared" si="115"/>
        <v>300805.23518382758</v>
      </c>
      <c r="Z246" s="169">
        <f t="shared" si="116"/>
        <v>92.384900240733288</v>
      </c>
      <c r="AA246" s="67"/>
      <c r="AB246" s="77">
        <f t="shared" si="117"/>
        <v>-961665.89624154859</v>
      </c>
      <c r="AC246" s="123">
        <f t="shared" si="118"/>
        <v>-295.35193373511936</v>
      </c>
      <c r="AE246" s="170"/>
      <c r="AF246" s="177">
        <v>916564.19776559819</v>
      </c>
      <c r="AG246" s="177">
        <v>859239.95198386977</v>
      </c>
      <c r="AH246" s="177">
        <v>805441.07013407105</v>
      </c>
      <c r="AI246" s="178">
        <v>750976.44026270683</v>
      </c>
      <c r="AK246" s="67">
        <f t="shared" si="119"/>
        <v>5805481.8548222966</v>
      </c>
      <c r="AL246" s="67">
        <f t="shared" si="120"/>
        <v>429570.02176361054</v>
      </c>
      <c r="AM246" s="67">
        <f t="shared" si="121"/>
        <v>10506651.896737682</v>
      </c>
      <c r="AN246" s="67">
        <f t="shared" si="122"/>
        <v>16447531.232447449</v>
      </c>
      <c r="AO246" s="67">
        <f t="shared" si="123"/>
        <v>0</v>
      </c>
      <c r="AP246" s="67">
        <f t="shared" si="124"/>
        <v>916564.19776559819</v>
      </c>
      <c r="AQ246" s="67">
        <f t="shared" si="125"/>
        <v>859239.95198386977</v>
      </c>
      <c r="AR246" s="67">
        <f t="shared" si="126"/>
        <v>805441.07013407105</v>
      </c>
      <c r="AS246" s="67">
        <f t="shared" si="127"/>
        <v>750976.44026270683</v>
      </c>
      <c r="AT246" s="68">
        <v>1985</v>
      </c>
      <c r="AU246" s="68"/>
      <c r="AV246" s="68"/>
      <c r="AW246" s="68">
        <v>0</v>
      </c>
      <c r="AX246" s="68">
        <v>9174.5778905857132</v>
      </c>
      <c r="AY246" s="68">
        <v>-1101.7805244617905</v>
      </c>
      <c r="AZ246" s="68">
        <v>1701.3888589313867</v>
      </c>
      <c r="BA246" s="299"/>
      <c r="BB246" s="67"/>
      <c r="BC246" s="67"/>
      <c r="BD246" s="67"/>
      <c r="BE246" s="67"/>
      <c r="BF246" s="67"/>
      <c r="BG246" s="67"/>
      <c r="BH246" s="67"/>
      <c r="BN246" s="299"/>
      <c r="BO246" s="67">
        <v>10349215.031169567</v>
      </c>
      <c r="BP246" s="67">
        <v>14909923.749999998</v>
      </c>
      <c r="BQ246" s="67">
        <v>16311000</v>
      </c>
      <c r="BR246" s="67">
        <v>292917.15999999997</v>
      </c>
      <c r="BS246" s="67">
        <v>301000</v>
      </c>
      <c r="BT246" s="428">
        <v>0.5737051146228952</v>
      </c>
      <c r="BU246" s="428">
        <v>0.33464287704132489</v>
      </c>
      <c r="BV246" s="67">
        <f t="shared" si="128"/>
        <v>13301216.449044526</v>
      </c>
      <c r="BW246" s="299"/>
      <c r="BX246" s="67">
        <v>26367620</v>
      </c>
      <c r="BY246" s="67">
        <v>10349215.031169567</v>
      </c>
      <c r="BZ246" s="67">
        <v>13371189.00911008</v>
      </c>
      <c r="CA246" s="67">
        <v>6821553.4336577337</v>
      </c>
      <c r="CB246" s="67">
        <f t="shared" si="129"/>
        <v>1487910.4491310734</v>
      </c>
      <c r="CC246" s="67">
        <f t="shared" si="130"/>
        <v>92.384900240733927</v>
      </c>
      <c r="CD246" s="67">
        <f t="shared" si="131"/>
        <v>-53.823179578345993</v>
      </c>
      <c r="CE246" s="67">
        <f t="shared" si="132"/>
        <v>-146.20807981907993</v>
      </c>
      <c r="CF246" s="67">
        <f t="shared" si="133"/>
        <v>131.20807981907993</v>
      </c>
      <c r="CG246" s="67">
        <f t="shared" si="134"/>
        <v>116.20807981907993</v>
      </c>
      <c r="CH246" s="67">
        <f t="shared" si="135"/>
        <v>101.20807981907993</v>
      </c>
      <c r="CI246" s="67">
        <f t="shared" si="136"/>
        <v>86.208079819079927</v>
      </c>
      <c r="CJ246" s="67">
        <f t="shared" si="137"/>
        <v>427213.50789092423</v>
      </c>
      <c r="CK246" s="67">
        <f t="shared" si="138"/>
        <v>378373.50789092423</v>
      </c>
      <c r="CL246" s="67">
        <f t="shared" si="139"/>
        <v>329533.50789092423</v>
      </c>
      <c r="CM246" s="67">
        <f t="shared" si="140"/>
        <v>280693.50789092423</v>
      </c>
      <c r="CN246" s="299"/>
      <c r="CO246" s="430">
        <v>10119.278540227631</v>
      </c>
      <c r="CP246" s="430">
        <v>1283.6670111181334</v>
      </c>
      <c r="CQ246" s="430">
        <v>1401.894</v>
      </c>
      <c r="CR246" s="430">
        <v>11124358.226277813</v>
      </c>
      <c r="CS246" s="430">
        <v>617706.32954013126</v>
      </c>
      <c r="CT246" s="430">
        <v>2424447.1275602533</v>
      </c>
      <c r="CU246" s="430">
        <v>726941.19708046457</v>
      </c>
      <c r="CV246" s="430">
        <v>350712</v>
      </c>
      <c r="CW246" s="430">
        <v>27714.514333930405</v>
      </c>
      <c r="CX246" s="430">
        <v>-20224.03</v>
      </c>
      <c r="CY246" s="430">
        <v>9935796.4075525515</v>
      </c>
      <c r="CZ246" s="519"/>
      <c r="DA246" s="524">
        <v>10324.673929999999</v>
      </c>
      <c r="DB246" s="524">
        <v>1273.6276614365304</v>
      </c>
      <c r="DC246" s="520">
        <f t="shared" si="141"/>
        <v>-1</v>
      </c>
      <c r="DD246" s="440">
        <v>3261</v>
      </c>
      <c r="DE246" s="450">
        <v>10349215.031169567</v>
      </c>
      <c r="DF246" s="440">
        <v>4643465.7765577342</v>
      </c>
      <c r="DG246" s="440">
        <v>1409651.6077000001</v>
      </c>
      <c r="DH246" s="440">
        <v>768436.04940000002</v>
      </c>
      <c r="DI246" s="440">
        <v>612496.41951567214</v>
      </c>
      <c r="DJ246" s="440">
        <v>728604.02523682197</v>
      </c>
      <c r="DK246" s="440">
        <v>1487130.9457899807</v>
      </c>
      <c r="DL246" s="440">
        <v>348221</v>
      </c>
      <c r="DM246" s="440">
        <v>-31600</v>
      </c>
      <c r="DN246" s="440">
        <v>29032.78291583508</v>
      </c>
      <c r="DO246" s="457">
        <f t="shared" si="142"/>
        <v>-353776.42405352369</v>
      </c>
      <c r="DP246" s="459">
        <f t="shared" si="143"/>
        <v>-108.48709722585824</v>
      </c>
      <c r="DQ246" s="440"/>
      <c r="DR246" s="450">
        <v>26367620</v>
      </c>
      <c r="DS246" s="440">
        <v>10808883.32731008</v>
      </c>
      <c r="DT246" s="440">
        <v>1152654.0741000001</v>
      </c>
      <c r="DU246" s="440">
        <v>11119169.306277808</v>
      </c>
      <c r="DV246" s="440">
        <v>2429992.8841682086</v>
      </c>
      <c r="DW246" s="440">
        <v>1726272.6077000001</v>
      </c>
      <c r="DX246" s="457">
        <f t="shared" si="144"/>
        <v>869352.19955609739</v>
      </c>
      <c r="DY246" s="459">
        <f t="shared" si="145"/>
        <v>266.59067757010041</v>
      </c>
      <c r="DZ246" s="440"/>
      <c r="EA246" s="457">
        <f t="shared" si="146"/>
        <v>-1223128.6236096211</v>
      </c>
      <c r="EB246" s="459">
        <f t="shared" si="147"/>
        <v>-375.07777479595865</v>
      </c>
      <c r="ED246" s="457">
        <v>1236713.0197413701</v>
      </c>
      <c r="EE246" s="458">
        <v>1183572.5630140877</v>
      </c>
      <c r="EF246" s="458">
        <v>1131107.4211369345</v>
      </c>
      <c r="EG246" s="458">
        <v>1078311.0517840046</v>
      </c>
      <c r="EH246" s="459">
        <v>1026212.6663337243</v>
      </c>
    </row>
    <row r="247" spans="1:138" x14ac:dyDescent="0.2">
      <c r="A247" s="67">
        <v>740</v>
      </c>
      <c r="B247" s="67" t="s">
        <v>363</v>
      </c>
      <c r="C247" s="67">
        <v>10</v>
      </c>
      <c r="D247" s="67">
        <v>32085</v>
      </c>
      <c r="E247" s="82">
        <v>75828741.312263846</v>
      </c>
      <c r="F247" s="67">
        <v>49552761.874883831</v>
      </c>
      <c r="G247" s="67">
        <v>14080354</v>
      </c>
      <c r="H247" s="67">
        <v>8625820.5636097547</v>
      </c>
      <c r="I247" s="67">
        <v>7617385.1620982168</v>
      </c>
      <c r="J247" s="67">
        <v>6103215.7012113556</v>
      </c>
      <c r="K247" s="67">
        <v>-5449767.2518127309</v>
      </c>
      <c r="L247" s="67">
        <v>-1621307</v>
      </c>
      <c r="M247" s="68">
        <v>857910.35</v>
      </c>
      <c r="N247" s="68">
        <v>302494.03683085978</v>
      </c>
      <c r="O247" s="68">
        <v>-933781.51141903747</v>
      </c>
      <c r="P247" s="168">
        <f t="shared" si="113"/>
        <v>3306344.6131383982</v>
      </c>
      <c r="Q247" s="169">
        <f t="shared" si="114"/>
        <v>103.04954380983008</v>
      </c>
      <c r="R247" s="67"/>
      <c r="S247" s="82">
        <v>238321448.10999998</v>
      </c>
      <c r="T247" s="67">
        <v>113267752.70461443</v>
      </c>
      <c r="U247" s="67">
        <v>12964196.618581172</v>
      </c>
      <c r="V247" s="67">
        <v>79516258.526171058</v>
      </c>
      <c r="W247" s="67">
        <v>20355049.122418426</v>
      </c>
      <c r="X247" s="67">
        <v>13316957.35</v>
      </c>
      <c r="Y247" s="168">
        <f t="shared" si="115"/>
        <v>1098766.2117851079</v>
      </c>
      <c r="Z247" s="169">
        <f t="shared" si="116"/>
        <v>34.245479563194884</v>
      </c>
      <c r="AA247" s="67"/>
      <c r="AB247" s="77">
        <f t="shared" si="117"/>
        <v>2207578.4013532903</v>
      </c>
      <c r="AC247" s="123">
        <f t="shared" si="118"/>
        <v>68.804064246635193</v>
      </c>
      <c r="AE247" s="170"/>
      <c r="AF247" s="177">
        <v>-1689465.7464395578</v>
      </c>
      <c r="AG247" s="177">
        <v>-1291795.4841259071</v>
      </c>
      <c r="AH247" s="177">
        <v>-859385.87852111482</v>
      </c>
      <c r="AI247" s="178">
        <v>-433536.63080082019</v>
      </c>
      <c r="AK247" s="67">
        <f t="shared" si="119"/>
        <v>63714990.8297306</v>
      </c>
      <c r="AL247" s="67">
        <f t="shared" si="120"/>
        <v>4338376.0549714174</v>
      </c>
      <c r="AM247" s="67">
        <f t="shared" si="121"/>
        <v>71898873.364072844</v>
      </c>
      <c r="AN247" s="67">
        <f t="shared" si="122"/>
        <v>162492706.79773614</v>
      </c>
      <c r="AO247" s="67">
        <f t="shared" si="123"/>
        <v>0</v>
      </c>
      <c r="AP247" s="67">
        <f t="shared" si="124"/>
        <v>-1689465.7464395578</v>
      </c>
      <c r="AQ247" s="67">
        <f t="shared" si="125"/>
        <v>-1291795.4841259071</v>
      </c>
      <c r="AR247" s="67">
        <f t="shared" si="126"/>
        <v>-859385.87852111482</v>
      </c>
      <c r="AS247" s="67">
        <f t="shared" si="127"/>
        <v>-433536.63080082019</v>
      </c>
      <c r="AT247" s="363">
        <v>10907</v>
      </c>
      <c r="AU247" s="68"/>
      <c r="AV247" s="68"/>
      <c r="AW247" s="68">
        <v>0</v>
      </c>
      <c r="AX247" s="68">
        <v>62894.19192021239</v>
      </c>
      <c r="AY247" s="68">
        <v>-7579.0816773386459</v>
      </c>
      <c r="AZ247" s="68">
        <v>14288.904142906262</v>
      </c>
      <c r="BA247" s="299"/>
      <c r="BB247" s="67"/>
      <c r="BC247" s="67"/>
      <c r="BD247" s="67"/>
      <c r="BE247" s="67"/>
      <c r="BF247" s="67"/>
      <c r="BG247" s="67"/>
      <c r="BH247" s="67"/>
      <c r="BN247" s="299"/>
      <c r="BO247" s="67">
        <v>76293729.789295346</v>
      </c>
      <c r="BP247" s="67">
        <v>151709095.09000003</v>
      </c>
      <c r="BQ247" s="67">
        <v>156097000</v>
      </c>
      <c r="BR247" s="67">
        <v>3129611.34</v>
      </c>
      <c r="BS247" s="67">
        <v>3376000</v>
      </c>
      <c r="BT247" s="428">
        <v>0.56251659725155745</v>
      </c>
      <c r="BU247" s="428">
        <v>0.33464287704132478</v>
      </c>
      <c r="BV247" s="67">
        <f t="shared" si="128"/>
        <v>80700939.533467188</v>
      </c>
      <c r="BW247" s="299"/>
      <c r="BX247" s="67">
        <v>232580863</v>
      </c>
      <c r="BY247" s="67">
        <v>76293729.789295346</v>
      </c>
      <c r="BZ247" s="67">
        <v>141716013.14867404</v>
      </c>
      <c r="CA247" s="67">
        <v>73241605.273419917</v>
      </c>
      <c r="CB247" s="67">
        <f t="shared" si="129"/>
        <v>-2020177.0379498356</v>
      </c>
      <c r="CC247" s="67">
        <f t="shared" si="130"/>
        <v>34.245479563194827</v>
      </c>
      <c r="CD247" s="67">
        <f t="shared" si="131"/>
        <v>239.04367581176047</v>
      </c>
      <c r="CE247" s="67">
        <f t="shared" si="132"/>
        <v>204.79819624856563</v>
      </c>
      <c r="CF247" s="67">
        <f t="shared" si="133"/>
        <v>-189.79819624856563</v>
      </c>
      <c r="CG247" s="67">
        <f t="shared" si="134"/>
        <v>-174.79819624856563</v>
      </c>
      <c r="CH247" s="67">
        <f t="shared" si="135"/>
        <v>-159.79819624856563</v>
      </c>
      <c r="CI247" s="67">
        <f t="shared" si="136"/>
        <v>-144.79819624856563</v>
      </c>
      <c r="CJ247" s="67">
        <f t="shared" si="137"/>
        <v>-6089675.1266352283</v>
      </c>
      <c r="CK247" s="67">
        <f t="shared" si="138"/>
        <v>-5608400.1266352283</v>
      </c>
      <c r="CL247" s="67">
        <f t="shared" si="139"/>
        <v>-5127125.1266352283</v>
      </c>
      <c r="CM247" s="67">
        <f t="shared" si="140"/>
        <v>-4645850.1266352283</v>
      </c>
      <c r="CN247" s="299"/>
      <c r="CO247" s="430">
        <v>113267.75270461442</v>
      </c>
      <c r="CP247" s="430">
        <v>12964.196618581173</v>
      </c>
      <c r="CQ247" s="430">
        <v>14080.353999999999</v>
      </c>
      <c r="CR247" s="430">
        <v>79516258.526171058</v>
      </c>
      <c r="CS247" s="430">
        <v>7617385.1620982168</v>
      </c>
      <c r="CT247" s="430">
        <v>20355049.122418426</v>
      </c>
      <c r="CU247" s="430">
        <v>6103215.7012113556</v>
      </c>
      <c r="CV247" s="430">
        <v>-1621307</v>
      </c>
      <c r="CW247" s="430">
        <v>302494.03683085978</v>
      </c>
      <c r="CX247" s="430">
        <v>857910.35</v>
      </c>
      <c r="CY247" s="430">
        <v>75828741.312263846</v>
      </c>
      <c r="CZ247" s="519"/>
      <c r="DA247" s="524">
        <v>116537.49829</v>
      </c>
      <c r="DB247" s="524">
        <v>12862.815647261679</v>
      </c>
      <c r="DC247" s="520">
        <f t="shared" si="141"/>
        <v>-1</v>
      </c>
      <c r="DD247" s="440">
        <v>32547</v>
      </c>
      <c r="DE247" s="450">
        <v>76293729.789295346</v>
      </c>
      <c r="DF247" s="440">
        <v>51287315.518519916</v>
      </c>
      <c r="DG247" s="440">
        <v>14193588.6175</v>
      </c>
      <c r="DH247" s="440">
        <v>7760701.1374000004</v>
      </c>
      <c r="DI247" s="440">
        <v>7566183.6018247958</v>
      </c>
      <c r="DJ247" s="440">
        <v>6119090.8945316281</v>
      </c>
      <c r="DK247" s="440">
        <v>-2020804.7409270357</v>
      </c>
      <c r="DL247" s="440">
        <v>-1632289</v>
      </c>
      <c r="DM247" s="440">
        <v>100000</v>
      </c>
      <c r="DN247" s="440">
        <v>303528.73777947575</v>
      </c>
      <c r="DO247" s="457">
        <f t="shared" si="142"/>
        <v>7383584.9773334265</v>
      </c>
      <c r="DP247" s="459">
        <f t="shared" si="143"/>
        <v>226.85915682961337</v>
      </c>
      <c r="DQ247" s="440"/>
      <c r="DR247" s="450">
        <v>232580863</v>
      </c>
      <c r="DS247" s="440">
        <v>115881372.82507403</v>
      </c>
      <c r="DT247" s="440">
        <v>11641051.7061</v>
      </c>
      <c r="DU247" s="440">
        <v>79465243.266171083</v>
      </c>
      <c r="DV247" s="440">
        <v>20407995.03743789</v>
      </c>
      <c r="DW247" s="440">
        <v>12661299.6175</v>
      </c>
      <c r="DX247" s="457">
        <f t="shared" si="144"/>
        <v>7476099.4522830248</v>
      </c>
      <c r="DY247" s="459">
        <f t="shared" si="145"/>
        <v>229.70164538307753</v>
      </c>
      <c r="DZ247" s="440"/>
      <c r="EA247" s="457">
        <f t="shared" si="146"/>
        <v>-92514.474949598312</v>
      </c>
      <c r="EB247" s="459">
        <f t="shared" si="147"/>
        <v>-2.8424885534641691</v>
      </c>
      <c r="ED247" s="457">
        <v>228095.99623139424</v>
      </c>
      <c r="EE247" s="458">
        <v>93408.586567670995</v>
      </c>
      <c r="EF247" s="458">
        <v>57975.753793764918</v>
      </c>
      <c r="EG247" s="458">
        <v>19237.045320961439</v>
      </c>
      <c r="EH247" s="459">
        <v>-12535.308634963807</v>
      </c>
    </row>
    <row r="248" spans="1:138" x14ac:dyDescent="0.2">
      <c r="A248" s="67">
        <v>742</v>
      </c>
      <c r="B248" s="67" t="s">
        <v>364</v>
      </c>
      <c r="C248" s="67">
        <v>19</v>
      </c>
      <c r="D248" s="67">
        <v>988</v>
      </c>
      <c r="E248" s="82">
        <v>4286324.1445645289</v>
      </c>
      <c r="F248" s="67">
        <v>1318443.4821553477</v>
      </c>
      <c r="G248" s="67">
        <v>417256</v>
      </c>
      <c r="H248" s="67">
        <v>903945.74324409233</v>
      </c>
      <c r="I248" s="67">
        <v>847414.88304508489</v>
      </c>
      <c r="J248" s="67">
        <v>227912.11259493697</v>
      </c>
      <c r="K248" s="67">
        <v>-207275.45199073342</v>
      </c>
      <c r="L248" s="67">
        <v>282399</v>
      </c>
      <c r="M248" s="68">
        <v>-6149.41</v>
      </c>
      <c r="N248" s="68">
        <v>9652.5369020511844</v>
      </c>
      <c r="O248" s="68">
        <v>-28754.126017827926</v>
      </c>
      <c r="P248" s="168">
        <f t="shared" si="113"/>
        <v>-521479.37463157711</v>
      </c>
      <c r="Q248" s="169">
        <f t="shared" si="114"/>
        <v>-527.81313221819551</v>
      </c>
      <c r="R248" s="67"/>
      <c r="S248" s="82">
        <v>10142030.729999999</v>
      </c>
      <c r="T248" s="67">
        <v>3035374.0968873249</v>
      </c>
      <c r="U248" s="67">
        <v>1358587.3090596427</v>
      </c>
      <c r="V248" s="67">
        <v>3861272.3380232784</v>
      </c>
      <c r="W248" s="67">
        <v>760117.69443824957</v>
      </c>
      <c r="X248" s="67">
        <v>693505.59</v>
      </c>
      <c r="Y248" s="168">
        <f t="shared" si="115"/>
        <v>-433173.70159150474</v>
      </c>
      <c r="Z248" s="169">
        <f t="shared" si="116"/>
        <v>-438.43492063917483</v>
      </c>
      <c r="AA248" s="67"/>
      <c r="AB248" s="77">
        <f t="shared" si="117"/>
        <v>-88305.673040072375</v>
      </c>
      <c r="AC248" s="123">
        <f t="shared" si="118"/>
        <v>-89.378211579020629</v>
      </c>
      <c r="AE248" s="170"/>
      <c r="AF248" s="177">
        <v>74620.02251973025</v>
      </c>
      <c r="AG248" s="177">
        <v>57225.564647387633</v>
      </c>
      <c r="AH248" s="177">
        <v>40900.842513603457</v>
      </c>
      <c r="AI248" s="178">
        <v>24374.105931015056</v>
      </c>
      <c r="AK248" s="67">
        <f t="shared" si="119"/>
        <v>1716930.6147319772</v>
      </c>
      <c r="AL248" s="67">
        <f t="shared" si="120"/>
        <v>454641.56581555039</v>
      </c>
      <c r="AM248" s="67">
        <f t="shared" si="121"/>
        <v>3013857.4549781936</v>
      </c>
      <c r="AN248" s="67">
        <f t="shared" si="122"/>
        <v>5855706.5854354696</v>
      </c>
      <c r="AO248" s="67">
        <f t="shared" si="123"/>
        <v>0</v>
      </c>
      <c r="AP248" s="67">
        <f t="shared" si="124"/>
        <v>74620.02251973025</v>
      </c>
      <c r="AQ248" s="67">
        <f t="shared" si="125"/>
        <v>57225.564647387633</v>
      </c>
      <c r="AR248" s="67">
        <f t="shared" si="126"/>
        <v>40900.842513603457</v>
      </c>
      <c r="AS248" s="67">
        <f t="shared" si="127"/>
        <v>24374.105931015056</v>
      </c>
      <c r="AT248" s="68">
        <v>250</v>
      </c>
      <c r="AU248" s="68"/>
      <c r="AV248" s="68"/>
      <c r="AW248" s="68">
        <v>47</v>
      </c>
      <c r="AX248" s="68">
        <v>2713.8892174634038</v>
      </c>
      <c r="AY248" s="68">
        <v>-73.47892981422828</v>
      </c>
      <c r="AZ248" s="68">
        <v>533.02980120348423</v>
      </c>
      <c r="BA248" s="299"/>
      <c r="BB248" s="67"/>
      <c r="BC248" s="67"/>
      <c r="BD248" s="67"/>
      <c r="BE248" s="67"/>
      <c r="BF248" s="67"/>
      <c r="BG248" s="67"/>
      <c r="BH248" s="67"/>
      <c r="BN248" s="299"/>
      <c r="BO248" s="67">
        <v>3909238.4087708984</v>
      </c>
      <c r="BP248" s="67">
        <v>5317514.1899999995</v>
      </c>
      <c r="BQ248" s="67">
        <v>5583000</v>
      </c>
      <c r="BR248" s="67">
        <v>201742.86</v>
      </c>
      <c r="BS248" s="67">
        <v>224000</v>
      </c>
      <c r="BT248" s="428">
        <v>0.56564053059971497</v>
      </c>
      <c r="BU248" s="428">
        <v>0.33464287704132484</v>
      </c>
      <c r="BV248" s="67">
        <f t="shared" si="128"/>
        <v>3338787.5848307726</v>
      </c>
      <c r="BW248" s="299"/>
      <c r="BX248" s="67">
        <v>9629200</v>
      </c>
      <c r="BY248" s="67">
        <v>3909238.4087708984</v>
      </c>
      <c r="BZ248" s="67">
        <v>4740338.2343111783</v>
      </c>
      <c r="CA248" s="67">
        <v>2599867.155416037</v>
      </c>
      <c r="CB248" s="67">
        <f t="shared" si="129"/>
        <v>-161504.24711801767</v>
      </c>
      <c r="CC248" s="67">
        <f t="shared" si="130"/>
        <v>-438.43492063917262</v>
      </c>
      <c r="CD248" s="67">
        <f t="shared" si="131"/>
        <v>-452.38263536541837</v>
      </c>
      <c r="CE248" s="67">
        <f t="shared" si="132"/>
        <v>-13.947714726245749</v>
      </c>
      <c r="CF248" s="67">
        <f t="shared" si="133"/>
        <v>0</v>
      </c>
      <c r="CG248" s="67">
        <f t="shared" si="134"/>
        <v>0</v>
      </c>
      <c r="CH248" s="67">
        <f t="shared" si="135"/>
        <v>0</v>
      </c>
      <c r="CI248" s="67">
        <f t="shared" si="136"/>
        <v>0</v>
      </c>
      <c r="CJ248" s="67">
        <f t="shared" si="137"/>
        <v>0</v>
      </c>
      <c r="CK248" s="67">
        <f t="shared" si="138"/>
        <v>0</v>
      </c>
      <c r="CL248" s="67">
        <f t="shared" si="139"/>
        <v>0</v>
      </c>
      <c r="CM248" s="67">
        <f t="shared" si="140"/>
        <v>0</v>
      </c>
      <c r="CN248" s="299"/>
      <c r="CO248" s="430">
        <v>3035.3740968873249</v>
      </c>
      <c r="CP248" s="430">
        <v>1358.5873090596426</v>
      </c>
      <c r="CQ248" s="430">
        <v>417.25599999999997</v>
      </c>
      <c r="CR248" s="430">
        <v>3861272.3380232784</v>
      </c>
      <c r="CS248" s="430">
        <v>847414.88304508489</v>
      </c>
      <c r="CT248" s="430">
        <v>760117.69443824957</v>
      </c>
      <c r="CU248" s="430">
        <v>227912.11259493697</v>
      </c>
      <c r="CV248" s="430">
        <v>282399</v>
      </c>
      <c r="CW248" s="430">
        <v>9652.5369020511844</v>
      </c>
      <c r="CX248" s="430">
        <v>-6149.41</v>
      </c>
      <c r="CY248" s="430">
        <v>4286324.1445645289</v>
      </c>
      <c r="CZ248" s="519"/>
      <c r="DA248" s="524">
        <v>3291.3991700000001</v>
      </c>
      <c r="DB248" s="524">
        <v>1347.9621664709853</v>
      </c>
      <c r="DC248" s="520">
        <f t="shared" si="141"/>
        <v>-1</v>
      </c>
      <c r="DD248" s="440">
        <v>1009</v>
      </c>
      <c r="DE248" s="450">
        <v>3909238.4087708984</v>
      </c>
      <c r="DF248" s="440">
        <v>1349772.4350160367</v>
      </c>
      <c r="DG248" s="440">
        <v>436809.45599999995</v>
      </c>
      <c r="DH248" s="440">
        <v>813285.26439999999</v>
      </c>
      <c r="DI248" s="440">
        <v>845835.69999999844</v>
      </c>
      <c r="DJ248" s="440">
        <v>228265.07690427033</v>
      </c>
      <c r="DK248" s="440">
        <v>-161407.18414677025</v>
      </c>
      <c r="DL248" s="440">
        <v>236190</v>
      </c>
      <c r="DM248" s="440">
        <v>-3500</v>
      </c>
      <c r="DN248" s="440">
        <v>9488.1358596648388</v>
      </c>
      <c r="DO248" s="457">
        <f t="shared" si="142"/>
        <v>-154499.52473769803</v>
      </c>
      <c r="DP248" s="459">
        <f t="shared" si="143"/>
        <v>-153.12143185103866</v>
      </c>
      <c r="DQ248" s="440"/>
      <c r="DR248" s="450">
        <v>9629200</v>
      </c>
      <c r="DS248" s="440">
        <v>3083600.8817111785</v>
      </c>
      <c r="DT248" s="440">
        <v>1219927.8965999999</v>
      </c>
      <c r="DU248" s="440">
        <v>3859699.5680232779</v>
      </c>
      <c r="DV248" s="440">
        <v>761294.87810775451</v>
      </c>
      <c r="DW248" s="440">
        <v>669499.45600000001</v>
      </c>
      <c r="DX248" s="457">
        <f t="shared" si="144"/>
        <v>-35177.319557789713</v>
      </c>
      <c r="DY248" s="459">
        <f t="shared" si="145"/>
        <v>-34.863547629127567</v>
      </c>
      <c r="DZ248" s="440"/>
      <c r="EA248" s="457">
        <f t="shared" si="146"/>
        <v>-119322.20517990831</v>
      </c>
      <c r="EB248" s="459">
        <f t="shared" si="147"/>
        <v>-118.25788422191111</v>
      </c>
      <c r="ED248" s="457">
        <v>123525.41146538353</v>
      </c>
      <c r="EE248" s="458">
        <v>107082.99477178406</v>
      </c>
      <c r="EF248" s="458">
        <v>90849.530143127908</v>
      </c>
      <c r="EG248" s="458">
        <v>74513.579000194339</v>
      </c>
      <c r="EH248" s="459">
        <v>58393.594050996922</v>
      </c>
    </row>
    <row r="249" spans="1:138" x14ac:dyDescent="0.2">
      <c r="A249" s="67">
        <v>743</v>
      </c>
      <c r="B249" s="67" t="s">
        <v>365</v>
      </c>
      <c r="C249" s="67">
        <v>14</v>
      </c>
      <c r="D249" s="67">
        <v>65323</v>
      </c>
      <c r="E249" s="82">
        <v>176181177.06874034</v>
      </c>
      <c r="F249" s="67">
        <v>102232659.06440751</v>
      </c>
      <c r="G249" s="67">
        <v>28330085</v>
      </c>
      <c r="H249" s="67">
        <v>15880558.574996563</v>
      </c>
      <c r="I249" s="67">
        <v>31406569.753894337</v>
      </c>
      <c r="J249" s="67">
        <v>9705604.1564810351</v>
      </c>
      <c r="K249" s="67">
        <v>-2961304.6405599518</v>
      </c>
      <c r="L249" s="67">
        <v>-2731351</v>
      </c>
      <c r="M249" s="68">
        <v>8056116.1699999999</v>
      </c>
      <c r="N249" s="68">
        <v>692442.55033710459</v>
      </c>
      <c r="O249" s="68">
        <v>-1901119.2043143457</v>
      </c>
      <c r="P249" s="168">
        <f t="shared" si="113"/>
        <v>12529083.356501913</v>
      </c>
      <c r="Q249" s="169">
        <f t="shared" si="114"/>
        <v>191.80202006187579</v>
      </c>
      <c r="R249" s="67"/>
      <c r="S249" s="82">
        <v>423020395.91999996</v>
      </c>
      <c r="T249" s="67">
        <v>250027234.47804132</v>
      </c>
      <c r="U249" s="67">
        <v>23867721.599461846</v>
      </c>
      <c r="V249" s="67">
        <v>94334169.357771128</v>
      </c>
      <c r="W249" s="67">
        <v>32369501.429993518</v>
      </c>
      <c r="X249" s="67">
        <v>33654850.170000002</v>
      </c>
      <c r="Y249" s="168">
        <f t="shared" si="115"/>
        <v>11233081.115267873</v>
      </c>
      <c r="Z249" s="169">
        <f t="shared" si="116"/>
        <v>171.96211311893012</v>
      </c>
      <c r="AA249" s="67"/>
      <c r="AB249" s="77">
        <f t="shared" si="117"/>
        <v>1296002.2412340399</v>
      </c>
      <c r="AC249" s="123">
        <f t="shared" si="118"/>
        <v>19.839906942945667</v>
      </c>
      <c r="AE249" s="170"/>
      <c r="AF249" s="177">
        <v>-241158.14097140339</v>
      </c>
      <c r="AG249" s="177">
        <v>-95214.777869938291</v>
      </c>
      <c r="AH249" s="177">
        <v>-194701.58348247231</v>
      </c>
      <c r="AI249" s="178">
        <v>-307544.85654362832</v>
      </c>
      <c r="AK249" s="67">
        <f t="shared" si="119"/>
        <v>147794575.41363382</v>
      </c>
      <c r="AL249" s="67">
        <f t="shared" si="120"/>
        <v>7987163.0244652834</v>
      </c>
      <c r="AM249" s="67">
        <f t="shared" si="121"/>
        <v>62927599.603876792</v>
      </c>
      <c r="AN249" s="67">
        <f t="shared" si="122"/>
        <v>246839218.85125962</v>
      </c>
      <c r="AO249" s="67">
        <f t="shared" si="123"/>
        <v>0</v>
      </c>
      <c r="AP249" s="67">
        <f t="shared" si="124"/>
        <v>-241158.14097140339</v>
      </c>
      <c r="AQ249" s="67">
        <f t="shared" si="125"/>
        <v>-95214.777869938291</v>
      </c>
      <c r="AR249" s="67">
        <f t="shared" si="126"/>
        <v>-194701.58348247231</v>
      </c>
      <c r="AS249" s="67">
        <f t="shared" si="127"/>
        <v>-307544.85654362832</v>
      </c>
      <c r="AT249" s="68">
        <v>23100</v>
      </c>
      <c r="AU249" s="68"/>
      <c r="AV249" s="68"/>
      <c r="AW249" s="68">
        <v>1060</v>
      </c>
      <c r="AX249" s="68">
        <v>56315.072075081705</v>
      </c>
      <c r="AY249" s="68">
        <v>-5934.3266763225947</v>
      </c>
      <c r="AZ249" s="68">
        <v>22750.470573308074</v>
      </c>
      <c r="BA249" s="299"/>
      <c r="BB249" s="67"/>
      <c r="BC249" s="67"/>
      <c r="BD249" s="67"/>
      <c r="BE249" s="67"/>
      <c r="BF249" s="67"/>
      <c r="BG249" s="67"/>
      <c r="BH249" s="67"/>
      <c r="BN249" s="299"/>
      <c r="BO249" s="67">
        <v>168983914.70935771</v>
      </c>
      <c r="BP249" s="67">
        <v>231968747.38999996</v>
      </c>
      <c r="BQ249" s="67">
        <v>232234000</v>
      </c>
      <c r="BR249" s="67">
        <v>6204494.4199999971</v>
      </c>
      <c r="BS249" s="67">
        <v>7048000</v>
      </c>
      <c r="BT249" s="428">
        <v>0.59111390693966137</v>
      </c>
      <c r="BU249" s="428">
        <v>0.33464287704132484</v>
      </c>
      <c r="BV249" s="67">
        <f t="shared" si="128"/>
        <v>82630192.236829311</v>
      </c>
      <c r="BW249" s="299"/>
      <c r="BX249" s="67">
        <v>409622500</v>
      </c>
      <c r="BY249" s="67">
        <v>168983914.70935771</v>
      </c>
      <c r="BZ249" s="67">
        <v>289591456.5284785</v>
      </c>
      <c r="CA249" s="67">
        <v>142435737.98644948</v>
      </c>
      <c r="CB249" s="67">
        <f t="shared" si="129"/>
        <v>-5522268.2401329335</v>
      </c>
      <c r="CC249" s="67">
        <f t="shared" si="130"/>
        <v>171.96211311893001</v>
      </c>
      <c r="CD249" s="67">
        <f t="shared" si="131"/>
        <v>181.70076330302157</v>
      </c>
      <c r="CE249" s="67">
        <f t="shared" si="132"/>
        <v>9.7386501840915685</v>
      </c>
      <c r="CF249" s="67">
        <f t="shared" si="133"/>
        <v>0</v>
      </c>
      <c r="CG249" s="67">
        <f t="shared" si="134"/>
        <v>0</v>
      </c>
      <c r="CH249" s="67">
        <f t="shared" si="135"/>
        <v>0</v>
      </c>
      <c r="CI249" s="67">
        <f t="shared" si="136"/>
        <v>0</v>
      </c>
      <c r="CJ249" s="67">
        <f t="shared" si="137"/>
        <v>0</v>
      </c>
      <c r="CK249" s="67">
        <f t="shared" si="138"/>
        <v>0</v>
      </c>
      <c r="CL249" s="67">
        <f t="shared" si="139"/>
        <v>0</v>
      </c>
      <c r="CM249" s="67">
        <f t="shared" si="140"/>
        <v>0</v>
      </c>
      <c r="CN249" s="299"/>
      <c r="CO249" s="430">
        <v>250027.23447804133</v>
      </c>
      <c r="CP249" s="430">
        <v>23867.721599461845</v>
      </c>
      <c r="CQ249" s="430">
        <v>28330.084999999999</v>
      </c>
      <c r="CR249" s="430">
        <v>94334169.357771128</v>
      </c>
      <c r="CS249" s="430">
        <v>31406569.753894337</v>
      </c>
      <c r="CT249" s="430">
        <v>32369501.429993518</v>
      </c>
      <c r="CU249" s="430">
        <v>9705604.1564810351</v>
      </c>
      <c r="CV249" s="430">
        <v>-2731351</v>
      </c>
      <c r="CW249" s="430">
        <v>692442.55033710459</v>
      </c>
      <c r="CX249" s="430">
        <v>8056116.1699999999</v>
      </c>
      <c r="CY249" s="430">
        <v>176181177.06874034</v>
      </c>
      <c r="CZ249" s="519"/>
      <c r="DA249" s="524">
        <v>245190.62208999999</v>
      </c>
      <c r="DB249" s="524">
        <v>23558.29882876794</v>
      </c>
      <c r="DC249" s="520">
        <f t="shared" si="141"/>
        <v>-1</v>
      </c>
      <c r="DD249" s="440">
        <v>64736</v>
      </c>
      <c r="DE249" s="450">
        <v>168983914.70935771</v>
      </c>
      <c r="DF249" s="440">
        <v>99362263.719249472</v>
      </c>
      <c r="DG249" s="440">
        <v>28785642.971999999</v>
      </c>
      <c r="DH249" s="440">
        <v>14287831.295200001</v>
      </c>
      <c r="DI249" s="440">
        <v>31305599.605784781</v>
      </c>
      <c r="DJ249" s="440">
        <v>9742678.3705138937</v>
      </c>
      <c r="DK249" s="440">
        <v>-5497885.2655691179</v>
      </c>
      <c r="DL249" s="440">
        <v>-2752954</v>
      </c>
      <c r="DM249" s="440">
        <v>7918300</v>
      </c>
      <c r="DN249" s="440">
        <v>652301.94596886262</v>
      </c>
      <c r="DO249" s="457">
        <f t="shared" si="142"/>
        <v>14819863.933790177</v>
      </c>
      <c r="DP249" s="459">
        <f t="shared" si="143"/>
        <v>228.92770535390164</v>
      </c>
      <c r="DQ249" s="440"/>
      <c r="DR249" s="450">
        <v>409622500</v>
      </c>
      <c r="DS249" s="440">
        <v>239374066.61367849</v>
      </c>
      <c r="DT249" s="440">
        <v>21431746.9428</v>
      </c>
      <c r="DU249" s="440">
        <v>94233433.827771187</v>
      </c>
      <c r="DV249" s="440">
        <v>32493148.943821967</v>
      </c>
      <c r="DW249" s="440">
        <v>33950988.972000003</v>
      </c>
      <c r="DX249" s="457">
        <f t="shared" si="144"/>
        <v>11860885.300071597</v>
      </c>
      <c r="DY249" s="459">
        <f t="shared" si="145"/>
        <v>183.21931074010746</v>
      </c>
      <c r="DZ249" s="440"/>
      <c r="EA249" s="457">
        <f t="shared" si="146"/>
        <v>2958978.63371858</v>
      </c>
      <c r="EB249" s="459">
        <f t="shared" si="147"/>
        <v>45.708394613794177</v>
      </c>
      <c r="ED249" s="457">
        <v>-2689306.917071816</v>
      </c>
      <c r="EE249" s="458">
        <v>-1802148.9062461026</v>
      </c>
      <c r="EF249" s="458">
        <v>-901584.82914073463</v>
      </c>
      <c r="EG249" s="458">
        <v>-7596.1405272036254</v>
      </c>
      <c r="EH249" s="459">
        <v>-24932.735422405047</v>
      </c>
    </row>
    <row r="250" spans="1:138" x14ac:dyDescent="0.2">
      <c r="A250" s="67">
        <v>746</v>
      </c>
      <c r="B250" s="67" t="s">
        <v>366</v>
      </c>
      <c r="C250" s="67">
        <v>17</v>
      </c>
      <c r="D250" s="67">
        <v>4735</v>
      </c>
      <c r="E250" s="82">
        <v>16118422.968904726</v>
      </c>
      <c r="F250" s="67">
        <v>5819443.3178362167</v>
      </c>
      <c r="G250" s="67">
        <v>1395740</v>
      </c>
      <c r="H250" s="67">
        <v>2710776.7802415723</v>
      </c>
      <c r="I250" s="67">
        <v>7935491.0324361399</v>
      </c>
      <c r="J250" s="67">
        <v>889269.1185112081</v>
      </c>
      <c r="K250" s="67">
        <v>-32214.32604018351</v>
      </c>
      <c r="L250" s="67">
        <v>210203</v>
      </c>
      <c r="M250" s="68">
        <v>26649.64</v>
      </c>
      <c r="N250" s="68">
        <v>38643.133864676565</v>
      </c>
      <c r="O250" s="68">
        <v>-137804.43997410449</v>
      </c>
      <c r="P250" s="168">
        <f t="shared" si="113"/>
        <v>2737774.2879707986</v>
      </c>
      <c r="Q250" s="169">
        <f t="shared" si="114"/>
        <v>578.19942723776103</v>
      </c>
      <c r="R250" s="67"/>
      <c r="S250" s="82">
        <v>37558061.390000001</v>
      </c>
      <c r="T250" s="67">
        <v>13149761.756133182</v>
      </c>
      <c r="U250" s="67">
        <v>4074168.1222069622</v>
      </c>
      <c r="V250" s="67">
        <v>17892633.772538442</v>
      </c>
      <c r="W250" s="67">
        <v>2965832.681737382</v>
      </c>
      <c r="X250" s="67">
        <v>1632592.64</v>
      </c>
      <c r="Y250" s="168">
        <f t="shared" si="115"/>
        <v>2156927.5826159716</v>
      </c>
      <c r="Z250" s="169">
        <f t="shared" si="116"/>
        <v>455.52852853558005</v>
      </c>
      <c r="AA250" s="67"/>
      <c r="AB250" s="77">
        <f t="shared" si="117"/>
        <v>580846.70535482699</v>
      </c>
      <c r="AC250" s="123">
        <f t="shared" si="118"/>
        <v>122.67089870218099</v>
      </c>
      <c r="AE250" s="170"/>
      <c r="AF250" s="177">
        <v>-504385.32399230939</v>
      </c>
      <c r="AG250" s="177">
        <v>-445698.43940277735</v>
      </c>
      <c r="AH250" s="177">
        <v>-381884.83545891911</v>
      </c>
      <c r="AI250" s="178">
        <v>-319039.38780563575</v>
      </c>
      <c r="AK250" s="67">
        <f t="shared" si="119"/>
        <v>7330318.4382969653</v>
      </c>
      <c r="AL250" s="67">
        <f t="shared" si="120"/>
        <v>1363391.3419653899</v>
      </c>
      <c r="AM250" s="67">
        <f t="shared" si="121"/>
        <v>9957142.7401023023</v>
      </c>
      <c r="AN250" s="67">
        <f t="shared" si="122"/>
        <v>21439638.421095274</v>
      </c>
      <c r="AO250" s="67">
        <f t="shared" si="123"/>
        <v>0</v>
      </c>
      <c r="AP250" s="67">
        <f t="shared" si="124"/>
        <v>-504385.32399230939</v>
      </c>
      <c r="AQ250" s="67">
        <f t="shared" si="125"/>
        <v>-445698.43940277735</v>
      </c>
      <c r="AR250" s="67">
        <f t="shared" si="126"/>
        <v>-381884.83545891911</v>
      </c>
      <c r="AS250" s="67">
        <f t="shared" si="127"/>
        <v>-319039.38780563575</v>
      </c>
      <c r="AT250" s="68">
        <v>1157</v>
      </c>
      <c r="AU250" s="68"/>
      <c r="AV250" s="68"/>
      <c r="AW250" s="68">
        <v>0</v>
      </c>
      <c r="AX250" s="68">
        <v>7833.1268480735162</v>
      </c>
      <c r="AY250" s="68">
        <v>-2683.3863800235035</v>
      </c>
      <c r="AZ250" s="68">
        <v>2086.2742848583566</v>
      </c>
      <c r="BA250" s="299"/>
      <c r="BB250" s="67"/>
      <c r="BC250" s="67"/>
      <c r="BD250" s="67"/>
      <c r="BE250" s="67"/>
      <c r="BF250" s="67"/>
      <c r="BG250" s="67"/>
      <c r="BH250" s="67"/>
      <c r="BN250" s="299"/>
      <c r="BO250" s="67">
        <v>16044701.013836544</v>
      </c>
      <c r="BP250" s="67">
        <v>19999788.759999998</v>
      </c>
      <c r="BQ250" s="67">
        <v>20266000</v>
      </c>
      <c r="BR250" s="67">
        <v>574252.98</v>
      </c>
      <c r="BS250" s="67">
        <v>630000</v>
      </c>
      <c r="BT250" s="428">
        <v>0.55744876403392107</v>
      </c>
      <c r="BU250" s="428">
        <v>0.33464287704132489</v>
      </c>
      <c r="BV250" s="67">
        <f t="shared" si="128"/>
        <v>12001491.977288293</v>
      </c>
      <c r="BW250" s="299"/>
      <c r="BX250" s="67">
        <v>37353634.890000001</v>
      </c>
      <c r="BY250" s="67">
        <v>16044701.013836544</v>
      </c>
      <c r="BZ250" s="67">
        <v>18141083.792223372</v>
      </c>
      <c r="CA250" s="67">
        <v>9568053.9764918238</v>
      </c>
      <c r="CB250" s="67">
        <f t="shared" si="129"/>
        <v>-104288.37850022635</v>
      </c>
      <c r="CC250" s="67">
        <f t="shared" si="130"/>
        <v>455.52852853557988</v>
      </c>
      <c r="CD250" s="67">
        <f t="shared" si="131"/>
        <v>592.08124086269527</v>
      </c>
      <c r="CE250" s="67">
        <f t="shared" si="132"/>
        <v>136.55271232711539</v>
      </c>
      <c r="CF250" s="67">
        <f t="shared" si="133"/>
        <v>-121.55271232711539</v>
      </c>
      <c r="CG250" s="67">
        <f t="shared" si="134"/>
        <v>-106.55271232711539</v>
      </c>
      <c r="CH250" s="67">
        <f t="shared" si="135"/>
        <v>-91.552712327115387</v>
      </c>
      <c r="CI250" s="67">
        <f t="shared" si="136"/>
        <v>-76.552712327115387</v>
      </c>
      <c r="CJ250" s="67">
        <f t="shared" si="137"/>
        <v>-575552.09286889131</v>
      </c>
      <c r="CK250" s="67">
        <f t="shared" si="138"/>
        <v>-504527.09286889137</v>
      </c>
      <c r="CL250" s="67">
        <f t="shared" si="139"/>
        <v>-433502.09286889137</v>
      </c>
      <c r="CM250" s="67">
        <f t="shared" si="140"/>
        <v>-362477.09286889137</v>
      </c>
      <c r="CN250" s="299"/>
      <c r="CO250" s="430">
        <v>13149.761756133183</v>
      </c>
      <c r="CP250" s="430">
        <v>4074.1681222069624</v>
      </c>
      <c r="CQ250" s="430">
        <v>1395.74</v>
      </c>
      <c r="CR250" s="430">
        <v>17892633.772538442</v>
      </c>
      <c r="CS250" s="430">
        <v>7935491.0324361399</v>
      </c>
      <c r="CT250" s="430">
        <v>2965832.681737382</v>
      </c>
      <c r="CU250" s="430">
        <v>889269.1185112081</v>
      </c>
      <c r="CV250" s="430">
        <v>210203</v>
      </c>
      <c r="CW250" s="430">
        <v>38643.133864676565</v>
      </c>
      <c r="CX250" s="430">
        <v>26649.64</v>
      </c>
      <c r="CY250" s="430">
        <v>16118422.968904726</v>
      </c>
      <c r="CZ250" s="519"/>
      <c r="DA250" s="524">
        <v>13362.690990000001</v>
      </c>
      <c r="DB250" s="524">
        <v>4042.3043552682316</v>
      </c>
      <c r="DC250" s="520">
        <f t="shared" si="141"/>
        <v>-1</v>
      </c>
      <c r="DD250" s="440">
        <v>4781</v>
      </c>
      <c r="DE250" s="450">
        <v>16044701.013836544</v>
      </c>
      <c r="DF250" s="440">
        <v>5924816.0649918225</v>
      </c>
      <c r="DG250" s="440">
        <v>1204336.2109000001</v>
      </c>
      <c r="DH250" s="440">
        <v>2438901.7006000001</v>
      </c>
      <c r="DI250" s="440">
        <v>7927809.8880436812</v>
      </c>
      <c r="DJ250" s="440">
        <v>893427.6451361035</v>
      </c>
      <c r="DK250" s="440">
        <v>-103915.72865544069</v>
      </c>
      <c r="DL250" s="440">
        <v>253578</v>
      </c>
      <c r="DM250" s="440">
        <v>45350</v>
      </c>
      <c r="DN250" s="440">
        <v>38001.948460151638</v>
      </c>
      <c r="DO250" s="457">
        <f t="shared" si="142"/>
        <v>2577604.7156397738</v>
      </c>
      <c r="DP250" s="459">
        <f t="shared" si="143"/>
        <v>539.1350586989696</v>
      </c>
      <c r="DQ250" s="440"/>
      <c r="DR250" s="450">
        <v>37353634.890000001</v>
      </c>
      <c r="DS250" s="440">
        <v>13278395.030423371</v>
      </c>
      <c r="DT250" s="440">
        <v>3658352.5509000001</v>
      </c>
      <c r="DU250" s="440">
        <v>17884951.322538439</v>
      </c>
      <c r="DV250" s="440">
        <v>2979701.9299944602</v>
      </c>
      <c r="DW250" s="440">
        <v>1503264.2109000001</v>
      </c>
      <c r="DX250" s="457">
        <f t="shared" si="144"/>
        <v>1951030.1547562703</v>
      </c>
      <c r="DY250" s="459">
        <f t="shared" si="145"/>
        <v>408.07993197161062</v>
      </c>
      <c r="DZ250" s="440"/>
      <c r="EA250" s="457">
        <f t="shared" si="146"/>
        <v>626574.56088350341</v>
      </c>
      <c r="EB250" s="459">
        <f t="shared" si="147"/>
        <v>131.05512672735901</v>
      </c>
      <c r="ED250" s="457">
        <v>-606658.27817700477</v>
      </c>
      <c r="EE250" s="458">
        <v>-541138.28235153307</v>
      </c>
      <c r="EF250" s="458">
        <v>-474628.19750475901</v>
      </c>
      <c r="EG250" s="458">
        <v>-408603.73012553737</v>
      </c>
      <c r="EH250" s="459">
        <v>-341555.93829413288</v>
      </c>
    </row>
    <row r="251" spans="1:138" x14ac:dyDescent="0.2">
      <c r="A251" s="67">
        <v>747</v>
      </c>
      <c r="B251" s="67" t="s">
        <v>367</v>
      </c>
      <c r="C251" s="67">
        <v>4</v>
      </c>
      <c r="D251" s="67">
        <v>1308</v>
      </c>
      <c r="E251" s="82">
        <v>4298437.8584871804</v>
      </c>
      <c r="F251" s="67">
        <v>1553211.5945248394</v>
      </c>
      <c r="G251" s="67">
        <v>735979</v>
      </c>
      <c r="H251" s="67">
        <v>564072.68035524234</v>
      </c>
      <c r="I251" s="67">
        <v>890576.63511065021</v>
      </c>
      <c r="J251" s="67">
        <v>334918.44127339171</v>
      </c>
      <c r="K251" s="67">
        <v>278755.54878587439</v>
      </c>
      <c r="L251" s="67">
        <v>-217484</v>
      </c>
      <c r="M251" s="68">
        <v>14773.93</v>
      </c>
      <c r="N251" s="68">
        <v>9689.5397674516298</v>
      </c>
      <c r="O251" s="68">
        <v>-38067.203270565711</v>
      </c>
      <c r="P251" s="168">
        <f t="shared" si="113"/>
        <v>-172011.69194029644</v>
      </c>
      <c r="Q251" s="169">
        <f t="shared" si="114"/>
        <v>-131.50740974028781</v>
      </c>
      <c r="R251" s="67"/>
      <c r="S251" s="82">
        <v>10783516.220000001</v>
      </c>
      <c r="T251" s="67">
        <v>3449406.8302357187</v>
      </c>
      <c r="U251" s="67">
        <v>847774.31681643904</v>
      </c>
      <c r="V251" s="67">
        <v>4910478.3868439877</v>
      </c>
      <c r="W251" s="67">
        <v>1116998.2608955826</v>
      </c>
      <c r="X251" s="67">
        <v>533268.93000000005</v>
      </c>
      <c r="Y251" s="168">
        <f t="shared" si="115"/>
        <v>74410.50479172729</v>
      </c>
      <c r="Z251" s="169">
        <f t="shared" si="116"/>
        <v>56.888765131289979</v>
      </c>
      <c r="AA251" s="67"/>
      <c r="AB251" s="77">
        <f t="shared" si="117"/>
        <v>-246422.19673202373</v>
      </c>
      <c r="AC251" s="123">
        <f t="shared" si="118"/>
        <v>-188.39617487157778</v>
      </c>
      <c r="AE251" s="170"/>
      <c r="AF251" s="177">
        <v>228303.94685286091</v>
      </c>
      <c r="AG251" s="177">
        <v>205275.65647125753</v>
      </c>
      <c r="AH251" s="177">
        <v>183663.57494191569</v>
      </c>
      <c r="AI251" s="178">
        <v>161784.04918278047</v>
      </c>
      <c r="AK251" s="67">
        <f t="shared" si="119"/>
        <v>1896195.2357108793</v>
      </c>
      <c r="AL251" s="67">
        <f t="shared" si="120"/>
        <v>283701.6364611967</v>
      </c>
      <c r="AM251" s="67">
        <f t="shared" si="121"/>
        <v>4019901.7517333375</v>
      </c>
      <c r="AN251" s="67">
        <f t="shared" si="122"/>
        <v>6485078.3615128202</v>
      </c>
      <c r="AO251" s="67">
        <f t="shared" si="123"/>
        <v>0</v>
      </c>
      <c r="AP251" s="67">
        <f t="shared" si="124"/>
        <v>228303.94685286091</v>
      </c>
      <c r="AQ251" s="67">
        <f t="shared" si="125"/>
        <v>205275.65647125753</v>
      </c>
      <c r="AR251" s="67">
        <f t="shared" si="126"/>
        <v>183663.57494191569</v>
      </c>
      <c r="AS251" s="67">
        <f t="shared" si="127"/>
        <v>161784.04918278047</v>
      </c>
      <c r="AT251" s="68">
        <v>511</v>
      </c>
      <c r="AU251" s="68"/>
      <c r="AV251" s="68"/>
      <c r="AW251" s="68">
        <v>33</v>
      </c>
      <c r="AX251" s="68">
        <v>3075.077927718678</v>
      </c>
      <c r="AY251" s="68">
        <v>-884.23865980655376</v>
      </c>
      <c r="AZ251" s="68">
        <v>784.04668247535358</v>
      </c>
      <c r="BA251" s="299"/>
      <c r="BB251" s="67"/>
      <c r="BC251" s="67"/>
      <c r="BD251" s="67"/>
      <c r="BE251" s="67"/>
      <c r="BF251" s="67"/>
      <c r="BG251" s="67"/>
      <c r="BH251" s="67"/>
      <c r="BN251" s="299"/>
      <c r="BO251" s="67">
        <v>4860149.7911268678</v>
      </c>
      <c r="BP251" s="67">
        <v>5742077.8800000008</v>
      </c>
      <c r="BQ251" s="67">
        <v>6514000</v>
      </c>
      <c r="BR251" s="67">
        <v>145015.81999999998</v>
      </c>
      <c r="BS251" s="67">
        <v>143000</v>
      </c>
      <c r="BT251" s="428">
        <v>0.5497163219744946</v>
      </c>
      <c r="BU251" s="428">
        <v>0.33464287704132473</v>
      </c>
      <c r="BV251" s="67">
        <f t="shared" si="128"/>
        <v>5080737.1201414037</v>
      </c>
      <c r="BW251" s="299"/>
      <c r="BX251" s="67">
        <v>11076005</v>
      </c>
      <c r="BY251" s="67">
        <v>4860149.7911268678</v>
      </c>
      <c r="BZ251" s="67">
        <v>5107464.2737749498</v>
      </c>
      <c r="CA251" s="67">
        <v>2878582.6432442321</v>
      </c>
      <c r="CB251" s="67">
        <f t="shared" si="129"/>
        <v>447679.60514462867</v>
      </c>
      <c r="CC251" s="67">
        <f t="shared" si="130"/>
        <v>56.888765131290064</v>
      </c>
      <c r="CD251" s="67">
        <f t="shared" si="131"/>
        <v>26.742788753076201</v>
      </c>
      <c r="CE251" s="67">
        <f t="shared" si="132"/>
        <v>-30.145976378213863</v>
      </c>
      <c r="CF251" s="67">
        <f t="shared" si="133"/>
        <v>15.145976378213863</v>
      </c>
      <c r="CG251" s="67">
        <f t="shared" si="134"/>
        <v>0.145976378213863</v>
      </c>
      <c r="CH251" s="67">
        <f t="shared" si="135"/>
        <v>0</v>
      </c>
      <c r="CI251" s="67">
        <f t="shared" si="136"/>
        <v>0</v>
      </c>
      <c r="CJ251" s="67">
        <f t="shared" si="137"/>
        <v>19810.937102703734</v>
      </c>
      <c r="CK251" s="67">
        <f t="shared" si="138"/>
        <v>190.93710270373282</v>
      </c>
      <c r="CL251" s="67">
        <f t="shared" si="139"/>
        <v>0</v>
      </c>
      <c r="CM251" s="67">
        <f t="shared" si="140"/>
        <v>0</v>
      </c>
      <c r="CN251" s="299"/>
      <c r="CO251" s="430">
        <v>3449.4068302357186</v>
      </c>
      <c r="CP251" s="430">
        <v>847.77431681643907</v>
      </c>
      <c r="CQ251" s="430">
        <v>735.97900000000004</v>
      </c>
      <c r="CR251" s="430">
        <v>4910478.3868439877</v>
      </c>
      <c r="CS251" s="430">
        <v>890576.63511065021</v>
      </c>
      <c r="CT251" s="430">
        <v>1116998.2608955826</v>
      </c>
      <c r="CU251" s="430">
        <v>334918.44127339171</v>
      </c>
      <c r="CV251" s="430">
        <v>-217484</v>
      </c>
      <c r="CW251" s="430">
        <v>9689.5397674516298</v>
      </c>
      <c r="CX251" s="430">
        <v>14773.93</v>
      </c>
      <c r="CY251" s="430">
        <v>4298437.8584871804</v>
      </c>
      <c r="CZ251" s="519"/>
      <c r="DA251" s="524">
        <v>3576.01917</v>
      </c>
      <c r="DB251" s="524">
        <v>841.14441589445664</v>
      </c>
      <c r="DC251" s="520">
        <f t="shared" si="141"/>
        <v>-1</v>
      </c>
      <c r="DD251" s="440">
        <v>1352</v>
      </c>
      <c r="DE251" s="450">
        <v>4860149.7911268678</v>
      </c>
      <c r="DF251" s="440">
        <v>1629384.3494442319</v>
      </c>
      <c r="DG251" s="440">
        <v>741698.80900000001</v>
      </c>
      <c r="DH251" s="440">
        <v>507499.48479999998</v>
      </c>
      <c r="DI251" s="440">
        <v>888406.72400397202</v>
      </c>
      <c r="DJ251" s="440">
        <v>335760.73207856645</v>
      </c>
      <c r="DK251" s="440">
        <v>447558.96251326235</v>
      </c>
      <c r="DL251" s="440">
        <v>-217484</v>
      </c>
      <c r="DM251" s="440">
        <v>7484</v>
      </c>
      <c r="DN251" s="440">
        <v>9880.0361911466607</v>
      </c>
      <c r="DO251" s="457">
        <f t="shared" si="142"/>
        <v>-509960.69309568778</v>
      </c>
      <c r="DP251" s="459">
        <f t="shared" si="143"/>
        <v>-377.18986175716549</v>
      </c>
      <c r="DQ251" s="440"/>
      <c r="DR251" s="450">
        <v>11076005</v>
      </c>
      <c r="DS251" s="440">
        <v>3604516.2375749499</v>
      </c>
      <c r="DT251" s="440">
        <v>761249.22719999996</v>
      </c>
      <c r="DU251" s="440">
        <v>4908316.8668439873</v>
      </c>
      <c r="DV251" s="440">
        <v>1119807.41455392</v>
      </c>
      <c r="DW251" s="440">
        <v>531698.80900000001</v>
      </c>
      <c r="DX251" s="457">
        <f t="shared" si="144"/>
        <v>-150416.4448271431</v>
      </c>
      <c r="DY251" s="459">
        <f t="shared" si="145"/>
        <v>-111.25476688398159</v>
      </c>
      <c r="DZ251" s="440"/>
      <c r="EA251" s="457">
        <f t="shared" si="146"/>
        <v>-359544.24826854467</v>
      </c>
      <c r="EB251" s="459">
        <f t="shared" si="147"/>
        <v>-265.93509487318391</v>
      </c>
      <c r="ED251" s="457">
        <v>365176.29474819038</v>
      </c>
      <c r="EE251" s="458">
        <v>343144.43412406102</v>
      </c>
      <c r="EF251" s="458">
        <v>321392.55684165953</v>
      </c>
      <c r="EG251" s="458">
        <v>299503.35372446809</v>
      </c>
      <c r="EH251" s="459">
        <v>277903.53246449295</v>
      </c>
    </row>
    <row r="252" spans="1:138" x14ac:dyDescent="0.2">
      <c r="A252" s="67">
        <v>748</v>
      </c>
      <c r="B252" s="67" t="s">
        <v>368</v>
      </c>
      <c r="C252" s="67">
        <v>17</v>
      </c>
      <c r="D252" s="67">
        <v>4897</v>
      </c>
      <c r="E252" s="82">
        <v>16138645.496247981</v>
      </c>
      <c r="F252" s="67">
        <v>6610545.5261041261</v>
      </c>
      <c r="G252" s="67">
        <v>1529277</v>
      </c>
      <c r="H252" s="67">
        <v>1107671.7296886246</v>
      </c>
      <c r="I252" s="67">
        <v>6881642.72632581</v>
      </c>
      <c r="J252" s="67">
        <v>970757.54236802645</v>
      </c>
      <c r="K252" s="67">
        <v>-732728.05348055356</v>
      </c>
      <c r="L252" s="67">
        <v>58900</v>
      </c>
      <c r="M252" s="68">
        <v>104150.74</v>
      </c>
      <c r="N252" s="68">
        <v>39322.904772784008</v>
      </c>
      <c r="O252" s="68">
        <v>-142519.18533330297</v>
      </c>
      <c r="P252" s="168">
        <f t="shared" si="113"/>
        <v>288375.43419753318</v>
      </c>
      <c r="Q252" s="169">
        <f t="shared" si="114"/>
        <v>58.888183417915698</v>
      </c>
      <c r="R252" s="67"/>
      <c r="S252" s="82">
        <v>38829005.169999994</v>
      </c>
      <c r="T252" s="67">
        <v>14900080.238016203</v>
      </c>
      <c r="U252" s="67">
        <v>1664777.7433614719</v>
      </c>
      <c r="V252" s="67">
        <v>16719302.765511002</v>
      </c>
      <c r="W252" s="67">
        <v>3237607.5872490415</v>
      </c>
      <c r="X252" s="67">
        <v>1692327.74</v>
      </c>
      <c r="Y252" s="168">
        <f t="shared" si="115"/>
        <v>-614909.09586227685</v>
      </c>
      <c r="Z252" s="169">
        <f t="shared" si="116"/>
        <v>-125.56853090918457</v>
      </c>
      <c r="AA252" s="67"/>
      <c r="AB252" s="77">
        <f t="shared" si="117"/>
        <v>903284.53005981003</v>
      </c>
      <c r="AC252" s="123">
        <f t="shared" si="118"/>
        <v>184.45671432710026</v>
      </c>
      <c r="AE252" s="170"/>
      <c r="AF252" s="177">
        <v>-824207.15212269221</v>
      </c>
      <c r="AG252" s="177">
        <v>-763512.39524097345</v>
      </c>
      <c r="AH252" s="177">
        <v>-697515.51699111634</v>
      </c>
      <c r="AI252" s="178">
        <v>-632519.9188584598</v>
      </c>
      <c r="AK252" s="67">
        <f t="shared" si="119"/>
        <v>8289534.7119120769</v>
      </c>
      <c r="AL252" s="67">
        <f t="shared" si="120"/>
        <v>557106.0136728473</v>
      </c>
      <c r="AM252" s="67">
        <f t="shared" si="121"/>
        <v>9837660.0391851924</v>
      </c>
      <c r="AN252" s="67">
        <f t="shared" si="122"/>
        <v>22690359.673752014</v>
      </c>
      <c r="AO252" s="67">
        <f t="shared" si="123"/>
        <v>0</v>
      </c>
      <c r="AP252" s="67">
        <f t="shared" si="124"/>
        <v>-824207.15212269221</v>
      </c>
      <c r="AQ252" s="67">
        <f t="shared" si="125"/>
        <v>-763512.39524097345</v>
      </c>
      <c r="AR252" s="67">
        <f t="shared" si="126"/>
        <v>-697515.51699111634</v>
      </c>
      <c r="AS252" s="67">
        <f t="shared" si="127"/>
        <v>-632519.9188584598</v>
      </c>
      <c r="AT252" s="68">
        <v>942</v>
      </c>
      <c r="AU252" s="68"/>
      <c r="AV252" s="68"/>
      <c r="AW252" s="68">
        <v>98</v>
      </c>
      <c r="AX252" s="68">
        <v>7810.2429940716702</v>
      </c>
      <c r="AY252" s="68">
        <v>-2442.2162061863028</v>
      </c>
      <c r="AZ252" s="68">
        <v>2269.4538513862371</v>
      </c>
      <c r="BA252" s="299"/>
      <c r="BB252" s="67"/>
      <c r="BC252" s="67"/>
      <c r="BD252" s="67"/>
      <c r="BE252" s="67"/>
      <c r="BF252" s="67"/>
      <c r="BG252" s="67"/>
      <c r="BH252" s="67"/>
      <c r="BN252" s="299"/>
      <c r="BO252" s="67">
        <v>15075162.552440267</v>
      </c>
      <c r="BP252" s="67">
        <v>22995724.569999997</v>
      </c>
      <c r="BQ252" s="67">
        <v>19723000</v>
      </c>
      <c r="BR252" s="67">
        <v>549826.03</v>
      </c>
      <c r="BS252" s="67">
        <v>621000</v>
      </c>
      <c r="BT252" s="428">
        <v>0.55634161558151085</v>
      </c>
      <c r="BU252" s="428">
        <v>0.33464287704132484</v>
      </c>
      <c r="BV252" s="67">
        <f t="shared" si="128"/>
        <v>11371782.030585652</v>
      </c>
      <c r="BW252" s="299"/>
      <c r="BX252" s="67">
        <v>37756908</v>
      </c>
      <c r="BY252" s="67">
        <v>15075162.552440267</v>
      </c>
      <c r="BZ252" s="67">
        <v>18375008.222715698</v>
      </c>
      <c r="CA252" s="67">
        <v>9281371.4555876665</v>
      </c>
      <c r="CB252" s="67">
        <f t="shared" si="129"/>
        <v>-664585.86011480843</v>
      </c>
      <c r="CC252" s="67">
        <f t="shared" si="130"/>
        <v>-125.56853090918405</v>
      </c>
      <c r="CD252" s="67">
        <f t="shared" si="131"/>
        <v>101.90663934992489</v>
      </c>
      <c r="CE252" s="67">
        <f t="shared" si="132"/>
        <v>227.47517025910895</v>
      </c>
      <c r="CF252" s="67">
        <f t="shared" si="133"/>
        <v>-212.47517025910895</v>
      </c>
      <c r="CG252" s="67">
        <f t="shared" si="134"/>
        <v>-197.47517025910895</v>
      </c>
      <c r="CH252" s="67">
        <f t="shared" si="135"/>
        <v>-182.47517025910895</v>
      </c>
      <c r="CI252" s="67">
        <f t="shared" si="136"/>
        <v>-167.47517025910895</v>
      </c>
      <c r="CJ252" s="67">
        <f t="shared" si="137"/>
        <v>-1040490.9087588565</v>
      </c>
      <c r="CK252" s="67">
        <f t="shared" si="138"/>
        <v>-967035.90875885647</v>
      </c>
      <c r="CL252" s="67">
        <f t="shared" si="139"/>
        <v>-893580.90875885647</v>
      </c>
      <c r="CM252" s="67">
        <f t="shared" si="140"/>
        <v>-820125.90875885647</v>
      </c>
      <c r="CN252" s="299"/>
      <c r="CO252" s="430">
        <v>14900.080238016202</v>
      </c>
      <c r="CP252" s="430">
        <v>1664.7777433614719</v>
      </c>
      <c r="CQ252" s="430">
        <v>1529.277</v>
      </c>
      <c r="CR252" s="430">
        <v>16719302.765511002</v>
      </c>
      <c r="CS252" s="430">
        <v>6881642.72632581</v>
      </c>
      <c r="CT252" s="430">
        <v>3237607.5872490415</v>
      </c>
      <c r="CU252" s="430">
        <v>970757.54236802645</v>
      </c>
      <c r="CV252" s="430">
        <v>58900</v>
      </c>
      <c r="CW252" s="430">
        <v>39322.904772784008</v>
      </c>
      <c r="CX252" s="430">
        <v>104150.74</v>
      </c>
      <c r="CY252" s="430">
        <v>16138645.496247981</v>
      </c>
      <c r="CZ252" s="519"/>
      <c r="DA252" s="524">
        <v>15611.140460000001</v>
      </c>
      <c r="DB252" s="524">
        <v>1651.7601120254578</v>
      </c>
      <c r="DC252" s="520">
        <f t="shared" si="141"/>
        <v>-1</v>
      </c>
      <c r="DD252" s="440">
        <v>5028</v>
      </c>
      <c r="DE252" s="450">
        <v>15075162.552440267</v>
      </c>
      <c r="DF252" s="440">
        <v>6938840.1709876675</v>
      </c>
      <c r="DG252" s="440">
        <v>1345952.5604000001</v>
      </c>
      <c r="DH252" s="440">
        <v>996578.72420000006</v>
      </c>
      <c r="DI252" s="440">
        <v>6873675.7563453894</v>
      </c>
      <c r="DJ252" s="440">
        <v>971872.59839457087</v>
      </c>
      <c r="DK252" s="440">
        <v>-665206.94257305388</v>
      </c>
      <c r="DL252" s="440">
        <v>87044</v>
      </c>
      <c r="DM252" s="440">
        <v>-41300</v>
      </c>
      <c r="DN252" s="440">
        <v>40309.659848097814</v>
      </c>
      <c r="DO252" s="457">
        <f t="shared" si="142"/>
        <v>1472603.9751624055</v>
      </c>
      <c r="DP252" s="459">
        <f t="shared" si="143"/>
        <v>292.88066331790088</v>
      </c>
      <c r="DQ252" s="440"/>
      <c r="DR252" s="450">
        <v>37756908</v>
      </c>
      <c r="DS252" s="440">
        <v>15534187.576015698</v>
      </c>
      <c r="DT252" s="440">
        <v>1494868.0863000001</v>
      </c>
      <c r="DU252" s="440">
        <v>16711343.195511002</v>
      </c>
      <c r="DV252" s="440">
        <v>3241326.4497808078</v>
      </c>
      <c r="DW252" s="440">
        <v>1391696.5604000001</v>
      </c>
      <c r="DX252" s="457">
        <f t="shared" si="144"/>
        <v>616513.8680075109</v>
      </c>
      <c r="DY252" s="459">
        <f t="shared" si="145"/>
        <v>122.6161233109608</v>
      </c>
      <c r="DZ252" s="440"/>
      <c r="EA252" s="457">
        <f t="shared" si="146"/>
        <v>856090.10715489462</v>
      </c>
      <c r="EB252" s="459">
        <f t="shared" si="147"/>
        <v>170.26454000694005</v>
      </c>
      <c r="ED252" s="457">
        <v>-835144.89288000471</v>
      </c>
      <c r="EE252" s="458">
        <v>-766239.94851471053</v>
      </c>
      <c r="EF252" s="458">
        <v>-696293.76432529837</v>
      </c>
      <c r="EG252" s="458">
        <v>-626858.28597710212</v>
      </c>
      <c r="EH252" s="459">
        <v>-556346.61533742375</v>
      </c>
    </row>
    <row r="253" spans="1:138" x14ac:dyDescent="0.2">
      <c r="A253" s="67">
        <v>791</v>
      </c>
      <c r="B253" s="67" t="s">
        <v>134</v>
      </c>
      <c r="C253" s="67">
        <v>17</v>
      </c>
      <c r="D253" s="67">
        <v>5029</v>
      </c>
      <c r="E253" s="82">
        <v>15656151.423295565</v>
      </c>
      <c r="F253" s="67">
        <v>6189313.0641285405</v>
      </c>
      <c r="G253" s="67">
        <v>1445690</v>
      </c>
      <c r="H253" s="67">
        <v>1189541.5541475781</v>
      </c>
      <c r="I253" s="67">
        <v>5667705.8096109461</v>
      </c>
      <c r="J253" s="67">
        <v>1215742.2120338739</v>
      </c>
      <c r="K253" s="67">
        <v>591951.0592083513</v>
      </c>
      <c r="L253" s="67">
        <v>-99932</v>
      </c>
      <c r="M253" s="68">
        <v>394124.09</v>
      </c>
      <c r="N253" s="68">
        <v>37395.162052879699</v>
      </c>
      <c r="O253" s="68">
        <v>-146360.82970005731</v>
      </c>
      <c r="P253" s="168">
        <f t="shared" si="113"/>
        <v>829018.69818654761</v>
      </c>
      <c r="Q253" s="169">
        <f t="shared" si="114"/>
        <v>164.84762342146502</v>
      </c>
      <c r="R253" s="67"/>
      <c r="S253" s="82">
        <v>41992386.710000016</v>
      </c>
      <c r="T253" s="67">
        <v>14003978.703071097</v>
      </c>
      <c r="U253" s="67">
        <v>1787824.1820843325</v>
      </c>
      <c r="V253" s="67">
        <v>21157800.650204197</v>
      </c>
      <c r="W253" s="67">
        <v>4054664.5666210842</v>
      </c>
      <c r="X253" s="67">
        <v>1739882.09</v>
      </c>
      <c r="Y253" s="168">
        <f t="shared" si="115"/>
        <v>751763.48198069632</v>
      </c>
      <c r="Z253" s="169">
        <f t="shared" si="116"/>
        <v>149.48567945529854</v>
      </c>
      <c r="AA253" s="67"/>
      <c r="AB253" s="77">
        <f t="shared" si="117"/>
        <v>77255.216205851291</v>
      </c>
      <c r="AC253" s="123">
        <f t="shared" si="118"/>
        <v>15.361943966166493</v>
      </c>
      <c r="AE253" s="170"/>
      <c r="AF253" s="177">
        <v>3953.7144957623182</v>
      </c>
      <c r="AG253" s="177">
        <v>-7330.2683267443263</v>
      </c>
      <c r="AH253" s="177">
        <v>-14989.425827554664</v>
      </c>
      <c r="AI253" s="178">
        <v>-23676.853230223765</v>
      </c>
      <c r="AK253" s="67">
        <f t="shared" si="119"/>
        <v>7814665.6389425565</v>
      </c>
      <c r="AL253" s="67">
        <f t="shared" si="120"/>
        <v>598282.62793675438</v>
      </c>
      <c r="AM253" s="67">
        <f t="shared" si="121"/>
        <v>15490094.84059325</v>
      </c>
      <c r="AN253" s="67">
        <f t="shared" si="122"/>
        <v>26336235.286704451</v>
      </c>
      <c r="AO253" s="67">
        <f t="shared" si="123"/>
        <v>0</v>
      </c>
      <c r="AP253" s="67">
        <f t="shared" si="124"/>
        <v>3953.7144957623182</v>
      </c>
      <c r="AQ253" s="67">
        <f t="shared" si="125"/>
        <v>-7330.2683267443263</v>
      </c>
      <c r="AR253" s="67">
        <f t="shared" si="126"/>
        <v>-14989.425827554664</v>
      </c>
      <c r="AS253" s="67">
        <f t="shared" si="127"/>
        <v>-23676.853230223765</v>
      </c>
      <c r="AT253" s="68">
        <v>1177</v>
      </c>
      <c r="AU253" s="68"/>
      <c r="AV253" s="68"/>
      <c r="AW253" s="68">
        <v>3</v>
      </c>
      <c r="AX253" s="68">
        <v>13128.57165762884</v>
      </c>
      <c r="AY253" s="68">
        <v>-2833.4124386425083</v>
      </c>
      <c r="AZ253" s="68">
        <v>2843.5147785984868</v>
      </c>
      <c r="BA253" s="299"/>
      <c r="BB253" s="67"/>
      <c r="BC253" s="67"/>
      <c r="BD253" s="67"/>
      <c r="BE253" s="67"/>
      <c r="BF253" s="67"/>
      <c r="BG253" s="67"/>
      <c r="BH253" s="67"/>
      <c r="BN253" s="299"/>
      <c r="BO253" s="67">
        <v>15465197.939544756</v>
      </c>
      <c r="BP253" s="67">
        <v>24218960.560000002</v>
      </c>
      <c r="BQ253" s="67">
        <v>25233000</v>
      </c>
      <c r="BR253" s="67">
        <v>802392.89</v>
      </c>
      <c r="BS253" s="67">
        <v>687000</v>
      </c>
      <c r="BT253" s="428">
        <v>0.5580318140036008</v>
      </c>
      <c r="BU253" s="428">
        <v>0.33464287704132484</v>
      </c>
      <c r="BV253" s="67">
        <f t="shared" si="128"/>
        <v>18920968.254388813</v>
      </c>
      <c r="BW253" s="299"/>
      <c r="BX253" s="67">
        <v>40964592</v>
      </c>
      <c r="BY253" s="67">
        <v>15465197.939544756</v>
      </c>
      <c r="BZ253" s="67">
        <v>17587963.278376497</v>
      </c>
      <c r="CA253" s="67">
        <v>8952755.3868234307</v>
      </c>
      <c r="CB253" s="67">
        <f t="shared" si="129"/>
        <v>1141041.4253987751</v>
      </c>
      <c r="CC253" s="67">
        <f t="shared" si="130"/>
        <v>149.48567945529794</v>
      </c>
      <c r="CD253" s="67">
        <f t="shared" si="131"/>
        <v>303.13579122629318</v>
      </c>
      <c r="CE253" s="67">
        <f t="shared" si="132"/>
        <v>153.65011177099524</v>
      </c>
      <c r="CF253" s="67">
        <f t="shared" si="133"/>
        <v>-138.65011177099524</v>
      </c>
      <c r="CG253" s="67">
        <f t="shared" si="134"/>
        <v>-123.65011177099524</v>
      </c>
      <c r="CH253" s="67">
        <f t="shared" si="135"/>
        <v>-108.65011177099524</v>
      </c>
      <c r="CI253" s="67">
        <f t="shared" si="136"/>
        <v>-93.650111770995238</v>
      </c>
      <c r="CJ253" s="67">
        <f t="shared" si="137"/>
        <v>-697271.41209633509</v>
      </c>
      <c r="CK253" s="67">
        <f t="shared" si="138"/>
        <v>-621836.41209633509</v>
      </c>
      <c r="CL253" s="67">
        <f t="shared" si="139"/>
        <v>-546401.41209633509</v>
      </c>
      <c r="CM253" s="67">
        <f t="shared" si="140"/>
        <v>-470966.41209633503</v>
      </c>
      <c r="CN253" s="299"/>
      <c r="CO253" s="430">
        <v>14003.978703071098</v>
      </c>
      <c r="CP253" s="430">
        <v>1787.8241820843325</v>
      </c>
      <c r="CQ253" s="430">
        <v>1445.69</v>
      </c>
      <c r="CR253" s="430">
        <v>21157800.650204197</v>
      </c>
      <c r="CS253" s="430">
        <v>5667705.8096109461</v>
      </c>
      <c r="CT253" s="430">
        <v>4054664.5666210842</v>
      </c>
      <c r="CU253" s="430">
        <v>1215742.2120338739</v>
      </c>
      <c r="CV253" s="430">
        <v>-99932</v>
      </c>
      <c r="CW253" s="430">
        <v>37395.162052879699</v>
      </c>
      <c r="CX253" s="430">
        <v>394124.09</v>
      </c>
      <c r="CY253" s="430">
        <v>15656151.423295565</v>
      </c>
      <c r="CZ253" s="519"/>
      <c r="DA253" s="524">
        <v>14461.273230000001</v>
      </c>
      <c r="DB253" s="524">
        <v>1773.842221575426</v>
      </c>
      <c r="DC253" s="520">
        <f t="shared" si="141"/>
        <v>-1</v>
      </c>
      <c r="DD253" s="440">
        <v>5131</v>
      </c>
      <c r="DE253" s="450">
        <v>15465197.939544756</v>
      </c>
      <c r="DF253" s="440">
        <v>6517777.7854234315</v>
      </c>
      <c r="DG253" s="440">
        <v>1364740.118</v>
      </c>
      <c r="DH253" s="440">
        <v>1070237.4834</v>
      </c>
      <c r="DI253" s="440">
        <v>5659527.6912136953</v>
      </c>
      <c r="DJ253" s="440">
        <v>1217708.875094262</v>
      </c>
      <c r="DK253" s="440">
        <v>1140500.0559376774</v>
      </c>
      <c r="DL253" s="440">
        <v>-107294</v>
      </c>
      <c r="DM253" s="440">
        <v>38300</v>
      </c>
      <c r="DN253" s="440">
        <v>38277.567241785277</v>
      </c>
      <c r="DO253" s="457">
        <f t="shared" si="142"/>
        <v>1474577.6367660947</v>
      </c>
      <c r="DP253" s="459">
        <f t="shared" si="143"/>
        <v>287.3860137918719</v>
      </c>
      <c r="DQ253" s="440"/>
      <c r="DR253" s="450">
        <v>40964592</v>
      </c>
      <c r="DS253" s="440">
        <v>14617866.935276497</v>
      </c>
      <c r="DT253" s="440">
        <v>1605356.2251000002</v>
      </c>
      <c r="DU253" s="440">
        <v>21149646.280204192</v>
      </c>
      <c r="DV253" s="440">
        <v>4061223.6536927489</v>
      </c>
      <c r="DW253" s="440">
        <v>1295746.118</v>
      </c>
      <c r="DX253" s="457">
        <f t="shared" si="144"/>
        <v>1765247.2122734338</v>
      </c>
      <c r="DY253" s="459">
        <f t="shared" si="145"/>
        <v>344.03570693304107</v>
      </c>
      <c r="DZ253" s="440"/>
      <c r="EA253" s="457">
        <f t="shared" si="146"/>
        <v>-290669.57550733909</v>
      </c>
      <c r="EB253" s="459">
        <f t="shared" si="147"/>
        <v>-56.649693141169188</v>
      </c>
      <c r="ED253" s="457">
        <v>312043.85841197823</v>
      </c>
      <c r="EE253" s="458">
        <v>228430.34002262354</v>
      </c>
      <c r="EF253" s="458">
        <v>145879.3915492493</v>
      </c>
      <c r="EG253" s="458">
        <v>62807.275281269001</v>
      </c>
      <c r="EH253" s="459">
        <v>-1976.1780995483239</v>
      </c>
    </row>
    <row r="254" spans="1:138" x14ac:dyDescent="0.2">
      <c r="A254" s="67">
        <v>749</v>
      </c>
      <c r="B254" s="67" t="s">
        <v>369</v>
      </c>
      <c r="C254" s="67">
        <v>11</v>
      </c>
      <c r="D254" s="67">
        <v>21232</v>
      </c>
      <c r="E254" s="82">
        <v>62584908.937575847</v>
      </c>
      <c r="F254" s="67">
        <v>37588672.184150837</v>
      </c>
      <c r="G254" s="67">
        <v>6064177</v>
      </c>
      <c r="H254" s="67">
        <v>4372037.1060672654</v>
      </c>
      <c r="I254" s="67">
        <v>14984874.590990072</v>
      </c>
      <c r="J254" s="67">
        <v>3049684.8240652587</v>
      </c>
      <c r="K254" s="67">
        <v>-2221934.0482115787</v>
      </c>
      <c r="L254" s="67">
        <v>-2042963</v>
      </c>
      <c r="M254" s="68">
        <v>1110548.42</v>
      </c>
      <c r="N254" s="68">
        <v>226130.1875718321</v>
      </c>
      <c r="O254" s="68">
        <v>-617922.67571915232</v>
      </c>
      <c r="P254" s="168">
        <f t="shared" si="113"/>
        <v>-71604.348661313881</v>
      </c>
      <c r="Q254" s="169">
        <f t="shared" si="114"/>
        <v>-3.3724730906798173</v>
      </c>
      <c r="R254" s="67"/>
      <c r="S254" s="82">
        <v>146651473.47999999</v>
      </c>
      <c r="T254" s="67">
        <v>86263213.907109261</v>
      </c>
      <c r="U254" s="67">
        <v>6570963.1041836897</v>
      </c>
      <c r="V254" s="67">
        <v>35810119.770493381</v>
      </c>
      <c r="W254" s="67">
        <v>10171111.007828463</v>
      </c>
      <c r="X254" s="67">
        <v>5131762.42</v>
      </c>
      <c r="Y254" s="168">
        <f t="shared" si="115"/>
        <v>-2704303.2703852057</v>
      </c>
      <c r="Z254" s="169">
        <f t="shared" si="116"/>
        <v>-127.36921959237027</v>
      </c>
      <c r="AA254" s="67"/>
      <c r="AB254" s="77">
        <f t="shared" si="117"/>
        <v>2632698.921723892</v>
      </c>
      <c r="AC254" s="123">
        <f t="shared" si="118"/>
        <v>123.99674650169047</v>
      </c>
      <c r="AE254" s="170"/>
      <c r="AF254" s="177">
        <v>-2289841.8891813378</v>
      </c>
      <c r="AG254" s="177">
        <v>-2026686.6761707899</v>
      </c>
      <c r="AH254" s="177">
        <v>-1740542.9720660385</v>
      </c>
      <c r="AI254" s="178">
        <v>-1458740.5339299219</v>
      </c>
      <c r="AK254" s="67">
        <f t="shared" si="119"/>
        <v>48674541.722958423</v>
      </c>
      <c r="AL254" s="67">
        <f t="shared" si="120"/>
        <v>2198925.9981164243</v>
      </c>
      <c r="AM254" s="67">
        <f t="shared" si="121"/>
        <v>20825245.179503307</v>
      </c>
      <c r="AN254" s="67">
        <f t="shared" si="122"/>
        <v>84066564.542424142</v>
      </c>
      <c r="AO254" s="67">
        <f t="shared" si="123"/>
        <v>0</v>
      </c>
      <c r="AP254" s="67">
        <f t="shared" si="124"/>
        <v>-2289841.8891813378</v>
      </c>
      <c r="AQ254" s="67">
        <f t="shared" si="125"/>
        <v>-2026686.6761707899</v>
      </c>
      <c r="AR254" s="67">
        <f t="shared" si="126"/>
        <v>-1740542.9720660385</v>
      </c>
      <c r="AS254" s="67">
        <f t="shared" si="127"/>
        <v>-1458740.5339299219</v>
      </c>
      <c r="AT254" s="68">
        <v>6832</v>
      </c>
      <c r="AU254" s="68"/>
      <c r="AV254" s="68"/>
      <c r="AW254" s="68">
        <v>307</v>
      </c>
      <c r="AX254" s="68">
        <v>21051.830471373509</v>
      </c>
      <c r="AY254" s="68">
        <v>-924.8242643793368</v>
      </c>
      <c r="AZ254" s="68">
        <v>7132.932763570444</v>
      </c>
      <c r="BA254" s="299"/>
      <c r="BB254" s="67"/>
      <c r="BC254" s="67"/>
      <c r="BD254" s="67"/>
      <c r="BE254" s="67"/>
      <c r="BF254" s="67"/>
      <c r="BG254" s="67"/>
      <c r="BH254" s="67"/>
      <c r="BN254" s="299"/>
      <c r="BO254" s="67">
        <v>63409499.738473907</v>
      </c>
      <c r="BP254" s="67">
        <v>75990931.269999951</v>
      </c>
      <c r="BQ254" s="67">
        <v>82911000</v>
      </c>
      <c r="BR254" s="67">
        <v>1688178.1800000002</v>
      </c>
      <c r="BS254" s="67">
        <v>2020000</v>
      </c>
      <c r="BT254" s="428">
        <v>0.56425606603728662</v>
      </c>
      <c r="BU254" s="428">
        <v>0.33464287704132478</v>
      </c>
      <c r="BV254" s="67">
        <f t="shared" si="128"/>
        <v>25724737.315054938</v>
      </c>
      <c r="BW254" s="299"/>
      <c r="BX254" s="67">
        <v>146910814.74000001</v>
      </c>
      <c r="BY254" s="67">
        <v>63409499.738473907</v>
      </c>
      <c r="BZ254" s="67">
        <v>98878634.235865265</v>
      </c>
      <c r="CA254" s="67">
        <v>48248555.801499724</v>
      </c>
      <c r="CB254" s="67">
        <f t="shared" si="129"/>
        <v>-2398194.4634407982</v>
      </c>
      <c r="CC254" s="67">
        <f t="shared" si="130"/>
        <v>-127.36921959236984</v>
      </c>
      <c r="CD254" s="67">
        <f t="shared" si="131"/>
        <v>17.429253571430927</v>
      </c>
      <c r="CE254" s="67">
        <f t="shared" si="132"/>
        <v>144.79847316380076</v>
      </c>
      <c r="CF254" s="67">
        <f t="shared" si="133"/>
        <v>-129.79847316380076</v>
      </c>
      <c r="CG254" s="67">
        <f t="shared" si="134"/>
        <v>-114.79847316380076</v>
      </c>
      <c r="CH254" s="67">
        <f t="shared" si="135"/>
        <v>-99.798473163800764</v>
      </c>
      <c r="CI254" s="67">
        <f t="shared" si="136"/>
        <v>-84.798473163800764</v>
      </c>
      <c r="CJ254" s="67">
        <f t="shared" si="137"/>
        <v>-2755881.1822138177</v>
      </c>
      <c r="CK254" s="67">
        <f t="shared" si="138"/>
        <v>-2437401.1822138177</v>
      </c>
      <c r="CL254" s="67">
        <f t="shared" si="139"/>
        <v>-2118921.1822138177</v>
      </c>
      <c r="CM254" s="67">
        <f t="shared" si="140"/>
        <v>-1800441.1822138177</v>
      </c>
      <c r="CN254" s="299"/>
      <c r="CO254" s="430">
        <v>86263.213907109253</v>
      </c>
      <c r="CP254" s="430">
        <v>6570.9631041836901</v>
      </c>
      <c r="CQ254" s="430">
        <v>6064.1769999999997</v>
      </c>
      <c r="CR254" s="430">
        <v>35810119.770493381</v>
      </c>
      <c r="CS254" s="430">
        <v>14984874.590990072</v>
      </c>
      <c r="CT254" s="430">
        <v>10171111.007828463</v>
      </c>
      <c r="CU254" s="430">
        <v>3049684.8240652587</v>
      </c>
      <c r="CV254" s="430">
        <v>-2042963</v>
      </c>
      <c r="CW254" s="430">
        <v>226130.1875718321</v>
      </c>
      <c r="CX254" s="430">
        <v>1110548.42</v>
      </c>
      <c r="CY254" s="430">
        <v>62584908.937575847</v>
      </c>
      <c r="CZ254" s="519"/>
      <c r="DA254" s="524">
        <v>87129.94472</v>
      </c>
      <c r="DB254" s="524">
        <v>6519.5710592914293</v>
      </c>
      <c r="DC254" s="520">
        <f t="shared" si="141"/>
        <v>-1</v>
      </c>
      <c r="DD254" s="440">
        <v>21293</v>
      </c>
      <c r="DE254" s="450">
        <v>63409499.738473907</v>
      </c>
      <c r="DF254" s="440">
        <v>38243006.344199724</v>
      </c>
      <c r="DG254" s="440">
        <v>6072002.1394999996</v>
      </c>
      <c r="DH254" s="440">
        <v>3933547.3177999998</v>
      </c>
      <c r="DI254" s="440">
        <v>14951326.079860309</v>
      </c>
      <c r="DJ254" s="440">
        <v>3054612.4103253121</v>
      </c>
      <c r="DK254" s="440">
        <v>-2397156.3534561843</v>
      </c>
      <c r="DL254" s="440">
        <v>-1847211</v>
      </c>
      <c r="DM254" s="440">
        <v>1008900</v>
      </c>
      <c r="DN254" s="440">
        <v>224429.59753453435</v>
      </c>
      <c r="DO254" s="457">
        <f t="shared" si="142"/>
        <v>-166043.20271021128</v>
      </c>
      <c r="DP254" s="459">
        <f t="shared" si="143"/>
        <v>-7.7980182553050899</v>
      </c>
      <c r="DQ254" s="440"/>
      <c r="DR254" s="450">
        <v>146910814.74000001</v>
      </c>
      <c r="DS254" s="440">
        <v>86906311.119665265</v>
      </c>
      <c r="DT254" s="440">
        <v>5900320.9766999995</v>
      </c>
      <c r="DU254" s="440">
        <v>35776623.390493378</v>
      </c>
      <c r="DV254" s="440">
        <v>10187545.173895756</v>
      </c>
      <c r="DW254" s="440">
        <v>5233691.1394999996</v>
      </c>
      <c r="DX254" s="457">
        <f t="shared" si="144"/>
        <v>-2906322.939745605</v>
      </c>
      <c r="DY254" s="459">
        <f t="shared" si="145"/>
        <v>-136.49194288008289</v>
      </c>
      <c r="DZ254" s="440"/>
      <c r="EA254" s="457">
        <f t="shared" si="146"/>
        <v>2740279.7370353937</v>
      </c>
      <c r="EB254" s="459">
        <f t="shared" si="147"/>
        <v>128.69392462477779</v>
      </c>
      <c r="ED254" s="457">
        <v>-2651579.1706958553</v>
      </c>
      <c r="EE254" s="458">
        <v>-2359774.6797709926</v>
      </c>
      <c r="EF254" s="458">
        <v>-2063560.658302187</v>
      </c>
      <c r="EG254" s="458">
        <v>-1769509.4171589606</v>
      </c>
      <c r="EH254" s="459">
        <v>-1470900.6258044119</v>
      </c>
    </row>
    <row r="255" spans="1:138" x14ac:dyDescent="0.2">
      <c r="A255" s="67">
        <v>751</v>
      </c>
      <c r="B255" s="67" t="s">
        <v>370</v>
      </c>
      <c r="C255" s="67">
        <v>19</v>
      </c>
      <c r="D255" s="67">
        <v>2877</v>
      </c>
      <c r="E255" s="82">
        <v>9420954.894510176</v>
      </c>
      <c r="F255" s="67">
        <v>4673598.1961445929</v>
      </c>
      <c r="G255" s="67">
        <v>2313949</v>
      </c>
      <c r="H255" s="67">
        <v>273637.19518761872</v>
      </c>
      <c r="I255" s="67">
        <v>2468818.1079165661</v>
      </c>
      <c r="J255" s="67">
        <v>529377.87846577121</v>
      </c>
      <c r="K255" s="67">
        <v>183741.02812960971</v>
      </c>
      <c r="L255" s="67">
        <v>224195</v>
      </c>
      <c r="M255" s="68">
        <v>-32556.710000000003</v>
      </c>
      <c r="N255" s="68">
        <v>27799.099844181957</v>
      </c>
      <c r="O255" s="68">
        <v>-83730.385175395684</v>
      </c>
      <c r="P255" s="168">
        <f t="shared" si="113"/>
        <v>1157873.5160027687</v>
      </c>
      <c r="Q255" s="169">
        <f t="shared" si="114"/>
        <v>402.45864303189734</v>
      </c>
      <c r="R255" s="67"/>
      <c r="S255" s="82">
        <v>22516168.609999999</v>
      </c>
      <c r="T255" s="67">
        <v>10790053.184679899</v>
      </c>
      <c r="U255" s="67">
        <v>411263.64435812028</v>
      </c>
      <c r="V255" s="67">
        <v>8024903.1312752785</v>
      </c>
      <c r="W255" s="67">
        <v>1765546.7622344922</v>
      </c>
      <c r="X255" s="67">
        <v>2505587.29</v>
      </c>
      <c r="Y255" s="168">
        <f t="shared" si="115"/>
        <v>981185.4025477916</v>
      </c>
      <c r="Z255" s="169">
        <f t="shared" si="116"/>
        <v>341.04463070830434</v>
      </c>
      <c r="AA255" s="67"/>
      <c r="AB255" s="77">
        <f t="shared" si="117"/>
        <v>176688.11345497705</v>
      </c>
      <c r="AC255" s="123">
        <f t="shared" si="118"/>
        <v>61.414012323592999</v>
      </c>
      <c r="AE255" s="170"/>
      <c r="AF255" s="177">
        <v>-130229.95206533236</v>
      </c>
      <c r="AG255" s="177">
        <v>-94571.627468904961</v>
      </c>
      <c r="AH255" s="177">
        <v>-55798.29303459025</v>
      </c>
      <c r="AI255" s="178">
        <v>-17613.213224981784</v>
      </c>
      <c r="AK255" s="67">
        <f t="shared" si="119"/>
        <v>6116454.9885353064</v>
      </c>
      <c r="AL255" s="67">
        <f t="shared" si="120"/>
        <v>137626.44917050155</v>
      </c>
      <c r="AM255" s="67">
        <f t="shared" si="121"/>
        <v>5556085.023358712</v>
      </c>
      <c r="AN255" s="67">
        <f t="shared" si="122"/>
        <v>13095213.715489823</v>
      </c>
      <c r="AO255" s="67">
        <f t="shared" si="123"/>
        <v>0</v>
      </c>
      <c r="AP255" s="67">
        <f t="shared" si="124"/>
        <v>-130229.95206533236</v>
      </c>
      <c r="AQ255" s="67">
        <f t="shared" si="125"/>
        <v>-94571.627468904961</v>
      </c>
      <c r="AR255" s="67">
        <f t="shared" si="126"/>
        <v>-55798.29303459025</v>
      </c>
      <c r="AS255" s="67">
        <f t="shared" si="127"/>
        <v>-17613.213224981784</v>
      </c>
      <c r="AT255" s="68">
        <v>1363</v>
      </c>
      <c r="AU255" s="68"/>
      <c r="AV255" s="68"/>
      <c r="AW255" s="68">
        <v>0</v>
      </c>
      <c r="AX255" s="68">
        <v>5251.7342089106696</v>
      </c>
      <c r="AY255" s="68">
        <v>-603.53294665609633</v>
      </c>
      <c r="AZ255" s="68">
        <v>1237.8893637190199</v>
      </c>
      <c r="BA255" s="299"/>
      <c r="BB255" s="67"/>
      <c r="BC255" s="67"/>
      <c r="BD255" s="67"/>
      <c r="BE255" s="67"/>
      <c r="BF255" s="67"/>
      <c r="BG255" s="67"/>
      <c r="BH255" s="67"/>
      <c r="BN255" s="299"/>
      <c r="BO255" s="67">
        <v>9228803.5057918541</v>
      </c>
      <c r="BP255" s="67">
        <v>12528495.720000003</v>
      </c>
      <c r="BQ255" s="67">
        <v>12210000</v>
      </c>
      <c r="BR255" s="67">
        <v>232562.91999999998</v>
      </c>
      <c r="BS255" s="67">
        <v>359000</v>
      </c>
      <c r="BT255" s="428">
        <v>0.56686050419284928</v>
      </c>
      <c r="BU255" s="428">
        <v>0.33464287704132473</v>
      </c>
      <c r="BV255" s="67">
        <f t="shared" si="128"/>
        <v>6975994.9352570437</v>
      </c>
      <c r="BW255" s="299"/>
      <c r="BX255" s="67">
        <v>22631000</v>
      </c>
      <c r="BY255" s="67">
        <v>9228803.5057918541</v>
      </c>
      <c r="BZ255" s="67">
        <v>13871224.728504617</v>
      </c>
      <c r="CA255" s="67">
        <v>7442434.0538776144</v>
      </c>
      <c r="CB255" s="67">
        <f t="shared" si="129"/>
        <v>54422.046924943425</v>
      </c>
      <c r="CC255" s="67">
        <f t="shared" si="130"/>
        <v>341.04463070830434</v>
      </c>
      <c r="CD255" s="67">
        <f t="shared" si="131"/>
        <v>386.61276328588752</v>
      </c>
      <c r="CE255" s="67">
        <f t="shared" si="132"/>
        <v>45.568132577583185</v>
      </c>
      <c r="CF255" s="67">
        <f t="shared" si="133"/>
        <v>-30.568132577583185</v>
      </c>
      <c r="CG255" s="67">
        <f t="shared" si="134"/>
        <v>-15.568132577583185</v>
      </c>
      <c r="CH255" s="67">
        <f t="shared" si="135"/>
        <v>-0.56813257758318514</v>
      </c>
      <c r="CI255" s="67">
        <f t="shared" si="136"/>
        <v>0</v>
      </c>
      <c r="CJ255" s="67">
        <f t="shared" si="137"/>
        <v>-87944.517425706828</v>
      </c>
      <c r="CK255" s="67">
        <f t="shared" si="138"/>
        <v>-44789.517425706821</v>
      </c>
      <c r="CL255" s="67">
        <f t="shared" si="139"/>
        <v>-1634.5174257068236</v>
      </c>
      <c r="CM255" s="67">
        <f t="shared" si="140"/>
        <v>0</v>
      </c>
      <c r="CN255" s="299"/>
      <c r="CO255" s="430">
        <v>10790.053184679899</v>
      </c>
      <c r="CP255" s="430">
        <v>411.2636443581203</v>
      </c>
      <c r="CQ255" s="430">
        <v>2313.9490000000001</v>
      </c>
      <c r="CR255" s="430">
        <v>8024903.1312752785</v>
      </c>
      <c r="CS255" s="430">
        <v>2468818.1079165661</v>
      </c>
      <c r="CT255" s="430">
        <v>1765546.7622344922</v>
      </c>
      <c r="CU255" s="430">
        <v>529377.87846577121</v>
      </c>
      <c r="CV255" s="430">
        <v>224195</v>
      </c>
      <c r="CW255" s="430">
        <v>27799.099844181957</v>
      </c>
      <c r="CX255" s="430">
        <v>-32556.710000000003</v>
      </c>
      <c r="CY255" s="430">
        <v>9420954.894510176</v>
      </c>
      <c r="CZ255" s="519"/>
      <c r="DA255" s="524">
        <v>11152.21308</v>
      </c>
      <c r="DB255" s="524">
        <v>408.04721609423711</v>
      </c>
      <c r="DC255" s="520">
        <f t="shared" si="141"/>
        <v>-1</v>
      </c>
      <c r="DD255" s="440">
        <v>2904</v>
      </c>
      <c r="DE255" s="450">
        <v>9228803.5057918541</v>
      </c>
      <c r="DF255" s="440">
        <v>4882095.9612776143</v>
      </c>
      <c r="DG255" s="440">
        <v>2314145.1100000003</v>
      </c>
      <c r="DH255" s="440">
        <v>246192.98259999999</v>
      </c>
      <c r="DI255" s="440">
        <v>2464179.1781713986</v>
      </c>
      <c r="DJ255" s="440">
        <v>530114.65807411843</v>
      </c>
      <c r="DK255" s="440">
        <v>54004.000961878512</v>
      </c>
      <c r="DL255" s="440">
        <v>335936</v>
      </c>
      <c r="DM255" s="440">
        <v>-70000</v>
      </c>
      <c r="DN255" s="440">
        <v>28497.109788417536</v>
      </c>
      <c r="DO255" s="457">
        <f t="shared" si="142"/>
        <v>1556361.4950815737</v>
      </c>
      <c r="DP255" s="459">
        <f t="shared" si="143"/>
        <v>535.93715395370998</v>
      </c>
      <c r="DQ255" s="440"/>
      <c r="DR255" s="450">
        <v>22631000</v>
      </c>
      <c r="DS255" s="440">
        <v>11187790.144604618</v>
      </c>
      <c r="DT255" s="440">
        <v>369289.47389999998</v>
      </c>
      <c r="DU255" s="440">
        <v>8020276.7512752758</v>
      </c>
      <c r="DV255" s="440">
        <v>1768004.0217931382</v>
      </c>
      <c r="DW255" s="440">
        <v>2580081.1100000003</v>
      </c>
      <c r="DX255" s="457">
        <f t="shared" si="144"/>
        <v>1294441.5015730336</v>
      </c>
      <c r="DY255" s="459">
        <f t="shared" si="145"/>
        <v>445.74431872349641</v>
      </c>
      <c r="DZ255" s="440"/>
      <c r="EA255" s="457">
        <f t="shared" si="146"/>
        <v>261919.99350854009</v>
      </c>
      <c r="EB255" s="459">
        <f t="shared" si="147"/>
        <v>90.192835230213532</v>
      </c>
      <c r="ED255" s="457">
        <v>-249822.75757889068</v>
      </c>
      <c r="EE255" s="458">
        <v>-210025.62980705011</v>
      </c>
      <c r="EF255" s="458">
        <v>-169627.11769765211</v>
      </c>
      <c r="EG255" s="458">
        <v>-129523.57173043613</v>
      </c>
      <c r="EH255" s="459">
        <v>-88798.454081743694</v>
      </c>
    </row>
    <row r="256" spans="1:138" x14ac:dyDescent="0.2">
      <c r="A256" s="67">
        <v>753</v>
      </c>
      <c r="B256" s="67" t="s">
        <v>371</v>
      </c>
      <c r="C256" s="67">
        <v>34</v>
      </c>
      <c r="D256" s="67">
        <v>22320</v>
      </c>
      <c r="E256" s="82">
        <v>56933353.14682287</v>
      </c>
      <c r="F256" s="67">
        <v>36106182.444019169</v>
      </c>
      <c r="G256" s="67">
        <v>10407310</v>
      </c>
      <c r="H256" s="67">
        <v>4432460.933247597</v>
      </c>
      <c r="I256" s="67">
        <v>11806414.025956688</v>
      </c>
      <c r="J256" s="67">
        <v>2453225.559683226</v>
      </c>
      <c r="K256" s="67">
        <v>6666830.7533449782</v>
      </c>
      <c r="L256" s="67">
        <v>-2088294</v>
      </c>
      <c r="M256" s="68">
        <v>-75908.539999999994</v>
      </c>
      <c r="N256" s="68">
        <v>313889.28680772905</v>
      </c>
      <c r="O256" s="68">
        <v>-649587.13837846078</v>
      </c>
      <c r="P256" s="168">
        <f t="shared" si="113"/>
        <v>12439170.177858066</v>
      </c>
      <c r="Q256" s="169">
        <f t="shared" si="114"/>
        <v>557.31049183951905</v>
      </c>
      <c r="R256" s="67"/>
      <c r="S256" s="82">
        <v>124481851</v>
      </c>
      <c r="T256" s="67">
        <v>104493870.76436502</v>
      </c>
      <c r="U256" s="67">
        <v>6661777.2325598057</v>
      </c>
      <c r="V256" s="67">
        <v>13304150.886303607</v>
      </c>
      <c r="W256" s="67">
        <v>8181838.7585110879</v>
      </c>
      <c r="X256" s="67">
        <v>8243107.46</v>
      </c>
      <c r="Y256" s="168">
        <f t="shared" si="115"/>
        <v>16402894.101739526</v>
      </c>
      <c r="Z256" s="169">
        <f t="shared" si="116"/>
        <v>734.89668914603612</v>
      </c>
      <c r="AA256" s="67"/>
      <c r="AB256" s="77">
        <f t="shared" si="117"/>
        <v>-3963723.92388146</v>
      </c>
      <c r="AC256" s="123">
        <f t="shared" si="118"/>
        <v>-177.58619730651702</v>
      </c>
      <c r="AE256" s="170"/>
      <c r="AF256" s="177">
        <v>3654550.1186040235</v>
      </c>
      <c r="AG256" s="177">
        <v>3261590.3010830851</v>
      </c>
      <c r="AH256" s="177">
        <v>2892796.9832429402</v>
      </c>
      <c r="AI256" s="178">
        <v>2519439.9381787973</v>
      </c>
      <c r="AK256" s="67">
        <f t="shared" si="119"/>
        <v>68387688.320345849</v>
      </c>
      <c r="AL256" s="67">
        <f t="shared" si="120"/>
        <v>2229316.2993122088</v>
      </c>
      <c r="AM256" s="67">
        <f t="shared" si="121"/>
        <v>1497736.8603469189</v>
      </c>
      <c r="AN256" s="67">
        <f t="shared" si="122"/>
        <v>67548497.85317713</v>
      </c>
      <c r="AO256" s="67">
        <f t="shared" si="123"/>
        <v>0</v>
      </c>
      <c r="AP256" s="67">
        <f t="shared" si="124"/>
        <v>3654550.1186040235</v>
      </c>
      <c r="AQ256" s="67">
        <f t="shared" si="125"/>
        <v>3261590.3010830851</v>
      </c>
      <c r="AR256" s="67">
        <f t="shared" si="126"/>
        <v>2892796.9832429402</v>
      </c>
      <c r="AS256" s="67">
        <f t="shared" si="127"/>
        <v>2519439.9381787973</v>
      </c>
      <c r="AT256" s="68">
        <v>14771</v>
      </c>
      <c r="AU256" s="68"/>
      <c r="AV256" s="68"/>
      <c r="AW256" s="68">
        <v>2</v>
      </c>
      <c r="AX256" s="68">
        <v>7977.7585341002678</v>
      </c>
      <c r="AY256" s="68">
        <v>5999.1917620714448</v>
      </c>
      <c r="AZ256" s="68">
        <v>5677.1734762421547</v>
      </c>
      <c r="BA256" s="299"/>
      <c r="BB256" s="67"/>
      <c r="BC256" s="67"/>
      <c r="BD256" s="67"/>
      <c r="BE256" s="67"/>
      <c r="BF256" s="67"/>
      <c r="BG256" s="67"/>
      <c r="BH256" s="67"/>
      <c r="BN256" s="299"/>
      <c r="BO256" s="67">
        <v>71145915.213497177</v>
      </c>
      <c r="BP256" s="67">
        <v>59890013.310000002</v>
      </c>
      <c r="BQ256" s="67">
        <v>65930000</v>
      </c>
      <c r="BR256" s="67">
        <v>2442219.66</v>
      </c>
      <c r="BS256" s="67">
        <v>2392000</v>
      </c>
      <c r="BT256" s="428">
        <v>0.65446602580701541</v>
      </c>
      <c r="BU256" s="428">
        <v>0.33464287704132489</v>
      </c>
      <c r="BV256" s="67">
        <f t="shared" si="128"/>
        <v>13893180.812519759</v>
      </c>
      <c r="BW256" s="299"/>
      <c r="BX256" s="67">
        <v>135742156</v>
      </c>
      <c r="BY256" s="67">
        <v>71145915.213497177</v>
      </c>
      <c r="BZ256" s="67">
        <v>115373629.88721971</v>
      </c>
      <c r="CA256" s="67">
        <v>49076303.368527241</v>
      </c>
      <c r="CB256" s="67">
        <f t="shared" si="129"/>
        <v>5419951.888292348</v>
      </c>
      <c r="CC256" s="67">
        <f t="shared" si="130"/>
        <v>734.89668914603578</v>
      </c>
      <c r="CD256" s="67">
        <f t="shared" si="131"/>
        <v>530.55010982006661</v>
      </c>
      <c r="CE256" s="67">
        <f t="shared" si="132"/>
        <v>-204.34657932596917</v>
      </c>
      <c r="CF256" s="67">
        <f t="shared" si="133"/>
        <v>189.34657932596917</v>
      </c>
      <c r="CG256" s="67">
        <f t="shared" si="134"/>
        <v>174.34657932596917</v>
      </c>
      <c r="CH256" s="67">
        <f t="shared" si="135"/>
        <v>159.34657932596917</v>
      </c>
      <c r="CI256" s="67">
        <f t="shared" si="136"/>
        <v>144.34657932596917</v>
      </c>
      <c r="CJ256" s="67">
        <f t="shared" si="137"/>
        <v>4226215.6505556321</v>
      </c>
      <c r="CK256" s="67">
        <f t="shared" si="138"/>
        <v>3891415.6505556321</v>
      </c>
      <c r="CL256" s="67">
        <f t="shared" si="139"/>
        <v>3556615.6505556321</v>
      </c>
      <c r="CM256" s="67">
        <f t="shared" si="140"/>
        <v>3221815.6505556321</v>
      </c>
      <c r="CN256" s="299"/>
      <c r="CO256" s="430">
        <v>104493.87076436501</v>
      </c>
      <c r="CP256" s="430">
        <v>6661.7772325598062</v>
      </c>
      <c r="CQ256" s="430">
        <v>10407.31</v>
      </c>
      <c r="CR256" s="430">
        <v>13304150.886303607</v>
      </c>
      <c r="CS256" s="430">
        <v>11806414.025956688</v>
      </c>
      <c r="CT256" s="430">
        <v>8181838.7585110879</v>
      </c>
      <c r="CU256" s="430">
        <v>2453225.559683226</v>
      </c>
      <c r="CV256" s="430">
        <v>-2088294</v>
      </c>
      <c r="CW256" s="430">
        <v>313889.28680772905</v>
      </c>
      <c r="CX256" s="430">
        <v>-75908.539999999994</v>
      </c>
      <c r="CY256" s="430">
        <v>56933353.14682287</v>
      </c>
      <c r="CZ256" s="519"/>
      <c r="DA256" s="524">
        <v>103218.91229000001</v>
      </c>
      <c r="DB256" s="524">
        <v>6589.6271129054203</v>
      </c>
      <c r="DC256" s="520">
        <f t="shared" si="141"/>
        <v>-1</v>
      </c>
      <c r="DD256" s="440">
        <v>22190</v>
      </c>
      <c r="DE256" s="450">
        <v>71145915.213497177</v>
      </c>
      <c r="DF256" s="440">
        <v>34644800.971527241</v>
      </c>
      <c r="DG256" s="440">
        <v>10443591.409</v>
      </c>
      <c r="DH256" s="440">
        <v>3987910.9880000004</v>
      </c>
      <c r="DI256" s="440">
        <v>11772217.529704031</v>
      </c>
      <c r="DJ256" s="440">
        <v>2431196.974779631</v>
      </c>
      <c r="DK256" s="440">
        <v>5432032.9815578219</v>
      </c>
      <c r="DL256" s="440">
        <v>-2152662</v>
      </c>
      <c r="DM256" s="440">
        <v>-560700</v>
      </c>
      <c r="DN256" s="440">
        <v>293878.3183497198</v>
      </c>
      <c r="DO256" s="457">
        <f t="shared" si="142"/>
        <v>-4853648.0405787304</v>
      </c>
      <c r="DP256" s="459">
        <f t="shared" si="143"/>
        <v>-218.73132224329564</v>
      </c>
      <c r="DQ256" s="440"/>
      <c r="DR256" s="450">
        <v>135742156</v>
      </c>
      <c r="DS256" s="440">
        <v>98948171.99621971</v>
      </c>
      <c r="DT256" s="440">
        <v>5981866.4820000008</v>
      </c>
      <c r="DU256" s="440">
        <v>13270018.376303587</v>
      </c>
      <c r="DV256" s="440">
        <v>8108370.4510217858</v>
      </c>
      <c r="DW256" s="440">
        <v>7730229.409</v>
      </c>
      <c r="DX256" s="457">
        <f t="shared" si="144"/>
        <v>-1703499.285454914</v>
      </c>
      <c r="DY256" s="459">
        <f t="shared" si="145"/>
        <v>-76.768782580212431</v>
      </c>
      <c r="DZ256" s="440"/>
      <c r="EA256" s="457">
        <f t="shared" si="146"/>
        <v>-3150148.7551238164</v>
      </c>
      <c r="EB256" s="459">
        <f t="shared" si="147"/>
        <v>-141.96253966308322</v>
      </c>
      <c r="ED256" s="457">
        <v>3242585.9676854643</v>
      </c>
      <c r="EE256" s="458">
        <v>2880983.166465472</v>
      </c>
      <c r="EF256" s="458">
        <v>2523975.6539680688</v>
      </c>
      <c r="EG256" s="458">
        <v>2164714.2507354664</v>
      </c>
      <c r="EH256" s="459">
        <v>1810202.3914463774</v>
      </c>
    </row>
    <row r="257" spans="1:138" x14ac:dyDescent="0.2">
      <c r="A257" s="67">
        <v>755</v>
      </c>
      <c r="B257" s="67" t="s">
        <v>372</v>
      </c>
      <c r="C257" s="67">
        <v>33</v>
      </c>
      <c r="D257" s="67">
        <v>6217</v>
      </c>
      <c r="E257" s="82">
        <v>20116245.767085776</v>
      </c>
      <c r="F257" s="67">
        <v>12232631.166071773</v>
      </c>
      <c r="G257" s="67">
        <v>2378707</v>
      </c>
      <c r="H257" s="67">
        <v>735590.53286758426</v>
      </c>
      <c r="I257" s="67">
        <v>3367696.213247044</v>
      </c>
      <c r="J257" s="67">
        <v>911004.47348623909</v>
      </c>
      <c r="K257" s="67">
        <v>1342390.4371549722</v>
      </c>
      <c r="L257" s="67">
        <v>-1526827</v>
      </c>
      <c r="M257" s="68">
        <v>-90874.2</v>
      </c>
      <c r="N257" s="68">
        <v>80367.012316415319</v>
      </c>
      <c r="O257" s="68">
        <v>-180935.62900084635</v>
      </c>
      <c r="P257" s="168">
        <f t="shared" si="113"/>
        <v>-866495.76094259322</v>
      </c>
      <c r="Q257" s="169">
        <f t="shared" si="114"/>
        <v>-139.37522292787409</v>
      </c>
      <c r="R257" s="67"/>
      <c r="S257" s="82">
        <v>39441463.770000003</v>
      </c>
      <c r="T257" s="67">
        <v>29943171.977139026</v>
      </c>
      <c r="U257" s="67">
        <v>1105557.4630306787</v>
      </c>
      <c r="V257" s="67">
        <v>5120673.8221626123</v>
      </c>
      <c r="W257" s="67">
        <v>3038323.0277892426</v>
      </c>
      <c r="X257" s="67">
        <v>761005.8</v>
      </c>
      <c r="Y257" s="168">
        <f t="shared" si="115"/>
        <v>527268.32012155652</v>
      </c>
      <c r="Z257" s="169">
        <f t="shared" si="116"/>
        <v>84.810731883795484</v>
      </c>
      <c r="AA257" s="67"/>
      <c r="AB257" s="77">
        <f t="shared" si="117"/>
        <v>-1393764.0810641497</v>
      </c>
      <c r="AC257" s="123">
        <f t="shared" si="118"/>
        <v>-224.18595481166957</v>
      </c>
      <c r="AE257" s="170"/>
      <c r="AF257" s="177">
        <v>1307646.9866461484</v>
      </c>
      <c r="AG257" s="177">
        <v>1198192.1844271666</v>
      </c>
      <c r="AH257" s="177">
        <v>1095468.7051703485</v>
      </c>
      <c r="AI257" s="178">
        <v>991474.04794974928</v>
      </c>
      <c r="AK257" s="67">
        <f t="shared" si="119"/>
        <v>17710540.811067253</v>
      </c>
      <c r="AL257" s="67">
        <f t="shared" si="120"/>
        <v>369966.93016309442</v>
      </c>
      <c r="AM257" s="67">
        <f t="shared" si="121"/>
        <v>1752977.6089155683</v>
      </c>
      <c r="AN257" s="67">
        <f t="shared" si="122"/>
        <v>19325218.002914228</v>
      </c>
      <c r="AO257" s="67">
        <f t="shared" si="123"/>
        <v>0</v>
      </c>
      <c r="AP257" s="67">
        <f t="shared" si="124"/>
        <v>1307646.9866461484</v>
      </c>
      <c r="AQ257" s="67">
        <f t="shared" si="125"/>
        <v>1198192.1844271666</v>
      </c>
      <c r="AR257" s="67">
        <f t="shared" si="126"/>
        <v>1095468.7051703485</v>
      </c>
      <c r="AS257" s="67">
        <f t="shared" si="127"/>
        <v>991474.04794974928</v>
      </c>
      <c r="AT257" s="68">
        <v>1642</v>
      </c>
      <c r="AU257" s="68"/>
      <c r="AV257" s="68"/>
      <c r="AW257" s="68">
        <v>45</v>
      </c>
      <c r="AX257" s="68">
        <v>2264.9020942601651</v>
      </c>
      <c r="AY257" s="68">
        <v>1010.7616083054199</v>
      </c>
      <c r="AZ257" s="68">
        <v>2118.2617021271167</v>
      </c>
      <c r="BA257" s="299"/>
      <c r="BB257" s="67"/>
      <c r="BC257" s="67"/>
      <c r="BD257" s="67"/>
      <c r="BE257" s="67"/>
      <c r="BF257" s="67"/>
      <c r="BG257" s="67"/>
      <c r="BH257" s="67"/>
      <c r="BN257" s="299"/>
      <c r="BO257" s="67">
        <v>16970861.343111482</v>
      </c>
      <c r="BP257" s="67">
        <v>18612330.360000003</v>
      </c>
      <c r="BQ257" s="67">
        <v>17903000</v>
      </c>
      <c r="BR257" s="67">
        <v>421439.44</v>
      </c>
      <c r="BS257" s="67">
        <v>444000</v>
      </c>
      <c r="BT257" s="428">
        <v>0.59147176607037066</v>
      </c>
      <c r="BU257" s="428">
        <v>0.33464287704132484</v>
      </c>
      <c r="BV257" s="67">
        <f t="shared" si="128"/>
        <v>5222686.6003735438</v>
      </c>
      <c r="BW257" s="299"/>
      <c r="BX257" s="67">
        <v>36680901</v>
      </c>
      <c r="BY257" s="67">
        <v>16970861.343111482</v>
      </c>
      <c r="BZ257" s="67">
        <v>32209984.924914427</v>
      </c>
      <c r="CA257" s="67">
        <v>15019544.211104803</v>
      </c>
      <c r="CB257" s="67">
        <f t="shared" si="129"/>
        <v>461843.3899188076</v>
      </c>
      <c r="CC257" s="67">
        <f t="shared" si="130"/>
        <v>84.810731883795526</v>
      </c>
      <c r="CD257" s="67">
        <f t="shared" si="131"/>
        <v>-251.90721878364366</v>
      </c>
      <c r="CE257" s="67">
        <f t="shared" si="132"/>
        <v>-336.7179506674392</v>
      </c>
      <c r="CF257" s="67">
        <f t="shared" si="133"/>
        <v>321.7179506674392</v>
      </c>
      <c r="CG257" s="67">
        <f t="shared" si="134"/>
        <v>306.7179506674392</v>
      </c>
      <c r="CH257" s="67">
        <f t="shared" si="135"/>
        <v>291.7179506674392</v>
      </c>
      <c r="CI257" s="67">
        <f t="shared" si="136"/>
        <v>276.7179506674392</v>
      </c>
      <c r="CJ257" s="67">
        <f t="shared" si="137"/>
        <v>2000120.4992994694</v>
      </c>
      <c r="CK257" s="67">
        <f t="shared" si="138"/>
        <v>1906865.4992994694</v>
      </c>
      <c r="CL257" s="67">
        <f t="shared" si="139"/>
        <v>1813610.4992994694</v>
      </c>
      <c r="CM257" s="67">
        <f t="shared" si="140"/>
        <v>1720355.4992994694</v>
      </c>
      <c r="CN257" s="299"/>
      <c r="CO257" s="430">
        <v>29943.171977139027</v>
      </c>
      <c r="CP257" s="430">
        <v>1105.5574630306787</v>
      </c>
      <c r="CQ257" s="430">
        <v>2378.7069999999999</v>
      </c>
      <c r="CR257" s="430">
        <v>5120673.8221626123</v>
      </c>
      <c r="CS257" s="430">
        <v>3367696.213247044</v>
      </c>
      <c r="CT257" s="430">
        <v>3038323.0277892426</v>
      </c>
      <c r="CU257" s="430">
        <v>911004.47348623909</v>
      </c>
      <c r="CV257" s="430">
        <v>-1526827</v>
      </c>
      <c r="CW257" s="430">
        <v>80367.012316415319</v>
      </c>
      <c r="CX257" s="430">
        <v>-90874.2</v>
      </c>
      <c r="CY257" s="430">
        <v>20116245.767085776</v>
      </c>
      <c r="CZ257" s="519"/>
      <c r="DA257" s="524">
        <v>30846.153309999998</v>
      </c>
      <c r="DB257" s="524">
        <v>1096.9120184043009</v>
      </c>
      <c r="DC257" s="520">
        <f t="shared" si="141"/>
        <v>-1</v>
      </c>
      <c r="DD257" s="440">
        <v>6198</v>
      </c>
      <c r="DE257" s="450">
        <v>16970861.343111482</v>
      </c>
      <c r="DF257" s="440">
        <v>11924042.929704802</v>
      </c>
      <c r="DG257" s="440">
        <v>2433686.1829999997</v>
      </c>
      <c r="DH257" s="440">
        <v>661815.09840000002</v>
      </c>
      <c r="DI257" s="440">
        <v>3358003.7291035578</v>
      </c>
      <c r="DJ257" s="440">
        <v>907125.96040166076</v>
      </c>
      <c r="DK257" s="440">
        <v>464360.05994844204</v>
      </c>
      <c r="DL257" s="440">
        <v>-1526827</v>
      </c>
      <c r="DM257" s="440">
        <v>-131900</v>
      </c>
      <c r="DN257" s="440">
        <v>76200.626389369601</v>
      </c>
      <c r="DO257" s="457">
        <f t="shared" si="142"/>
        <v>1195646.2438363507</v>
      </c>
      <c r="DP257" s="459">
        <f t="shared" si="143"/>
        <v>192.90839687582297</v>
      </c>
      <c r="DQ257" s="440"/>
      <c r="DR257" s="450">
        <v>36680901</v>
      </c>
      <c r="DS257" s="440">
        <v>28783576.09431443</v>
      </c>
      <c r="DT257" s="440">
        <v>992722.64760000003</v>
      </c>
      <c r="DU257" s="440">
        <v>5111000.0321626039</v>
      </c>
      <c r="DV257" s="440">
        <v>3025387.6625287775</v>
      </c>
      <c r="DW257" s="440">
        <v>774959.18299999973</v>
      </c>
      <c r="DX257" s="457">
        <f t="shared" si="144"/>
        <v>2006744.6196058095</v>
      </c>
      <c r="DY257" s="459">
        <f t="shared" si="145"/>
        <v>323.77292991381245</v>
      </c>
      <c r="DZ257" s="440"/>
      <c r="EA257" s="457">
        <f t="shared" si="146"/>
        <v>-811098.37576945871</v>
      </c>
      <c r="EB257" s="459">
        <f t="shared" si="147"/>
        <v>-130.86453303798947</v>
      </c>
      <c r="ED257" s="457">
        <v>836917.47642097063</v>
      </c>
      <c r="EE257" s="458">
        <v>735916.38755384518</v>
      </c>
      <c r="EF257" s="458">
        <v>636198.83178733301</v>
      </c>
      <c r="EG257" s="458">
        <v>535851.73051488283</v>
      </c>
      <c r="EH257" s="459">
        <v>436831.24814112112</v>
      </c>
    </row>
    <row r="258" spans="1:138" x14ac:dyDescent="0.2">
      <c r="A258" s="67">
        <v>758</v>
      </c>
      <c r="B258" s="67" t="s">
        <v>373</v>
      </c>
      <c r="C258" s="67">
        <v>19</v>
      </c>
      <c r="D258" s="67">
        <v>8134</v>
      </c>
      <c r="E258" s="82">
        <v>25405297.506590314</v>
      </c>
      <c r="F258" s="67">
        <v>12300131.653938212</v>
      </c>
      <c r="G258" s="67">
        <v>8101910</v>
      </c>
      <c r="H258" s="67">
        <v>2663160.6185063501</v>
      </c>
      <c r="I258" s="67">
        <v>7508095.4006586075</v>
      </c>
      <c r="J258" s="67">
        <v>1515674.5094123567</v>
      </c>
      <c r="K258" s="67">
        <v>-2528039.9506406114</v>
      </c>
      <c r="L258" s="67">
        <v>-1087535</v>
      </c>
      <c r="M258" s="68">
        <v>1795914.18</v>
      </c>
      <c r="N258" s="68">
        <v>84488.01330413275</v>
      </c>
      <c r="O258" s="68">
        <v>-236726.78241802868</v>
      </c>
      <c r="P258" s="168">
        <f t="shared" si="113"/>
        <v>4711775.1361707067</v>
      </c>
      <c r="Q258" s="169">
        <f t="shared" si="114"/>
        <v>579.26913402639616</v>
      </c>
      <c r="R258" s="67"/>
      <c r="S258" s="82">
        <v>67625595.310000002</v>
      </c>
      <c r="T258" s="67">
        <v>29968315.786708571</v>
      </c>
      <c r="U258" s="67">
        <v>4002603.3037174791</v>
      </c>
      <c r="V258" s="67">
        <v>23361597.369468503</v>
      </c>
      <c r="W258" s="67">
        <v>5054979.3097698623</v>
      </c>
      <c r="X258" s="67">
        <v>8810289.1799999997</v>
      </c>
      <c r="Y258" s="168">
        <f t="shared" si="115"/>
        <v>3572189.6396644115</v>
      </c>
      <c r="Z258" s="169">
        <f t="shared" si="116"/>
        <v>439.16764687292988</v>
      </c>
      <c r="AA258" s="67"/>
      <c r="AB258" s="77">
        <f t="shared" si="117"/>
        <v>1139585.4965062952</v>
      </c>
      <c r="AC258" s="123">
        <f t="shared" si="118"/>
        <v>140.10148715346634</v>
      </c>
      <c r="AE258" s="170"/>
      <c r="AF258" s="177">
        <v>-1008236.6314581968</v>
      </c>
      <c r="AG258" s="177">
        <v>-907421.61155296897</v>
      </c>
      <c r="AH258" s="177">
        <v>-797799.67818879941</v>
      </c>
      <c r="AI258" s="178">
        <v>-689840.88807014958</v>
      </c>
      <c r="AK258" s="67">
        <f t="shared" si="119"/>
        <v>17668184.13277036</v>
      </c>
      <c r="AL258" s="67">
        <f t="shared" si="120"/>
        <v>1339442.685211129</v>
      </c>
      <c r="AM258" s="67">
        <f t="shared" si="121"/>
        <v>15853501.968809895</v>
      </c>
      <c r="AN258" s="67">
        <f t="shared" si="122"/>
        <v>42220297.803409688</v>
      </c>
      <c r="AO258" s="67">
        <f t="shared" si="123"/>
        <v>0</v>
      </c>
      <c r="AP258" s="67">
        <f t="shared" si="124"/>
        <v>-1008236.6314581968</v>
      </c>
      <c r="AQ258" s="67">
        <f t="shared" si="125"/>
        <v>-907421.61155296897</v>
      </c>
      <c r="AR258" s="67">
        <f t="shared" si="126"/>
        <v>-797799.67818879941</v>
      </c>
      <c r="AS258" s="67">
        <f t="shared" si="127"/>
        <v>-689840.88807014958</v>
      </c>
      <c r="AT258" s="68">
        <v>4203</v>
      </c>
      <c r="AU258" s="68"/>
      <c r="AV258" s="68"/>
      <c r="AW258" s="68">
        <v>184</v>
      </c>
      <c r="AX258" s="68">
        <v>15098.262538497116</v>
      </c>
      <c r="AY258" s="68">
        <v>-209.46495972533924</v>
      </c>
      <c r="AZ258" s="68">
        <v>3532.7990221280024</v>
      </c>
      <c r="BA258" s="299"/>
      <c r="BB258" s="67"/>
      <c r="BC258" s="67"/>
      <c r="BD258" s="67"/>
      <c r="BE258" s="67"/>
      <c r="BF258" s="67"/>
      <c r="BG258" s="67"/>
      <c r="BH258" s="67"/>
      <c r="BN258" s="299"/>
      <c r="BO258" s="67">
        <v>26298156.586546883</v>
      </c>
      <c r="BP258" s="67">
        <v>40900343.770000011</v>
      </c>
      <c r="BQ258" s="67">
        <v>38999000</v>
      </c>
      <c r="BR258" s="67">
        <v>818708</v>
      </c>
      <c r="BS258" s="67">
        <v>949000</v>
      </c>
      <c r="BT258" s="428">
        <v>0.58956213150311509</v>
      </c>
      <c r="BU258" s="428">
        <v>0.33464287704132484</v>
      </c>
      <c r="BV258" s="67">
        <f t="shared" si="128"/>
        <v>16864766.81852679</v>
      </c>
      <c r="BW258" s="299"/>
      <c r="BX258" s="67">
        <v>70312992</v>
      </c>
      <c r="BY258" s="67">
        <v>26298156.586546883</v>
      </c>
      <c r="BZ258" s="67">
        <v>42321341.939851925</v>
      </c>
      <c r="CA258" s="67">
        <v>23209562.526458602</v>
      </c>
      <c r="CB258" s="67">
        <f t="shared" si="129"/>
        <v>-3690327.8605183675</v>
      </c>
      <c r="CC258" s="67">
        <f t="shared" si="130"/>
        <v>439.16764687292999</v>
      </c>
      <c r="CD258" s="67">
        <f t="shared" si="131"/>
        <v>465.47996172989633</v>
      </c>
      <c r="CE258" s="67">
        <f t="shared" si="132"/>
        <v>26.312314856966339</v>
      </c>
      <c r="CF258" s="67">
        <f t="shared" si="133"/>
        <v>-11.312314856966339</v>
      </c>
      <c r="CG258" s="67">
        <f t="shared" si="134"/>
        <v>0</v>
      </c>
      <c r="CH258" s="67">
        <f t="shared" si="135"/>
        <v>0</v>
      </c>
      <c r="CI258" s="67">
        <f t="shared" si="136"/>
        <v>0</v>
      </c>
      <c r="CJ258" s="67">
        <f t="shared" si="137"/>
        <v>-92014.369046564199</v>
      </c>
      <c r="CK258" s="67">
        <f t="shared" si="138"/>
        <v>0</v>
      </c>
      <c r="CL258" s="67">
        <f t="shared" si="139"/>
        <v>0</v>
      </c>
      <c r="CM258" s="67">
        <f t="shared" si="140"/>
        <v>0</v>
      </c>
      <c r="CN258" s="299"/>
      <c r="CO258" s="430">
        <v>29968.315786708572</v>
      </c>
      <c r="CP258" s="430">
        <v>4002.6033037174793</v>
      </c>
      <c r="CQ258" s="430">
        <v>8101.91</v>
      </c>
      <c r="CR258" s="430">
        <v>23361597.369468503</v>
      </c>
      <c r="CS258" s="430">
        <v>7508095.4006586075</v>
      </c>
      <c r="CT258" s="430">
        <v>5054979.3097698623</v>
      </c>
      <c r="CU258" s="430">
        <v>1515674.5094123567</v>
      </c>
      <c r="CV258" s="430">
        <v>-1087535</v>
      </c>
      <c r="CW258" s="430">
        <v>84488.01330413275</v>
      </c>
      <c r="CX258" s="430">
        <v>1795914.18</v>
      </c>
      <c r="CY258" s="430">
        <v>25405297.506590314</v>
      </c>
      <c r="CZ258" s="519"/>
      <c r="DA258" s="524">
        <v>30716.436980000002</v>
      </c>
      <c r="DB258" s="524">
        <v>3971.3006942659499</v>
      </c>
      <c r="DC258" s="520">
        <f t="shared" si="141"/>
        <v>-1</v>
      </c>
      <c r="DD258" s="440">
        <v>8187</v>
      </c>
      <c r="DE258" s="450">
        <v>26298156.586546883</v>
      </c>
      <c r="DF258" s="440">
        <v>12678682.344658602</v>
      </c>
      <c r="DG258" s="440">
        <v>8134819.0200000005</v>
      </c>
      <c r="DH258" s="440">
        <v>2396061.1617999999</v>
      </c>
      <c r="DI258" s="440">
        <v>7495118.5943068881</v>
      </c>
      <c r="DJ258" s="440">
        <v>1512888.4701242629</v>
      </c>
      <c r="DK258" s="440">
        <v>-3690454.1879474381</v>
      </c>
      <c r="DL258" s="440">
        <v>-1098117</v>
      </c>
      <c r="DM258" s="440">
        <v>1704300</v>
      </c>
      <c r="DN258" s="440">
        <v>84717.407014825032</v>
      </c>
      <c r="DO258" s="457">
        <f t="shared" si="142"/>
        <v>2919859.2234102562</v>
      </c>
      <c r="DP258" s="459">
        <f t="shared" si="143"/>
        <v>356.64580718337072</v>
      </c>
      <c r="DQ258" s="440"/>
      <c r="DR258" s="450">
        <v>70312992</v>
      </c>
      <c r="DS258" s="440">
        <v>30592431.177151922</v>
      </c>
      <c r="DT258" s="440">
        <v>3594091.7427000003</v>
      </c>
      <c r="DU258" s="440">
        <v>23348661.589468494</v>
      </c>
      <c r="DV258" s="440">
        <v>5045687.4922522651</v>
      </c>
      <c r="DW258" s="440">
        <v>8741002.0199999996</v>
      </c>
      <c r="DX258" s="457">
        <f t="shared" si="144"/>
        <v>1008882.0215726793</v>
      </c>
      <c r="DY258" s="459">
        <f t="shared" si="145"/>
        <v>123.22975712381572</v>
      </c>
      <c r="DZ258" s="440"/>
      <c r="EA258" s="457">
        <f t="shared" si="146"/>
        <v>1910977.2018375769</v>
      </c>
      <c r="EB258" s="459">
        <f t="shared" si="147"/>
        <v>233.416050059555</v>
      </c>
      <c r="ED258" s="457">
        <v>-1876872.4943458205</v>
      </c>
      <c r="EE258" s="458">
        <v>-1764675.8397080593</v>
      </c>
      <c r="EF258" s="458">
        <v>-1650783.7533996431</v>
      </c>
      <c r="EG258" s="458">
        <v>-1537723.240027192</v>
      </c>
      <c r="EH258" s="459">
        <v>-1422910.3825238019</v>
      </c>
    </row>
    <row r="259" spans="1:138" x14ac:dyDescent="0.2">
      <c r="A259" s="67">
        <v>759</v>
      </c>
      <c r="B259" s="67" t="s">
        <v>374</v>
      </c>
      <c r="C259" s="67">
        <v>14</v>
      </c>
      <c r="D259" s="67">
        <v>1942</v>
      </c>
      <c r="E259" s="82">
        <v>5235579.7691466771</v>
      </c>
      <c r="F259" s="67">
        <v>2219719.0096417973</v>
      </c>
      <c r="G259" s="67">
        <v>653283</v>
      </c>
      <c r="H259" s="67">
        <v>870181.89594704902</v>
      </c>
      <c r="I259" s="67">
        <v>1954078.9905943028</v>
      </c>
      <c r="J259" s="67">
        <v>466073.07063073874</v>
      </c>
      <c r="K259" s="67">
        <v>193114.32449913185</v>
      </c>
      <c r="L259" s="67">
        <v>-527956</v>
      </c>
      <c r="M259" s="68">
        <v>50952</v>
      </c>
      <c r="N259" s="68">
        <v>14023.915662609172</v>
      </c>
      <c r="O259" s="68">
        <v>-56518.737577552456</v>
      </c>
      <c r="P259" s="168">
        <f t="shared" si="113"/>
        <v>601371.70025139907</v>
      </c>
      <c r="Q259" s="169">
        <f t="shared" si="114"/>
        <v>309.66616902749695</v>
      </c>
      <c r="R259" s="67"/>
      <c r="S259" s="82">
        <v>14987104.999999998</v>
      </c>
      <c r="T259" s="67">
        <v>4937078.8547089966</v>
      </c>
      <c r="U259" s="67">
        <v>1307841.8580349297</v>
      </c>
      <c r="V259" s="67">
        <v>7525216.0313454801</v>
      </c>
      <c r="W259" s="67">
        <v>1554416.6734008971</v>
      </c>
      <c r="X259" s="67">
        <v>176279</v>
      </c>
      <c r="Y259" s="168">
        <f t="shared" si="115"/>
        <v>513727.41749030538</v>
      </c>
      <c r="Z259" s="169">
        <f t="shared" si="116"/>
        <v>264.53523042755171</v>
      </c>
      <c r="AA259" s="67"/>
      <c r="AB259" s="77">
        <f t="shared" si="117"/>
        <v>87644.282761093695</v>
      </c>
      <c r="AC259" s="123">
        <f t="shared" si="118"/>
        <v>45.13093859994526</v>
      </c>
      <c r="AE259" s="170"/>
      <c r="AF259" s="177">
        <v>-56284.620119907944</v>
      </c>
      <c r="AG259" s="177">
        <v>-32214.941160484243</v>
      </c>
      <c r="AH259" s="177">
        <v>-6042.6034922745912</v>
      </c>
      <c r="AI259" s="178">
        <v>-9143.0600463500796</v>
      </c>
      <c r="AK259" s="67">
        <f t="shared" si="119"/>
        <v>2717359.8450671993</v>
      </c>
      <c r="AL259" s="67">
        <f t="shared" si="120"/>
        <v>437659.9620878807</v>
      </c>
      <c r="AM259" s="67">
        <f t="shared" si="121"/>
        <v>5571137.0407511778</v>
      </c>
      <c r="AN259" s="67">
        <f t="shared" si="122"/>
        <v>9751525.230853321</v>
      </c>
      <c r="AO259" s="67">
        <f t="shared" si="123"/>
        <v>0</v>
      </c>
      <c r="AP259" s="67">
        <f t="shared" si="124"/>
        <v>-56284.620119907944</v>
      </c>
      <c r="AQ259" s="67">
        <f t="shared" si="125"/>
        <v>-32214.941160484243</v>
      </c>
      <c r="AR259" s="67">
        <f t="shared" si="126"/>
        <v>-6042.6034922745912</v>
      </c>
      <c r="AS259" s="67">
        <f t="shared" si="127"/>
        <v>-9143.0600463500796</v>
      </c>
      <c r="AT259" s="68">
        <v>587</v>
      </c>
      <c r="AU259" s="68"/>
      <c r="AV259" s="68"/>
      <c r="AW259" s="68">
        <v>0</v>
      </c>
      <c r="AX259" s="68">
        <v>4436.1844925973046</v>
      </c>
      <c r="AY259" s="68">
        <v>-1351.3397139143931</v>
      </c>
      <c r="AZ259" s="68">
        <v>1091.9274358975545</v>
      </c>
      <c r="BA259" s="299"/>
      <c r="BB259" s="67"/>
      <c r="BC259" s="67"/>
      <c r="BD259" s="67"/>
      <c r="BE259" s="67"/>
      <c r="BF259" s="67"/>
      <c r="BG259" s="67"/>
      <c r="BH259" s="67"/>
      <c r="BN259" s="299"/>
      <c r="BO259" s="67">
        <v>5671737.2914448064</v>
      </c>
      <c r="BP259" s="67">
        <v>9225749.8400000017</v>
      </c>
      <c r="BQ259" s="67">
        <v>9257000</v>
      </c>
      <c r="BR259" s="67">
        <v>179777.65</v>
      </c>
      <c r="BS259" s="67">
        <v>200000</v>
      </c>
      <c r="BT259" s="428">
        <v>0.55039830738684181</v>
      </c>
      <c r="BU259" s="428">
        <v>0.33464287704132478</v>
      </c>
      <c r="BV259" s="67">
        <f t="shared" si="128"/>
        <v>6852594.9680204671</v>
      </c>
      <c r="BW259" s="299"/>
      <c r="BX259" s="67">
        <v>15248361</v>
      </c>
      <c r="BY259" s="67">
        <v>5671737.2914448064</v>
      </c>
      <c r="BZ259" s="67">
        <v>7042973.8400230892</v>
      </c>
      <c r="CA259" s="67">
        <v>3836254.8428847669</v>
      </c>
      <c r="CB259" s="67">
        <f t="shared" si="129"/>
        <v>296808.28642095369</v>
      </c>
      <c r="CC259" s="67">
        <f t="shared" si="130"/>
        <v>264.53523042755194</v>
      </c>
      <c r="CD259" s="67">
        <f t="shared" si="131"/>
        <v>392.16498442367327</v>
      </c>
      <c r="CE259" s="67">
        <f t="shared" si="132"/>
        <v>127.62975399612134</v>
      </c>
      <c r="CF259" s="67">
        <f t="shared" si="133"/>
        <v>-112.62975399612134</v>
      </c>
      <c r="CG259" s="67">
        <f t="shared" si="134"/>
        <v>-97.629753996121337</v>
      </c>
      <c r="CH259" s="67">
        <f t="shared" si="135"/>
        <v>-82.629753996121337</v>
      </c>
      <c r="CI259" s="67">
        <f t="shared" si="136"/>
        <v>-67.629753996121337</v>
      </c>
      <c r="CJ259" s="67">
        <f t="shared" si="137"/>
        <v>-218726.98226046763</v>
      </c>
      <c r="CK259" s="67">
        <f t="shared" si="138"/>
        <v>-189596.98226046763</v>
      </c>
      <c r="CL259" s="67">
        <f t="shared" si="139"/>
        <v>-160466.98226046763</v>
      </c>
      <c r="CM259" s="67">
        <f t="shared" si="140"/>
        <v>-131336.98226046763</v>
      </c>
      <c r="CN259" s="299"/>
      <c r="CO259" s="430">
        <v>4937.0788547089969</v>
      </c>
      <c r="CP259" s="430">
        <v>1307.8418580349298</v>
      </c>
      <c r="CQ259" s="430">
        <v>653.28300000000002</v>
      </c>
      <c r="CR259" s="430">
        <v>7525216.0313454801</v>
      </c>
      <c r="CS259" s="430">
        <v>1954078.9905943028</v>
      </c>
      <c r="CT259" s="430">
        <v>1554416.6734008971</v>
      </c>
      <c r="CU259" s="430">
        <v>466073.07063073874</v>
      </c>
      <c r="CV259" s="430">
        <v>-527956</v>
      </c>
      <c r="CW259" s="430">
        <v>14023.915662609172</v>
      </c>
      <c r="CX259" s="430">
        <v>50952</v>
      </c>
      <c r="CY259" s="430">
        <v>5235579.7691466771</v>
      </c>
      <c r="CZ259" s="519"/>
      <c r="DA259" s="524">
        <v>5127.96947</v>
      </c>
      <c r="DB259" s="524">
        <v>1297.6152090795631</v>
      </c>
      <c r="DC259" s="520">
        <f t="shared" si="141"/>
        <v>-1</v>
      </c>
      <c r="DD259" s="440">
        <v>1997</v>
      </c>
      <c r="DE259" s="450">
        <v>5671737.2914448064</v>
      </c>
      <c r="DF259" s="440">
        <v>2322463.5950847669</v>
      </c>
      <c r="DG259" s="440">
        <v>730883.51400000008</v>
      </c>
      <c r="DH259" s="440">
        <v>782907.73380000005</v>
      </c>
      <c r="DI259" s="440">
        <v>1950919.8418168938</v>
      </c>
      <c r="DJ259" s="440">
        <v>467607.81398390746</v>
      </c>
      <c r="DK259" s="440">
        <v>296684.54337241122</v>
      </c>
      <c r="DL259" s="440">
        <v>-527956</v>
      </c>
      <c r="DM259" s="440">
        <v>-10000</v>
      </c>
      <c r="DN259" s="440">
        <v>14214.527731120581</v>
      </c>
      <c r="DO259" s="457">
        <f t="shared" si="142"/>
        <v>355988.27834429406</v>
      </c>
      <c r="DP259" s="459">
        <f t="shared" si="143"/>
        <v>178.26153146935104</v>
      </c>
      <c r="DQ259" s="440"/>
      <c r="DR259" s="450">
        <v>15248361</v>
      </c>
      <c r="DS259" s="440">
        <v>5137728.7253230885</v>
      </c>
      <c r="DT259" s="440">
        <v>1174361.6007000001</v>
      </c>
      <c r="DU259" s="440">
        <v>7522064.8513454823</v>
      </c>
      <c r="DV259" s="440">
        <v>1559535.249881462</v>
      </c>
      <c r="DW259" s="440">
        <v>192927.51400000008</v>
      </c>
      <c r="DX259" s="457">
        <f t="shared" si="144"/>
        <v>338256.94125003368</v>
      </c>
      <c r="DY259" s="459">
        <f t="shared" si="145"/>
        <v>169.38254444167936</v>
      </c>
      <c r="DZ259" s="440"/>
      <c r="EA259" s="457">
        <f t="shared" si="146"/>
        <v>17731.33709426038</v>
      </c>
      <c r="EB259" s="459">
        <f t="shared" si="147"/>
        <v>8.8789870276716982</v>
      </c>
      <c r="ED259" s="457">
        <v>-9412.4045351997665</v>
      </c>
      <c r="EE259" s="458">
        <v>5731.3100247530947</v>
      </c>
      <c r="EF259" s="458">
        <v>3557.2427666497229</v>
      </c>
      <c r="EG259" s="458">
        <v>1180.3354996147107</v>
      </c>
      <c r="EH259" s="459">
        <v>-769.13421648762471</v>
      </c>
    </row>
    <row r="260" spans="1:138" x14ac:dyDescent="0.2">
      <c r="A260" s="67">
        <v>761</v>
      </c>
      <c r="B260" s="67" t="s">
        <v>375</v>
      </c>
      <c r="C260" s="67">
        <v>2</v>
      </c>
      <c r="D260" s="67">
        <v>8426</v>
      </c>
      <c r="E260" s="82">
        <v>23253927.621621467</v>
      </c>
      <c r="F260" s="67">
        <v>10592361.463764643</v>
      </c>
      <c r="G260" s="67">
        <v>1924605</v>
      </c>
      <c r="H260" s="67">
        <v>1407238.8127998407</v>
      </c>
      <c r="I260" s="67">
        <v>4500357.4136426756</v>
      </c>
      <c r="J260" s="67">
        <v>1785863.6222090791</v>
      </c>
      <c r="K260" s="67">
        <v>952150.53528969572</v>
      </c>
      <c r="L260" s="67">
        <v>84654</v>
      </c>
      <c r="M260" s="68">
        <v>94438.62</v>
      </c>
      <c r="N260" s="68">
        <v>73739.696879961775</v>
      </c>
      <c r="O260" s="68">
        <v>-245224.9654111519</v>
      </c>
      <c r="P260" s="168">
        <f t="shared" si="113"/>
        <v>-2083743.4224467233</v>
      </c>
      <c r="Q260" s="169">
        <f t="shared" si="114"/>
        <v>-247.29924311022114</v>
      </c>
      <c r="R260" s="67"/>
      <c r="S260" s="82">
        <v>62180519.060000002</v>
      </c>
      <c r="T260" s="67">
        <v>26474119.97404306</v>
      </c>
      <c r="U260" s="67">
        <v>2115012.7717010151</v>
      </c>
      <c r="V260" s="67">
        <v>24102695.725292154</v>
      </c>
      <c r="W260" s="67">
        <v>5956096.5129892016</v>
      </c>
      <c r="X260" s="67">
        <v>2103697.62</v>
      </c>
      <c r="Y260" s="168">
        <f t="shared" si="115"/>
        <v>-1428896.4559745789</v>
      </c>
      <c r="Z260" s="169">
        <f t="shared" si="116"/>
        <v>-169.58182482489661</v>
      </c>
      <c r="AA260" s="67"/>
      <c r="AB260" s="77">
        <f t="shared" si="117"/>
        <v>-654846.96647214447</v>
      </c>
      <c r="AC260" s="123">
        <f t="shared" si="118"/>
        <v>-77.717418285324527</v>
      </c>
      <c r="AE260" s="170"/>
      <c r="AF260" s="177">
        <v>538131.08460531698</v>
      </c>
      <c r="AG260" s="177">
        <v>389785.23234584439</v>
      </c>
      <c r="AH260" s="177">
        <v>250562.45026156757</v>
      </c>
      <c r="AI260" s="178">
        <v>109616.8202566183</v>
      </c>
      <c r="AK260" s="67">
        <f t="shared" si="119"/>
        <v>15881758.510278417</v>
      </c>
      <c r="AL260" s="67">
        <f t="shared" si="120"/>
        <v>707773.95890117437</v>
      </c>
      <c r="AM260" s="67">
        <f t="shared" si="121"/>
        <v>19602338.311649479</v>
      </c>
      <c r="AN260" s="67">
        <f t="shared" si="122"/>
        <v>38926591.438378535</v>
      </c>
      <c r="AO260" s="67">
        <f t="shared" si="123"/>
        <v>0</v>
      </c>
      <c r="AP260" s="67">
        <f t="shared" si="124"/>
        <v>538131.08460531698</v>
      </c>
      <c r="AQ260" s="67">
        <f t="shared" si="125"/>
        <v>389785.23234584439</v>
      </c>
      <c r="AR260" s="67">
        <f t="shared" si="126"/>
        <v>250562.45026156757</v>
      </c>
      <c r="AS260" s="67">
        <f t="shared" si="127"/>
        <v>109616.8202566183</v>
      </c>
      <c r="AT260" s="68">
        <v>3036</v>
      </c>
      <c r="AU260" s="68"/>
      <c r="AV260" s="68"/>
      <c r="AW260" s="68">
        <v>34</v>
      </c>
      <c r="AX260" s="68">
        <v>16412.128302291399</v>
      </c>
      <c r="AY260" s="68">
        <v>-3170.1300664124074</v>
      </c>
      <c r="AZ260" s="68">
        <v>4169.3395554828021</v>
      </c>
      <c r="BA260" s="299"/>
      <c r="BB260" s="67"/>
      <c r="BC260" s="67"/>
      <c r="BD260" s="67"/>
      <c r="BE260" s="67"/>
      <c r="BF260" s="67"/>
      <c r="BG260" s="67"/>
      <c r="BH260" s="67"/>
      <c r="BN260" s="299"/>
      <c r="BO260" s="67">
        <v>23026385.924019091</v>
      </c>
      <c r="BP260" s="67">
        <v>35484373.149999999</v>
      </c>
      <c r="BQ260" s="67">
        <v>38525000</v>
      </c>
      <c r="BR260" s="67">
        <v>633550.12</v>
      </c>
      <c r="BS260" s="67">
        <v>654000</v>
      </c>
      <c r="BT260" s="428">
        <v>0.59989750465170966</v>
      </c>
      <c r="BU260" s="428">
        <v>0.33464287704132484</v>
      </c>
      <c r="BV260" s="67">
        <f t="shared" si="128"/>
        <v>24724721.737719297</v>
      </c>
      <c r="BW260" s="299"/>
      <c r="BX260" s="67">
        <v>59637299</v>
      </c>
      <c r="BY260" s="67">
        <v>23026385.924019091</v>
      </c>
      <c r="BZ260" s="67">
        <v>30662015.25658159</v>
      </c>
      <c r="CA260" s="67">
        <v>14040939.78328903</v>
      </c>
      <c r="CB260" s="67">
        <f t="shared" si="129"/>
        <v>2210618.9994268813</v>
      </c>
      <c r="CC260" s="67">
        <f t="shared" si="130"/>
        <v>-169.58182482489616</v>
      </c>
      <c r="CD260" s="67">
        <f t="shared" si="131"/>
        <v>-68.840492867123771</v>
      </c>
      <c r="CE260" s="67">
        <f t="shared" si="132"/>
        <v>100.74133195777239</v>
      </c>
      <c r="CF260" s="67">
        <f t="shared" si="133"/>
        <v>-85.741331957772388</v>
      </c>
      <c r="CG260" s="67">
        <f t="shared" si="134"/>
        <v>-70.741331957772388</v>
      </c>
      <c r="CH260" s="67">
        <f t="shared" si="135"/>
        <v>-55.741331957772388</v>
      </c>
      <c r="CI260" s="67">
        <f t="shared" si="136"/>
        <v>-40.741331957772388</v>
      </c>
      <c r="CJ260" s="67">
        <f t="shared" si="137"/>
        <v>-722456.46307619009</v>
      </c>
      <c r="CK260" s="67">
        <f t="shared" si="138"/>
        <v>-596066.46307619009</v>
      </c>
      <c r="CL260" s="67">
        <f t="shared" si="139"/>
        <v>-469676.46307619015</v>
      </c>
      <c r="CM260" s="67">
        <f t="shared" si="140"/>
        <v>-343286.46307619015</v>
      </c>
      <c r="CN260" s="299"/>
      <c r="CO260" s="430">
        <v>26474.11997404306</v>
      </c>
      <c r="CP260" s="430">
        <v>2115.012771701015</v>
      </c>
      <c r="CQ260" s="430">
        <v>1924.605</v>
      </c>
      <c r="CR260" s="430">
        <v>24102695.725292154</v>
      </c>
      <c r="CS260" s="430">
        <v>4500357.4136426756</v>
      </c>
      <c r="CT260" s="430">
        <v>5956096.5129892016</v>
      </c>
      <c r="CU260" s="430">
        <v>1785863.6222090791</v>
      </c>
      <c r="CV260" s="430">
        <v>84654</v>
      </c>
      <c r="CW260" s="430">
        <v>73739.696879961775</v>
      </c>
      <c r="CX260" s="430">
        <v>94438.62</v>
      </c>
      <c r="CY260" s="430">
        <v>23253927.621621467</v>
      </c>
      <c r="CZ260" s="519"/>
      <c r="DA260" s="524">
        <v>27151.519230000002</v>
      </c>
      <c r="DB260" s="524">
        <v>2098.4731760879372</v>
      </c>
      <c r="DC260" s="520">
        <f t="shared" si="141"/>
        <v>-1</v>
      </c>
      <c r="DD260" s="440">
        <v>8563</v>
      </c>
      <c r="DE260" s="450">
        <v>23026385.924019091</v>
      </c>
      <c r="DF260" s="440">
        <v>10878766.498689031</v>
      </c>
      <c r="DG260" s="440">
        <v>1896072.3062</v>
      </c>
      <c r="DH260" s="440">
        <v>1266100.9784000001</v>
      </c>
      <c r="DI260" s="440">
        <v>4486785.4218861796</v>
      </c>
      <c r="DJ260" s="440">
        <v>1785481.0596396294</v>
      </c>
      <c r="DK260" s="440">
        <v>2210648.4588482603</v>
      </c>
      <c r="DL260" s="440">
        <v>196104</v>
      </c>
      <c r="DM260" s="440">
        <v>26400</v>
      </c>
      <c r="DN260" s="440">
        <v>73676.782545338225</v>
      </c>
      <c r="DO260" s="457">
        <f t="shared" si="142"/>
        <v>-206350.41781065241</v>
      </c>
      <c r="DP260" s="459">
        <f t="shared" si="143"/>
        <v>-24.097911691072333</v>
      </c>
      <c r="DQ260" s="440"/>
      <c r="DR260" s="450">
        <v>59637299</v>
      </c>
      <c r="DS260" s="440">
        <v>26866791.482781589</v>
      </c>
      <c r="DT260" s="440">
        <v>1899151.4676000001</v>
      </c>
      <c r="DU260" s="440">
        <v>24089168.405292146</v>
      </c>
      <c r="DV260" s="440">
        <v>5954820.6151224319</v>
      </c>
      <c r="DW260" s="440">
        <v>2118576.3062</v>
      </c>
      <c r="DX260" s="457">
        <f t="shared" si="144"/>
        <v>1291209.2769961655</v>
      </c>
      <c r="DY260" s="459">
        <f t="shared" si="145"/>
        <v>150.78935851876275</v>
      </c>
      <c r="DZ260" s="440"/>
      <c r="EA260" s="457">
        <f t="shared" si="146"/>
        <v>-1497559.6948068179</v>
      </c>
      <c r="EB260" s="459">
        <f t="shared" si="147"/>
        <v>-174.88727020983509</v>
      </c>
      <c r="ED260" s="457">
        <v>1533230.7110828508</v>
      </c>
      <c r="EE260" s="458">
        <v>1393690.1618783984</v>
      </c>
      <c r="EF260" s="458">
        <v>1255922.9095343126</v>
      </c>
      <c r="EG260" s="458">
        <v>1117285.8930457695</v>
      </c>
      <c r="EH260" s="459">
        <v>980481.69966620801</v>
      </c>
    </row>
    <row r="261" spans="1:138" x14ac:dyDescent="0.2">
      <c r="A261" s="67">
        <v>762</v>
      </c>
      <c r="B261" s="67" t="s">
        <v>376</v>
      </c>
      <c r="C261" s="67">
        <v>11</v>
      </c>
      <c r="D261" s="67">
        <v>3672</v>
      </c>
      <c r="E261" s="82">
        <v>10201169.527244929</v>
      </c>
      <c r="F261" s="67">
        <v>4374716.2017022325</v>
      </c>
      <c r="G261" s="67">
        <v>1019412</v>
      </c>
      <c r="H261" s="67">
        <v>1782919.4356281217</v>
      </c>
      <c r="I261" s="67">
        <v>1781775.2019483882</v>
      </c>
      <c r="J261" s="67">
        <v>851016.4570664519</v>
      </c>
      <c r="K261" s="67">
        <v>847625.10059196246</v>
      </c>
      <c r="L261" s="67">
        <v>-171862</v>
      </c>
      <c r="M261" s="68">
        <v>601560.23</v>
      </c>
      <c r="N261" s="68">
        <v>29877.598072752684</v>
      </c>
      <c r="O261" s="68">
        <v>-106867.56147516613</v>
      </c>
      <c r="P261" s="168">
        <f t="shared" si="113"/>
        <v>809003.13628981542</v>
      </c>
      <c r="Q261" s="169">
        <f t="shared" si="114"/>
        <v>220.3167582488604</v>
      </c>
      <c r="R261" s="67"/>
      <c r="S261" s="82">
        <v>29465717.729999993</v>
      </c>
      <c r="T261" s="67">
        <v>10199682.822621293</v>
      </c>
      <c r="U261" s="67">
        <v>2679642.8175292225</v>
      </c>
      <c r="V261" s="67">
        <v>13565660.280321907</v>
      </c>
      <c r="W261" s="67">
        <v>2838254.8865405461</v>
      </c>
      <c r="X261" s="67">
        <v>1449110.23</v>
      </c>
      <c r="Y261" s="168">
        <f t="shared" si="115"/>
        <v>1266633.3070129789</v>
      </c>
      <c r="Z261" s="169">
        <f t="shared" si="116"/>
        <v>344.94371106017945</v>
      </c>
      <c r="AA261" s="67"/>
      <c r="AB261" s="77">
        <f t="shared" si="117"/>
        <v>-457630.17072316352</v>
      </c>
      <c r="AC261" s="123">
        <f t="shared" si="118"/>
        <v>-124.62695281131904</v>
      </c>
      <c r="AE261" s="170"/>
      <c r="AF261" s="177">
        <v>406766.09308074677</v>
      </c>
      <c r="AG261" s="177">
        <v>342117.86503697943</v>
      </c>
      <c r="AH261" s="177">
        <v>281445.4159729557</v>
      </c>
      <c r="AI261" s="178">
        <v>220022.16017208059</v>
      </c>
      <c r="AK261" s="67">
        <f t="shared" si="119"/>
        <v>5824966.6209190609</v>
      </c>
      <c r="AL261" s="67">
        <f t="shared" si="120"/>
        <v>896723.38190110074</v>
      </c>
      <c r="AM261" s="67">
        <f t="shared" si="121"/>
        <v>11783885.07837352</v>
      </c>
      <c r="AN261" s="67">
        <f t="shared" si="122"/>
        <v>19264548.202755064</v>
      </c>
      <c r="AO261" s="67">
        <f t="shared" si="123"/>
        <v>0</v>
      </c>
      <c r="AP261" s="67">
        <f t="shared" si="124"/>
        <v>406766.09308074677</v>
      </c>
      <c r="AQ261" s="67">
        <f t="shared" si="125"/>
        <v>342117.86503697943</v>
      </c>
      <c r="AR261" s="67">
        <f t="shared" si="126"/>
        <v>281445.4159729557</v>
      </c>
      <c r="AS261" s="67">
        <f t="shared" si="127"/>
        <v>220022.16017208059</v>
      </c>
      <c r="AT261" s="68">
        <v>1309</v>
      </c>
      <c r="AU261" s="68"/>
      <c r="AV261" s="68"/>
      <c r="AW261" s="68">
        <v>0</v>
      </c>
      <c r="AX261" s="68">
        <v>10282.600367174409</v>
      </c>
      <c r="AY261" s="68">
        <v>-1608.7379408705931</v>
      </c>
      <c r="AZ261" s="68">
        <v>1995.3703311661877</v>
      </c>
      <c r="BA261" s="299"/>
      <c r="BB261" s="67"/>
      <c r="BC261" s="67"/>
      <c r="BD261" s="67"/>
      <c r="BE261" s="67"/>
      <c r="BF261" s="67"/>
      <c r="BG261" s="67"/>
      <c r="BH261" s="67"/>
      <c r="BN261" s="299"/>
      <c r="BO261" s="67">
        <v>11185745.802272506</v>
      </c>
      <c r="BP261" s="67">
        <v>17075603.719999999</v>
      </c>
      <c r="BQ261" s="67">
        <v>19345000</v>
      </c>
      <c r="BR261" s="67">
        <v>408865.48</v>
      </c>
      <c r="BS261" s="67">
        <v>434000</v>
      </c>
      <c r="BT261" s="428">
        <v>0.57109291751702318</v>
      </c>
      <c r="BU261" s="428">
        <v>0.33464287704132478</v>
      </c>
      <c r="BV261" s="67">
        <f t="shared" si="128"/>
        <v>14618748.608439578</v>
      </c>
      <c r="BW261" s="299"/>
      <c r="BX261" s="67">
        <v>29631880</v>
      </c>
      <c r="BY261" s="67">
        <v>11185745.802272506</v>
      </c>
      <c r="BZ261" s="67">
        <v>14078910.975443931</v>
      </c>
      <c r="CA261" s="67">
        <v>7284967.7309488757</v>
      </c>
      <c r="CB261" s="67">
        <f t="shared" si="129"/>
        <v>1321828.1929924102</v>
      </c>
      <c r="CC261" s="67">
        <f t="shared" si="130"/>
        <v>344.94371106017854</v>
      </c>
      <c r="CD261" s="67">
        <f t="shared" si="131"/>
        <v>378.56040037184852</v>
      </c>
      <c r="CE261" s="67">
        <f t="shared" si="132"/>
        <v>33.616689311669973</v>
      </c>
      <c r="CF261" s="67">
        <f t="shared" si="133"/>
        <v>-18.616689311669973</v>
      </c>
      <c r="CG261" s="67">
        <f t="shared" si="134"/>
        <v>-3.6166893116699725</v>
      </c>
      <c r="CH261" s="67">
        <f t="shared" si="135"/>
        <v>0</v>
      </c>
      <c r="CI261" s="67">
        <f t="shared" si="136"/>
        <v>0</v>
      </c>
      <c r="CJ261" s="67">
        <f t="shared" si="137"/>
        <v>-68360.483152452143</v>
      </c>
      <c r="CK261" s="67">
        <f t="shared" si="138"/>
        <v>-13280.48315245214</v>
      </c>
      <c r="CL261" s="67">
        <f t="shared" si="139"/>
        <v>0</v>
      </c>
      <c r="CM261" s="67">
        <f t="shared" si="140"/>
        <v>0</v>
      </c>
      <c r="CN261" s="299"/>
      <c r="CO261" s="430">
        <v>10199.682822621293</v>
      </c>
      <c r="CP261" s="430">
        <v>2679.6428175292226</v>
      </c>
      <c r="CQ261" s="430">
        <v>1019.412</v>
      </c>
      <c r="CR261" s="430">
        <v>13565660.280321907</v>
      </c>
      <c r="CS261" s="430">
        <v>1781775.2019483882</v>
      </c>
      <c r="CT261" s="430">
        <v>2838254.8865405461</v>
      </c>
      <c r="CU261" s="430">
        <v>851016.4570664519</v>
      </c>
      <c r="CV261" s="430">
        <v>-171862</v>
      </c>
      <c r="CW261" s="430">
        <v>29877.598072752684</v>
      </c>
      <c r="CX261" s="430">
        <v>601560.23</v>
      </c>
      <c r="CY261" s="430">
        <v>10201169.527244929</v>
      </c>
      <c r="CZ261" s="519"/>
      <c r="DA261" s="524">
        <v>11073.801019999999</v>
      </c>
      <c r="DB261" s="524">
        <v>2658.6865312036371</v>
      </c>
      <c r="DC261" s="520">
        <f t="shared" si="141"/>
        <v>-1</v>
      </c>
      <c r="DD261" s="440">
        <v>3777</v>
      </c>
      <c r="DE261" s="450">
        <v>11185745.802272506</v>
      </c>
      <c r="DF261" s="440">
        <v>4550357.0506488746</v>
      </c>
      <c r="DG261" s="440">
        <v>1130507.6515000002</v>
      </c>
      <c r="DH261" s="440">
        <v>1604103.0288000002</v>
      </c>
      <c r="DI261" s="440">
        <v>1775748.8634999052</v>
      </c>
      <c r="DJ261" s="440">
        <v>854498.8686707071</v>
      </c>
      <c r="DK261" s="440">
        <v>1321670.5136391146</v>
      </c>
      <c r="DL261" s="440">
        <v>-113721</v>
      </c>
      <c r="DM261" s="440">
        <v>-24790</v>
      </c>
      <c r="DN261" s="440">
        <v>30115.733476714322</v>
      </c>
      <c r="DO261" s="457">
        <f t="shared" si="142"/>
        <v>-57255.092037189752</v>
      </c>
      <c r="DP261" s="459">
        <f t="shared" si="143"/>
        <v>-15.158880602909651</v>
      </c>
      <c r="DQ261" s="440"/>
      <c r="DR261" s="450">
        <v>29631880</v>
      </c>
      <c r="DS261" s="440">
        <v>10542248.780743932</v>
      </c>
      <c r="DT261" s="440">
        <v>2406154.5432000002</v>
      </c>
      <c r="DU261" s="440">
        <v>13559654.440321909</v>
      </c>
      <c r="DV261" s="440">
        <v>2849869.1998368949</v>
      </c>
      <c r="DW261" s="440">
        <v>991996.65150000015</v>
      </c>
      <c r="DX261" s="457">
        <f t="shared" si="144"/>
        <v>718043.61560273916</v>
      </c>
      <c r="DY261" s="459">
        <f t="shared" si="145"/>
        <v>190.10950902905458</v>
      </c>
      <c r="DZ261" s="440"/>
      <c r="EA261" s="457">
        <f t="shared" si="146"/>
        <v>-775298.70763992891</v>
      </c>
      <c r="EB261" s="459">
        <f t="shared" si="147"/>
        <v>-205.26838963196423</v>
      </c>
      <c r="ED261" s="457">
        <v>791032.61263520934</v>
      </c>
      <c r="EE261" s="458">
        <v>729483.54637978307</v>
      </c>
      <c r="EF261" s="458">
        <v>668716.65252206824</v>
      </c>
      <c r="EG261" s="458">
        <v>607566.11984926346</v>
      </c>
      <c r="EH261" s="459">
        <v>547224.01563408144</v>
      </c>
    </row>
    <row r="262" spans="1:138" x14ac:dyDescent="0.2">
      <c r="A262" s="67">
        <v>765</v>
      </c>
      <c r="B262" s="67" t="s">
        <v>377</v>
      </c>
      <c r="C262" s="67">
        <v>18</v>
      </c>
      <c r="D262" s="67">
        <v>10354</v>
      </c>
      <c r="E262" s="82">
        <v>37342907.94963786</v>
      </c>
      <c r="F262" s="67">
        <v>12823637.394116091</v>
      </c>
      <c r="G262" s="67">
        <v>4888724</v>
      </c>
      <c r="H262" s="67">
        <v>2899336.2867204826</v>
      </c>
      <c r="I262" s="67">
        <v>5751628.905724531</v>
      </c>
      <c r="J262" s="67">
        <v>1877964.7420574827</v>
      </c>
      <c r="K262" s="67">
        <v>-1414020.6405481922</v>
      </c>
      <c r="L262" s="67">
        <v>574847</v>
      </c>
      <c r="M262" s="68">
        <v>3258493.5</v>
      </c>
      <c r="N262" s="68">
        <v>101887.47302993404</v>
      </c>
      <c r="O262" s="68">
        <v>-301336.25585889712</v>
      </c>
      <c r="P262" s="168">
        <f t="shared" si="113"/>
        <v>-6881745.5443964293</v>
      </c>
      <c r="Q262" s="169">
        <f t="shared" si="114"/>
        <v>-664.64608309797461</v>
      </c>
      <c r="R262" s="67"/>
      <c r="S262" s="82">
        <v>83984029.149999991</v>
      </c>
      <c r="T262" s="67">
        <v>34287466.714618117</v>
      </c>
      <c r="U262" s="67">
        <v>4357564.0609780597</v>
      </c>
      <c r="V262" s="67">
        <v>23172652.703818224</v>
      </c>
      <c r="W262" s="67">
        <v>6263266.1937809037</v>
      </c>
      <c r="X262" s="67">
        <v>8722064.5</v>
      </c>
      <c r="Y262" s="168">
        <f t="shared" si="115"/>
        <v>-7181014.9768046886</v>
      </c>
      <c r="Z262" s="169">
        <f t="shared" si="116"/>
        <v>-693.54983357201934</v>
      </c>
      <c r="AA262" s="67"/>
      <c r="AB262" s="77">
        <f t="shared" si="117"/>
        <v>299269.43240825925</v>
      </c>
      <c r="AC262" s="123">
        <f t="shared" si="118"/>
        <v>28.903750474044742</v>
      </c>
      <c r="AE262" s="170"/>
      <c r="AF262" s="177">
        <v>-132071.72541195236</v>
      </c>
      <c r="AG262" s="177">
        <v>-15091.986131459686</v>
      </c>
      <c r="AH262" s="177">
        <v>-30861.108573971163</v>
      </c>
      <c r="AI262" s="178">
        <v>-48747.293367615202</v>
      </c>
      <c r="AK262" s="67">
        <f t="shared" si="119"/>
        <v>21463829.320502028</v>
      </c>
      <c r="AL262" s="67">
        <f t="shared" si="120"/>
        <v>1458227.774257577</v>
      </c>
      <c r="AM262" s="67">
        <f t="shared" si="121"/>
        <v>17421023.798093691</v>
      </c>
      <c r="AN262" s="67">
        <f t="shared" si="122"/>
        <v>46641121.200362131</v>
      </c>
      <c r="AO262" s="67">
        <f t="shared" si="123"/>
        <v>0</v>
      </c>
      <c r="AP262" s="67">
        <f t="shared" si="124"/>
        <v>-132071.72541195236</v>
      </c>
      <c r="AQ262" s="67">
        <f t="shared" si="125"/>
        <v>-15091.986131459686</v>
      </c>
      <c r="AR262" s="67">
        <f t="shared" si="126"/>
        <v>-30861.108573971163</v>
      </c>
      <c r="AS262" s="67">
        <f t="shared" si="127"/>
        <v>-48747.293367615202</v>
      </c>
      <c r="AT262" s="68">
        <v>3067</v>
      </c>
      <c r="AU262" s="68"/>
      <c r="AV262" s="68"/>
      <c r="AW262" s="68">
        <v>0</v>
      </c>
      <c r="AX262" s="68">
        <v>14790.622011480827</v>
      </c>
      <c r="AY262" s="68">
        <v>-1986.9907919890027</v>
      </c>
      <c r="AZ262" s="68">
        <v>4395.1142104134678</v>
      </c>
      <c r="BA262" s="299"/>
      <c r="BB262" s="67"/>
      <c r="BC262" s="67"/>
      <c r="BD262" s="67"/>
      <c r="BE262" s="67"/>
      <c r="BF262" s="67"/>
      <c r="BG262" s="67"/>
      <c r="BH262" s="67"/>
      <c r="BN262" s="299"/>
      <c r="BO262" s="67">
        <v>34695974.923438519</v>
      </c>
      <c r="BP262" s="67">
        <v>43681755.089999996</v>
      </c>
      <c r="BQ262" s="67">
        <v>43730000</v>
      </c>
      <c r="BR262" s="67">
        <v>1409257.45</v>
      </c>
      <c r="BS262" s="67">
        <v>1395000</v>
      </c>
      <c r="BT262" s="428">
        <v>0.62599635893634398</v>
      </c>
      <c r="BU262" s="428">
        <v>0.33464287704132484</v>
      </c>
      <c r="BV262" s="67">
        <f t="shared" si="128"/>
        <v>20392304.609268922</v>
      </c>
      <c r="BW262" s="299"/>
      <c r="BX262" s="67">
        <v>81546558</v>
      </c>
      <c r="BY262" s="67">
        <v>34695974.923438519</v>
      </c>
      <c r="BZ262" s="67">
        <v>42399071.468247741</v>
      </c>
      <c r="CA262" s="67">
        <v>20259318.711360615</v>
      </c>
      <c r="CB262" s="67">
        <f t="shared" si="129"/>
        <v>-2186689.7210681443</v>
      </c>
      <c r="CC262" s="67">
        <f t="shared" si="130"/>
        <v>-693.549833572019</v>
      </c>
      <c r="CD262" s="67">
        <f t="shared" si="131"/>
        <v>-710.16789347667418</v>
      </c>
      <c r="CE262" s="67">
        <f t="shared" si="132"/>
        <v>-16.618059904655183</v>
      </c>
      <c r="CF262" s="67">
        <f t="shared" si="133"/>
        <v>1.6180599046551833</v>
      </c>
      <c r="CG262" s="67">
        <f t="shared" si="134"/>
        <v>0</v>
      </c>
      <c r="CH262" s="67">
        <f t="shared" si="135"/>
        <v>0</v>
      </c>
      <c r="CI262" s="67">
        <f t="shared" si="136"/>
        <v>0</v>
      </c>
      <c r="CJ262" s="67">
        <f t="shared" si="137"/>
        <v>16753.392252799767</v>
      </c>
      <c r="CK262" s="67">
        <f t="shared" si="138"/>
        <v>0</v>
      </c>
      <c r="CL262" s="67">
        <f t="shared" si="139"/>
        <v>0</v>
      </c>
      <c r="CM262" s="67">
        <f t="shared" si="140"/>
        <v>0</v>
      </c>
      <c r="CN262" s="299"/>
      <c r="CO262" s="430">
        <v>34287.466714618116</v>
      </c>
      <c r="CP262" s="430">
        <v>4357.5640609780594</v>
      </c>
      <c r="CQ262" s="430">
        <v>4888.7240000000002</v>
      </c>
      <c r="CR262" s="430">
        <v>23172652.703818224</v>
      </c>
      <c r="CS262" s="430">
        <v>5751628.905724531</v>
      </c>
      <c r="CT262" s="430">
        <v>6263266.1937809037</v>
      </c>
      <c r="CU262" s="430">
        <v>1877964.7420574827</v>
      </c>
      <c r="CV262" s="430">
        <v>574847</v>
      </c>
      <c r="CW262" s="430">
        <v>101887.47302993404</v>
      </c>
      <c r="CX262" s="430">
        <v>3258493.5</v>
      </c>
      <c r="CY262" s="430">
        <v>37342907.94963786</v>
      </c>
      <c r="CZ262" s="519"/>
      <c r="DA262" s="524">
        <v>35041.220909999996</v>
      </c>
      <c r="DB262" s="524">
        <v>4323.4883641180559</v>
      </c>
      <c r="DC262" s="520">
        <f t="shared" si="141"/>
        <v>-1</v>
      </c>
      <c r="DD262" s="440">
        <v>10348</v>
      </c>
      <c r="DE262" s="450">
        <v>34695974.923438519</v>
      </c>
      <c r="DF262" s="440">
        <v>12725644.752560614</v>
      </c>
      <c r="DG262" s="440">
        <v>4925124.1690000007</v>
      </c>
      <c r="DH262" s="440">
        <v>2608549.7897999999</v>
      </c>
      <c r="DI262" s="440">
        <v>5735437.0143206194</v>
      </c>
      <c r="DJ262" s="440">
        <v>1882166.9651076235</v>
      </c>
      <c r="DK262" s="440">
        <v>-2184411.0825233534</v>
      </c>
      <c r="DL262" s="440">
        <v>583704</v>
      </c>
      <c r="DM262" s="440">
        <v>6075935</v>
      </c>
      <c r="DN262" s="440">
        <v>98139.60306586558</v>
      </c>
      <c r="DO262" s="457">
        <f t="shared" si="142"/>
        <v>-2245684.7121071517</v>
      </c>
      <c r="DP262" s="459">
        <f t="shared" si="143"/>
        <v>-217.01630383718125</v>
      </c>
      <c r="DQ262" s="440"/>
      <c r="DR262" s="450">
        <v>81546558</v>
      </c>
      <c r="DS262" s="440">
        <v>33561122.614547744</v>
      </c>
      <c r="DT262" s="440">
        <v>3912824.6847000001</v>
      </c>
      <c r="DU262" s="440">
        <v>23156506.883818228</v>
      </c>
      <c r="DV262" s="440">
        <v>6277281.1755210916</v>
      </c>
      <c r="DW262" s="440">
        <v>11584763.169</v>
      </c>
      <c r="DX262" s="457">
        <f t="shared" si="144"/>
        <v>-3054059.4724129438</v>
      </c>
      <c r="DY262" s="459">
        <f t="shared" si="145"/>
        <v>-295.13524085938769</v>
      </c>
      <c r="DZ262" s="440"/>
      <c r="EA262" s="457">
        <f t="shared" si="146"/>
        <v>808374.76030579209</v>
      </c>
      <c r="EB262" s="459">
        <f t="shared" si="147"/>
        <v>78.118937022206424</v>
      </c>
      <c r="ED262" s="457">
        <v>-765267.94301927683</v>
      </c>
      <c r="EE262" s="458">
        <v>-623456.41471934353</v>
      </c>
      <c r="EF262" s="458">
        <v>-479501.93699618569</v>
      </c>
      <c r="EG262" s="458">
        <v>-336598.53008545871</v>
      </c>
      <c r="EH262" s="459">
        <v>-191480.23895988386</v>
      </c>
    </row>
    <row r="263" spans="1:138" x14ac:dyDescent="0.2">
      <c r="A263" s="67">
        <v>768</v>
      </c>
      <c r="B263" s="67" t="s">
        <v>378</v>
      </c>
      <c r="C263" s="67">
        <v>10</v>
      </c>
      <c r="D263" s="67">
        <v>2375</v>
      </c>
      <c r="E263" s="82">
        <v>7042388.6130609587</v>
      </c>
      <c r="F263" s="67">
        <v>2695364.577614557</v>
      </c>
      <c r="G263" s="67">
        <v>1014611</v>
      </c>
      <c r="H263" s="67">
        <v>1006467.9078016063</v>
      </c>
      <c r="I263" s="67">
        <v>1072734.8544826549</v>
      </c>
      <c r="J263" s="67">
        <v>566323.33375395439</v>
      </c>
      <c r="K263" s="67">
        <v>414829.8816257806</v>
      </c>
      <c r="L263" s="67">
        <v>242206</v>
      </c>
      <c r="M263" s="68">
        <v>173683.98</v>
      </c>
      <c r="N263" s="68">
        <v>18935.484926411707</v>
      </c>
      <c r="O263" s="68">
        <v>-69120.495235163282</v>
      </c>
      <c r="P263" s="168">
        <f t="shared" si="113"/>
        <v>93647.91190884306</v>
      </c>
      <c r="Q263" s="169">
        <f t="shared" si="114"/>
        <v>39.430699751091815</v>
      </c>
      <c r="R263" s="67"/>
      <c r="S263" s="82">
        <v>19684990.050000001</v>
      </c>
      <c r="T263" s="67">
        <v>6449155.639342064</v>
      </c>
      <c r="U263" s="67">
        <v>1512673.2292668598</v>
      </c>
      <c r="V263" s="67">
        <v>9152213.7197984513</v>
      </c>
      <c r="W263" s="67">
        <v>1888764.8482496762</v>
      </c>
      <c r="X263" s="67">
        <v>1430500.98</v>
      </c>
      <c r="Y263" s="168">
        <f t="shared" si="115"/>
        <v>748318.36665705219</v>
      </c>
      <c r="Z263" s="169">
        <f t="shared" si="116"/>
        <v>315.08141753981147</v>
      </c>
      <c r="AA263" s="67"/>
      <c r="AB263" s="77">
        <f t="shared" si="117"/>
        <v>-654670.4547482091</v>
      </c>
      <c r="AC263" s="123">
        <f t="shared" si="118"/>
        <v>-275.65071778871965</v>
      </c>
      <c r="AE263" s="170"/>
      <c r="AF263" s="177">
        <v>621772.25638199516</v>
      </c>
      <c r="AG263" s="177">
        <v>579958.65572732536</v>
      </c>
      <c r="AH263" s="177">
        <v>540716.5352134211</v>
      </c>
      <c r="AI263" s="178">
        <v>500988.80304373743</v>
      </c>
      <c r="AK263" s="67">
        <f t="shared" si="119"/>
        <v>3753791.061727507</v>
      </c>
      <c r="AL263" s="67">
        <f t="shared" si="120"/>
        <v>506205.32146525348</v>
      </c>
      <c r="AM263" s="67">
        <f t="shared" si="121"/>
        <v>8079478.8653157968</v>
      </c>
      <c r="AN263" s="67">
        <f t="shared" si="122"/>
        <v>12642601.436939042</v>
      </c>
      <c r="AO263" s="67">
        <f t="shared" si="123"/>
        <v>0</v>
      </c>
      <c r="AP263" s="67">
        <f t="shared" si="124"/>
        <v>621772.25638199516</v>
      </c>
      <c r="AQ263" s="67">
        <f t="shared" si="125"/>
        <v>579958.65572732536</v>
      </c>
      <c r="AR263" s="67">
        <f t="shared" si="126"/>
        <v>540716.5352134211</v>
      </c>
      <c r="AS263" s="67">
        <f t="shared" si="127"/>
        <v>500988.80304373743</v>
      </c>
      <c r="AT263" s="68">
        <v>981</v>
      </c>
      <c r="AU263" s="68"/>
      <c r="AV263" s="68"/>
      <c r="AW263" s="68">
        <v>153</v>
      </c>
      <c r="AX263" s="68">
        <v>6568.4470956547557</v>
      </c>
      <c r="AY263" s="68">
        <v>-1132.9145693300229</v>
      </c>
      <c r="AZ263" s="68">
        <v>1325.2904920920225</v>
      </c>
      <c r="BA263" s="299"/>
      <c r="BB263" s="67"/>
      <c r="BC263" s="67"/>
      <c r="BD263" s="67"/>
      <c r="BE263" s="67"/>
      <c r="BF263" s="67"/>
      <c r="BG263" s="67"/>
      <c r="BH263" s="67"/>
      <c r="BN263" s="299"/>
      <c r="BO263" s="67">
        <v>7611279.6154179312</v>
      </c>
      <c r="BP263" s="67">
        <v>12414723.74</v>
      </c>
      <c r="BQ263" s="67">
        <v>11350000</v>
      </c>
      <c r="BR263" s="67">
        <v>354531.39</v>
      </c>
      <c r="BS263" s="67">
        <v>335000</v>
      </c>
      <c r="BT263" s="428">
        <v>0.58205930693129693</v>
      </c>
      <c r="BU263" s="428">
        <v>0.33464287704132478</v>
      </c>
      <c r="BV263" s="67">
        <f t="shared" si="128"/>
        <v>9816750.2614372987</v>
      </c>
      <c r="BW263" s="299"/>
      <c r="BX263" s="67">
        <v>20670411.489999998</v>
      </c>
      <c r="BY263" s="67">
        <v>7611279.6154179312</v>
      </c>
      <c r="BZ263" s="67">
        <v>9010637.1988085769</v>
      </c>
      <c r="CA263" s="67">
        <v>4715707.0323261619</v>
      </c>
      <c r="CB263" s="67">
        <f t="shared" si="129"/>
        <v>145490.74125476807</v>
      </c>
      <c r="CC263" s="67">
        <f t="shared" si="130"/>
        <v>315.08141753981067</v>
      </c>
      <c r="CD263" s="67">
        <f t="shared" si="131"/>
        <v>-44.871887674528971</v>
      </c>
      <c r="CE263" s="67">
        <f t="shared" si="132"/>
        <v>-359.95330521433965</v>
      </c>
      <c r="CF263" s="67">
        <f t="shared" si="133"/>
        <v>344.95330521433965</v>
      </c>
      <c r="CG263" s="67">
        <f t="shared" si="134"/>
        <v>329.95330521433965</v>
      </c>
      <c r="CH263" s="67">
        <f t="shared" si="135"/>
        <v>314.95330521433965</v>
      </c>
      <c r="CI263" s="67">
        <f t="shared" si="136"/>
        <v>299.95330521433965</v>
      </c>
      <c r="CJ263" s="67">
        <f t="shared" si="137"/>
        <v>819264.09988405672</v>
      </c>
      <c r="CK263" s="67">
        <f t="shared" si="138"/>
        <v>783639.09988405672</v>
      </c>
      <c r="CL263" s="67">
        <f t="shared" si="139"/>
        <v>748014.09988405672</v>
      </c>
      <c r="CM263" s="67">
        <f t="shared" si="140"/>
        <v>712389.09988405672</v>
      </c>
      <c r="CN263" s="299"/>
      <c r="CO263" s="430">
        <v>6449.1556393420642</v>
      </c>
      <c r="CP263" s="430">
        <v>1512.6732292668598</v>
      </c>
      <c r="CQ263" s="430">
        <v>1014.611</v>
      </c>
      <c r="CR263" s="430">
        <v>9152213.7197984513</v>
      </c>
      <c r="CS263" s="430">
        <v>1072734.8544826549</v>
      </c>
      <c r="CT263" s="430">
        <v>1888764.8482496762</v>
      </c>
      <c r="CU263" s="430">
        <v>566323.33375395439</v>
      </c>
      <c r="CV263" s="430">
        <v>242206</v>
      </c>
      <c r="CW263" s="430">
        <v>18935.484926411707</v>
      </c>
      <c r="CX263" s="430">
        <v>173683.98</v>
      </c>
      <c r="CY263" s="430">
        <v>7042388.6130609587</v>
      </c>
      <c r="CZ263" s="519"/>
      <c r="DA263" s="524">
        <v>6614.6800300000004</v>
      </c>
      <c r="DB263" s="524">
        <v>1500.8432764856129</v>
      </c>
      <c r="DC263" s="520">
        <f t="shared" si="141"/>
        <v>-1</v>
      </c>
      <c r="DD263" s="440">
        <v>2430</v>
      </c>
      <c r="DE263" s="450">
        <v>7611279.6154179312</v>
      </c>
      <c r="DF263" s="440">
        <v>2794287.639126162</v>
      </c>
      <c r="DG263" s="440">
        <v>1015894.3386</v>
      </c>
      <c r="DH263" s="440">
        <v>905525.05459999992</v>
      </c>
      <c r="DI263" s="440">
        <v>1068857.5927845624</v>
      </c>
      <c r="DJ263" s="440">
        <v>567543.38203014969</v>
      </c>
      <c r="DK263" s="440">
        <v>145425.74719057904</v>
      </c>
      <c r="DL263" s="440">
        <v>332110</v>
      </c>
      <c r="DM263" s="440">
        <v>225600</v>
      </c>
      <c r="DN263" s="440">
        <v>19038.276821003667</v>
      </c>
      <c r="DO263" s="457">
        <f t="shared" si="142"/>
        <v>-536997.58426547423</v>
      </c>
      <c r="DP263" s="459">
        <f t="shared" si="143"/>
        <v>-220.98666019155317</v>
      </c>
      <c r="DQ263" s="440"/>
      <c r="DR263" s="450">
        <v>20670411.489999998</v>
      </c>
      <c r="DS263" s="440">
        <v>6636455.2783085778</v>
      </c>
      <c r="DT263" s="440">
        <v>1358287.5818999999</v>
      </c>
      <c r="DU263" s="440">
        <v>9148354.6797984522</v>
      </c>
      <c r="DV263" s="440">
        <v>1892833.8741221721</v>
      </c>
      <c r="DW263" s="440">
        <v>1573604.3385999999</v>
      </c>
      <c r="DX263" s="457">
        <f t="shared" si="144"/>
        <v>-60875.737270794809</v>
      </c>
      <c r="DY263" s="459">
        <f t="shared" si="145"/>
        <v>-25.05174373283737</v>
      </c>
      <c r="DZ263" s="440"/>
      <c r="EA263" s="457">
        <f t="shared" si="146"/>
        <v>-476121.84699467942</v>
      </c>
      <c r="EB263" s="459">
        <f t="shared" si="147"/>
        <v>-195.9349164587158</v>
      </c>
      <c r="ED263" s="457">
        <v>486244.5340845724</v>
      </c>
      <c r="EE263" s="458">
        <v>446645.8496787778</v>
      </c>
      <c r="EF263" s="458">
        <v>407550.38977031951</v>
      </c>
      <c r="EG263" s="458">
        <v>368208.10901974613</v>
      </c>
      <c r="EH263" s="459">
        <v>329385.9450687553</v>
      </c>
    </row>
    <row r="264" spans="1:138" x14ac:dyDescent="0.2">
      <c r="A264" s="67">
        <v>777</v>
      </c>
      <c r="B264" s="67" t="s">
        <v>379</v>
      </c>
      <c r="C264" s="67">
        <v>18</v>
      </c>
      <c r="D264" s="67">
        <v>7367</v>
      </c>
      <c r="E264" s="82">
        <v>22059365.437696174</v>
      </c>
      <c r="F264" s="67">
        <v>9468567.7829159871</v>
      </c>
      <c r="G264" s="67">
        <v>3393065</v>
      </c>
      <c r="H264" s="67">
        <v>2590916.0213308991</v>
      </c>
      <c r="I264" s="67">
        <v>6034853.8525278922</v>
      </c>
      <c r="J264" s="67">
        <v>1545604.7500996194</v>
      </c>
      <c r="K264" s="67">
        <v>-51340.878899366289</v>
      </c>
      <c r="L264" s="67">
        <v>-398765</v>
      </c>
      <c r="M264" s="68">
        <v>1973836.79</v>
      </c>
      <c r="N264" s="68">
        <v>61337.916158857071</v>
      </c>
      <c r="O264" s="68">
        <v>-214404.50037787278</v>
      </c>
      <c r="P264" s="168">
        <f t="shared" si="113"/>
        <v>2344306.2960598413</v>
      </c>
      <c r="Q264" s="169">
        <f t="shared" si="114"/>
        <v>318.21722493007212</v>
      </c>
      <c r="R264" s="67"/>
      <c r="S264" s="82">
        <v>63824241.600000009</v>
      </c>
      <c r="T264" s="67">
        <v>21964911.924226526</v>
      </c>
      <c r="U264" s="67">
        <v>3894023.1222140524</v>
      </c>
      <c r="V264" s="67">
        <v>30621770.063138645</v>
      </c>
      <c r="W264" s="67">
        <v>5154800.7070890032</v>
      </c>
      <c r="X264" s="67">
        <v>4968136.79</v>
      </c>
      <c r="Y264" s="168">
        <f t="shared" si="115"/>
        <v>2779401.00666821</v>
      </c>
      <c r="Z264" s="169">
        <f t="shared" si="116"/>
        <v>377.27718293310846</v>
      </c>
      <c r="AA264" s="67"/>
      <c r="AB264" s="77">
        <f t="shared" si="117"/>
        <v>-435094.71060836874</v>
      </c>
      <c r="AC264" s="123">
        <f t="shared" si="118"/>
        <v>-59.059958003036343</v>
      </c>
      <c r="AE264" s="170"/>
      <c r="AF264" s="177">
        <v>333047.96224463201</v>
      </c>
      <c r="AG264" s="177">
        <v>203346.57444549422</v>
      </c>
      <c r="AH264" s="177">
        <v>81621.647360890973</v>
      </c>
      <c r="AI264" s="178">
        <v>-34684.306571298162</v>
      </c>
      <c r="AK264" s="67">
        <f t="shared" si="119"/>
        <v>12496344.141310539</v>
      </c>
      <c r="AL264" s="67">
        <f t="shared" si="120"/>
        <v>1303107.1008831533</v>
      </c>
      <c r="AM264" s="67">
        <f t="shared" si="121"/>
        <v>24586916.210610755</v>
      </c>
      <c r="AN264" s="67">
        <f t="shared" si="122"/>
        <v>41764876.162303835</v>
      </c>
      <c r="AO264" s="67">
        <f t="shared" si="123"/>
        <v>0</v>
      </c>
      <c r="AP264" s="67">
        <f t="shared" si="124"/>
        <v>333047.96224463201</v>
      </c>
      <c r="AQ264" s="67">
        <f t="shared" si="125"/>
        <v>203346.57444549422</v>
      </c>
      <c r="AR264" s="67">
        <f t="shared" si="126"/>
        <v>81621.647360890973</v>
      </c>
      <c r="AS264" s="67">
        <f t="shared" si="127"/>
        <v>-34684.306571298162</v>
      </c>
      <c r="AT264" s="68">
        <v>3534</v>
      </c>
      <c r="AU264" s="68"/>
      <c r="AV264" s="68"/>
      <c r="AW264" s="68">
        <v>0</v>
      </c>
      <c r="AX264" s="68">
        <v>20861.805507134755</v>
      </c>
      <c r="AY264" s="68">
        <v>-3255.7887402680599</v>
      </c>
      <c r="AZ264" s="68">
        <v>3615.0221971750111</v>
      </c>
      <c r="BA264" s="299"/>
      <c r="BB264" s="67"/>
      <c r="BC264" s="67"/>
      <c r="BD264" s="67"/>
      <c r="BE264" s="67"/>
      <c r="BF264" s="67"/>
      <c r="BG264" s="67"/>
      <c r="BH264" s="67"/>
      <c r="BN264" s="299"/>
      <c r="BO264" s="67">
        <v>22672591.310015336</v>
      </c>
      <c r="BP264" s="67">
        <v>38636727.240000002</v>
      </c>
      <c r="BQ264" s="67">
        <v>40087000</v>
      </c>
      <c r="BR264" s="67">
        <v>1049563.73</v>
      </c>
      <c r="BS264" s="67">
        <v>1012000</v>
      </c>
      <c r="BT264" s="428">
        <v>0.56892302525135607</v>
      </c>
      <c r="BU264" s="428">
        <v>0.33464287704132489</v>
      </c>
      <c r="BV264" s="67">
        <f t="shared" si="128"/>
        <v>28144771.288700771</v>
      </c>
      <c r="BW264" s="299"/>
      <c r="BX264" s="67">
        <v>64572311</v>
      </c>
      <c r="BY264" s="67">
        <v>22672591.310015336</v>
      </c>
      <c r="BZ264" s="67">
        <v>29790437.456539836</v>
      </c>
      <c r="CA264" s="67">
        <v>15677574.2001081</v>
      </c>
      <c r="CB264" s="67">
        <f t="shared" si="129"/>
        <v>-71264.449721718789</v>
      </c>
      <c r="CC264" s="67">
        <f t="shared" si="130"/>
        <v>377.27718293310858</v>
      </c>
      <c r="CD264" s="67">
        <f t="shared" si="131"/>
        <v>344.61615659228482</v>
      </c>
      <c r="CE264" s="67">
        <f t="shared" si="132"/>
        <v>-32.661026340823753</v>
      </c>
      <c r="CF264" s="67">
        <f t="shared" si="133"/>
        <v>17.661026340823753</v>
      </c>
      <c r="CG264" s="67">
        <f t="shared" si="134"/>
        <v>2.6610263408237529</v>
      </c>
      <c r="CH264" s="67">
        <f t="shared" si="135"/>
        <v>0</v>
      </c>
      <c r="CI264" s="67">
        <f t="shared" si="136"/>
        <v>0</v>
      </c>
      <c r="CJ264" s="67">
        <f t="shared" si="137"/>
        <v>130108.78105284859</v>
      </c>
      <c r="CK264" s="67">
        <f t="shared" si="138"/>
        <v>19603.781052848586</v>
      </c>
      <c r="CL264" s="67">
        <f t="shared" si="139"/>
        <v>0</v>
      </c>
      <c r="CM264" s="67">
        <f t="shared" si="140"/>
        <v>0</v>
      </c>
      <c r="CN264" s="299"/>
      <c r="CO264" s="430">
        <v>21964.911924226526</v>
      </c>
      <c r="CP264" s="430">
        <v>3894.0231222140524</v>
      </c>
      <c r="CQ264" s="430">
        <v>3393.0650000000001</v>
      </c>
      <c r="CR264" s="430">
        <v>30621770.063138645</v>
      </c>
      <c r="CS264" s="430">
        <v>6034853.8525278922</v>
      </c>
      <c r="CT264" s="430">
        <v>5154800.7070890032</v>
      </c>
      <c r="CU264" s="430">
        <v>1545604.7500996194</v>
      </c>
      <c r="CV264" s="430">
        <v>-398765</v>
      </c>
      <c r="CW264" s="430">
        <v>61337.916158857071</v>
      </c>
      <c r="CX264" s="430">
        <v>1973836.79</v>
      </c>
      <c r="CY264" s="430">
        <v>22059365.437696174</v>
      </c>
      <c r="CZ264" s="519"/>
      <c r="DA264" s="524">
        <v>22580.49382</v>
      </c>
      <c r="DB264" s="524">
        <v>3863.5691900026563</v>
      </c>
      <c r="DC264" s="520">
        <f t="shared" si="141"/>
        <v>-1</v>
      </c>
      <c r="DD264" s="440">
        <v>7508</v>
      </c>
      <c r="DE264" s="450">
        <v>22672591.310015336</v>
      </c>
      <c r="DF264" s="440">
        <v>9966238.2318080999</v>
      </c>
      <c r="DG264" s="440">
        <v>3380273.6924999999</v>
      </c>
      <c r="DH264" s="440">
        <v>2331062.2757999999</v>
      </c>
      <c r="DI264" s="440">
        <v>6022969.9002113463</v>
      </c>
      <c r="DJ264" s="440">
        <v>1548099.7835124498</v>
      </c>
      <c r="DK264" s="440">
        <v>-72003.561203717982</v>
      </c>
      <c r="DL264" s="440">
        <v>-273690</v>
      </c>
      <c r="DM264" s="440">
        <v>-115450</v>
      </c>
      <c r="DN264" s="440">
        <v>62558.548567268946</v>
      </c>
      <c r="DO264" s="457">
        <f t="shared" si="142"/>
        <v>177467.56118011102</v>
      </c>
      <c r="DP264" s="459">
        <f t="shared" si="143"/>
        <v>23.637128553557673</v>
      </c>
      <c r="DQ264" s="440"/>
      <c r="DR264" s="450">
        <v>64572311</v>
      </c>
      <c r="DS264" s="440">
        <v>22913570.350339837</v>
      </c>
      <c r="DT264" s="440">
        <v>3496593.4137000004</v>
      </c>
      <c r="DU264" s="440">
        <v>30609935.55313864</v>
      </c>
      <c r="DV264" s="440">
        <v>5163121.9806874609</v>
      </c>
      <c r="DW264" s="440">
        <v>2991133.6924999999</v>
      </c>
      <c r="DX264" s="457">
        <f t="shared" si="144"/>
        <v>602043.99036593735</v>
      </c>
      <c r="DY264" s="459">
        <f t="shared" si="145"/>
        <v>80.186999249592077</v>
      </c>
      <c r="DZ264" s="440"/>
      <c r="EA264" s="457">
        <f t="shared" si="146"/>
        <v>-424576.42918582633</v>
      </c>
      <c r="EB264" s="459">
        <f t="shared" si="147"/>
        <v>-56.549870696034411</v>
      </c>
      <c r="ED264" s="457">
        <v>455852.61629320786</v>
      </c>
      <c r="EE264" s="458">
        <v>333504.08850773226</v>
      </c>
      <c r="EF264" s="458">
        <v>212710.37945723647</v>
      </c>
      <c r="EG264" s="458">
        <v>91154.065105259069</v>
      </c>
      <c r="EH264" s="459">
        <v>-2891.6673497191218</v>
      </c>
    </row>
    <row r="265" spans="1:138" x14ac:dyDescent="0.2">
      <c r="A265" s="67">
        <v>778</v>
      </c>
      <c r="B265" s="67" t="s">
        <v>380</v>
      </c>
      <c r="C265" s="67">
        <v>11</v>
      </c>
      <c r="D265" s="67">
        <v>6763</v>
      </c>
      <c r="E265" s="82">
        <v>18381143.67265404</v>
      </c>
      <c r="F265" s="67">
        <v>9433997.678976994</v>
      </c>
      <c r="G265" s="67">
        <v>1972096</v>
      </c>
      <c r="H265" s="67">
        <v>1569139.429084955</v>
      </c>
      <c r="I265" s="67">
        <v>3137709.2496725935</v>
      </c>
      <c r="J265" s="67">
        <v>1346310.3571845144</v>
      </c>
      <c r="K265" s="67">
        <v>384073.13468734612</v>
      </c>
      <c r="L265" s="67">
        <v>-148562</v>
      </c>
      <c r="M265" s="68">
        <v>773865.91</v>
      </c>
      <c r="N265" s="68">
        <v>57580.63512903123</v>
      </c>
      <c r="O265" s="68">
        <v>-196826.06706333021</v>
      </c>
      <c r="P265" s="168">
        <f t="shared" si="113"/>
        <v>-51759.344981937204</v>
      </c>
      <c r="Q265" s="169">
        <f t="shared" si="114"/>
        <v>-7.6533113975953277</v>
      </c>
      <c r="R265" s="67"/>
      <c r="S265" s="82">
        <v>54142307.479999989</v>
      </c>
      <c r="T265" s="67">
        <v>21598955.224746983</v>
      </c>
      <c r="U265" s="67">
        <v>2358341.6708720094</v>
      </c>
      <c r="V265" s="67">
        <v>23133848.681962587</v>
      </c>
      <c r="W265" s="67">
        <v>4490126.9750424102</v>
      </c>
      <c r="X265" s="67">
        <v>2597399.91</v>
      </c>
      <c r="Y265" s="168">
        <f t="shared" si="115"/>
        <v>36364.982624001801</v>
      </c>
      <c r="Z265" s="169">
        <f t="shared" si="116"/>
        <v>5.3770490350438864</v>
      </c>
      <c r="AA265" s="67"/>
      <c r="AB265" s="77">
        <f t="shared" si="117"/>
        <v>-88124.327605939005</v>
      </c>
      <c r="AC265" s="123">
        <f t="shared" si="118"/>
        <v>-13.030360432639213</v>
      </c>
      <c r="AE265" s="170"/>
      <c r="AF265" s="177">
        <v>7764.7829260226481</v>
      </c>
      <c r="AG265" s="177">
        <v>-9857.7460118854397</v>
      </c>
      <c r="AH265" s="177">
        <v>-20157.782237373671</v>
      </c>
      <c r="AI265" s="178">
        <v>-31840.635990456019</v>
      </c>
      <c r="AK265" s="67">
        <f t="shared" si="119"/>
        <v>12164957.545769989</v>
      </c>
      <c r="AL265" s="67">
        <f t="shared" si="120"/>
        <v>789202.24178705434</v>
      </c>
      <c r="AM265" s="67">
        <f t="shared" si="121"/>
        <v>19996139.432289995</v>
      </c>
      <c r="AN265" s="67">
        <f t="shared" si="122"/>
        <v>35761163.807345949</v>
      </c>
      <c r="AO265" s="67">
        <f t="shared" si="123"/>
        <v>0</v>
      </c>
      <c r="AP265" s="67">
        <f t="shared" si="124"/>
        <v>7764.7829260226481</v>
      </c>
      <c r="AQ265" s="67">
        <f t="shared" si="125"/>
        <v>-9857.7460118854397</v>
      </c>
      <c r="AR265" s="67">
        <f t="shared" si="126"/>
        <v>-20157.782237373671</v>
      </c>
      <c r="AS265" s="67">
        <f t="shared" si="127"/>
        <v>-31840.635990456019</v>
      </c>
      <c r="AT265" s="68">
        <v>3514</v>
      </c>
      <c r="AU265" s="68"/>
      <c r="AV265" s="68"/>
      <c r="AW265" s="68">
        <v>102</v>
      </c>
      <c r="AX265" s="68">
        <v>17339.00645496853</v>
      </c>
      <c r="AY265" s="68">
        <v>-2825.057406173767</v>
      </c>
      <c r="AZ265" s="68">
        <v>3150.9351993503687</v>
      </c>
      <c r="BA265" s="299"/>
      <c r="BB265" s="67"/>
      <c r="BC265" s="67"/>
      <c r="BD265" s="67"/>
      <c r="BE265" s="67"/>
      <c r="BF265" s="67"/>
      <c r="BG265" s="67"/>
      <c r="BH265" s="67"/>
      <c r="BN265" s="299"/>
      <c r="BO265" s="67">
        <v>18089365.98682566</v>
      </c>
      <c r="BP265" s="67">
        <v>33404704.340000004</v>
      </c>
      <c r="BQ265" s="67">
        <v>34480000</v>
      </c>
      <c r="BR265" s="67">
        <v>630950.09</v>
      </c>
      <c r="BS265" s="67">
        <v>658000</v>
      </c>
      <c r="BT265" s="428">
        <v>0.5632197214720831</v>
      </c>
      <c r="BU265" s="428">
        <v>0.33464287704132484</v>
      </c>
      <c r="BV265" s="67">
        <f t="shared" si="128"/>
        <v>23524029.184835237</v>
      </c>
      <c r="BW265" s="299"/>
      <c r="BX265" s="67">
        <v>54184700</v>
      </c>
      <c r="BY265" s="67">
        <v>18089365.98682566</v>
      </c>
      <c r="BZ265" s="67">
        <v>26399242.868327741</v>
      </c>
      <c r="CA265" s="67">
        <v>13216576.790553935</v>
      </c>
      <c r="CB265" s="67">
        <f t="shared" si="129"/>
        <v>205089.81481192805</v>
      </c>
      <c r="CC265" s="67">
        <f t="shared" si="130"/>
        <v>5.3770490350438864</v>
      </c>
      <c r="CD265" s="67">
        <f t="shared" si="131"/>
        <v>-5.015022592639963</v>
      </c>
      <c r="CE265" s="67">
        <f t="shared" si="132"/>
        <v>-10.392071627683849</v>
      </c>
      <c r="CF265" s="67">
        <f t="shared" si="133"/>
        <v>0</v>
      </c>
      <c r="CG265" s="67">
        <f t="shared" si="134"/>
        <v>0</v>
      </c>
      <c r="CH265" s="67">
        <f t="shared" si="135"/>
        <v>0</v>
      </c>
      <c r="CI265" s="67">
        <f t="shared" si="136"/>
        <v>0</v>
      </c>
      <c r="CJ265" s="67">
        <f t="shared" si="137"/>
        <v>0</v>
      </c>
      <c r="CK265" s="67">
        <f t="shared" si="138"/>
        <v>0</v>
      </c>
      <c r="CL265" s="67">
        <f t="shared" si="139"/>
        <v>0</v>
      </c>
      <c r="CM265" s="67">
        <f t="shared" si="140"/>
        <v>0</v>
      </c>
      <c r="CN265" s="299"/>
      <c r="CO265" s="430">
        <v>21598.955224746984</v>
      </c>
      <c r="CP265" s="430">
        <v>2358.3416708720092</v>
      </c>
      <c r="CQ265" s="430">
        <v>1972.096</v>
      </c>
      <c r="CR265" s="430">
        <v>23133848.681962587</v>
      </c>
      <c r="CS265" s="430">
        <v>3137709.2496725935</v>
      </c>
      <c r="CT265" s="430">
        <v>4490126.9750424102</v>
      </c>
      <c r="CU265" s="430">
        <v>1346310.3571845144</v>
      </c>
      <c r="CV265" s="430">
        <v>-148562</v>
      </c>
      <c r="CW265" s="430">
        <v>57580.63512903123</v>
      </c>
      <c r="CX265" s="430">
        <v>773865.91</v>
      </c>
      <c r="CY265" s="430">
        <v>18381143.67265404</v>
      </c>
      <c r="CZ265" s="519"/>
      <c r="DA265" s="524">
        <v>22073.787680000001</v>
      </c>
      <c r="DB265" s="524">
        <v>2339.8980271591367</v>
      </c>
      <c r="DC265" s="520">
        <f t="shared" si="141"/>
        <v>-1</v>
      </c>
      <c r="DD265" s="440">
        <v>6891</v>
      </c>
      <c r="DE265" s="450">
        <v>18089365.98682566</v>
      </c>
      <c r="DF265" s="440">
        <v>9791021.7926539369</v>
      </c>
      <c r="DG265" s="440">
        <v>2013791.0894999998</v>
      </c>
      <c r="DH265" s="440">
        <v>1411763.9084000001</v>
      </c>
      <c r="DI265" s="440">
        <v>3126830.5281051728</v>
      </c>
      <c r="DJ265" s="440">
        <v>1349358.8237958779</v>
      </c>
      <c r="DK265" s="440">
        <v>204565.76965551908</v>
      </c>
      <c r="DL265" s="440">
        <v>-131418</v>
      </c>
      <c r="DM265" s="440">
        <v>250000</v>
      </c>
      <c r="DN265" s="440">
        <v>58435.233239906956</v>
      </c>
      <c r="DO265" s="457">
        <f t="shared" si="142"/>
        <v>-15016.841475248337</v>
      </c>
      <c r="DP265" s="459">
        <f t="shared" si="143"/>
        <v>-2.1791962669058682</v>
      </c>
      <c r="DQ265" s="440"/>
      <c r="DR265" s="450">
        <v>54184700</v>
      </c>
      <c r="DS265" s="440">
        <v>22267805.916227743</v>
      </c>
      <c r="DT265" s="440">
        <v>2117645.8626000001</v>
      </c>
      <c r="DU265" s="440">
        <v>23123005.971962586</v>
      </c>
      <c r="DV265" s="440">
        <v>4500294.0231462466</v>
      </c>
      <c r="DW265" s="440">
        <v>2132373.0894999998</v>
      </c>
      <c r="DX265" s="457">
        <f t="shared" si="144"/>
        <v>-43575.136563427746</v>
      </c>
      <c r="DY265" s="459">
        <f t="shared" si="145"/>
        <v>-6.3234852072888907</v>
      </c>
      <c r="DZ265" s="440"/>
      <c r="EA265" s="457">
        <f t="shared" si="146"/>
        <v>28558.29508817941</v>
      </c>
      <c r="EB265" s="459">
        <f t="shared" si="147"/>
        <v>4.1442889403830225</v>
      </c>
      <c r="ED265" s="457">
        <v>147.6459556434655</v>
      </c>
      <c r="EE265" s="458">
        <v>19776.894031333788</v>
      </c>
      <c r="EF265" s="458">
        <v>12274.892290928014</v>
      </c>
      <c r="EG265" s="458">
        <v>4072.9553970180127</v>
      </c>
      <c r="EH265" s="459">
        <v>-2654.032992396706</v>
      </c>
    </row>
    <row r="266" spans="1:138" x14ac:dyDescent="0.2">
      <c r="A266" s="67">
        <v>781</v>
      </c>
      <c r="B266" s="67" t="s">
        <v>381</v>
      </c>
      <c r="C266" s="67">
        <v>7</v>
      </c>
      <c r="D266" s="67">
        <v>3504</v>
      </c>
      <c r="E266" s="82">
        <v>8248685.9307415858</v>
      </c>
      <c r="F266" s="67">
        <v>3214136.2527564284</v>
      </c>
      <c r="G266" s="67">
        <v>2103272</v>
      </c>
      <c r="H266" s="67">
        <v>1279193.5777291041</v>
      </c>
      <c r="I266" s="67">
        <v>83431.933421097638</v>
      </c>
      <c r="J266" s="67">
        <v>792425.65814929316</v>
      </c>
      <c r="K266" s="67">
        <v>1552252.4581545054</v>
      </c>
      <c r="L266" s="67">
        <v>-369638</v>
      </c>
      <c r="M266" s="68">
        <v>319668.55</v>
      </c>
      <c r="N266" s="68">
        <v>29328.283335718173</v>
      </c>
      <c r="O266" s="68">
        <v>-101978.19591747879</v>
      </c>
      <c r="P266" s="168">
        <f t="shared" si="113"/>
        <v>653406.58688708302</v>
      </c>
      <c r="Q266" s="169">
        <f t="shared" si="114"/>
        <v>186.47448255909904</v>
      </c>
      <c r="R266" s="67"/>
      <c r="S266" s="82">
        <v>26811531.920000002</v>
      </c>
      <c r="T266" s="67">
        <v>9168871.2716238182</v>
      </c>
      <c r="U266" s="67">
        <v>1922566.8946638058</v>
      </c>
      <c r="V266" s="67">
        <v>13169228.367310015</v>
      </c>
      <c r="W266" s="67">
        <v>2642846.6544762929</v>
      </c>
      <c r="X266" s="67">
        <v>2053302.55</v>
      </c>
      <c r="Y266" s="168">
        <f t="shared" si="115"/>
        <v>2145283.8180739284</v>
      </c>
      <c r="Z266" s="169">
        <f t="shared" si="116"/>
        <v>612.23853255534482</v>
      </c>
      <c r="AA266" s="67"/>
      <c r="AB266" s="77">
        <f t="shared" si="117"/>
        <v>-1491877.2311868453</v>
      </c>
      <c r="AC266" s="123">
        <f t="shared" si="118"/>
        <v>-425.76404999624583</v>
      </c>
      <c r="AE266" s="170"/>
      <c r="AF266" s="177">
        <v>1443340.2682078164</v>
      </c>
      <c r="AG266" s="177">
        <v>1381649.802231411</v>
      </c>
      <c r="AH266" s="177">
        <v>1323753.2168500551</v>
      </c>
      <c r="AI266" s="178">
        <v>1265140.1753668669</v>
      </c>
      <c r="AK266" s="67">
        <f t="shared" si="119"/>
        <v>5954735.0188673902</v>
      </c>
      <c r="AL266" s="67">
        <f t="shared" si="120"/>
        <v>643373.31693470175</v>
      </c>
      <c r="AM266" s="67">
        <f t="shared" si="121"/>
        <v>13085796.433888918</v>
      </c>
      <c r="AN266" s="67">
        <f t="shared" si="122"/>
        <v>18562845.989258416</v>
      </c>
      <c r="AO266" s="67">
        <f t="shared" si="123"/>
        <v>0</v>
      </c>
      <c r="AP266" s="67">
        <f t="shared" si="124"/>
        <v>1443340.2682078164</v>
      </c>
      <c r="AQ266" s="67">
        <f t="shared" si="125"/>
        <v>1381649.802231411</v>
      </c>
      <c r="AR266" s="67">
        <f t="shared" si="126"/>
        <v>1323753.2168500551</v>
      </c>
      <c r="AS266" s="67">
        <f t="shared" si="127"/>
        <v>1265140.1753668669</v>
      </c>
      <c r="AT266" s="68">
        <v>893</v>
      </c>
      <c r="AU266" s="68"/>
      <c r="AV266" s="68"/>
      <c r="AW266" s="68">
        <v>163</v>
      </c>
      <c r="AX266" s="68">
        <v>11089.840856270726</v>
      </c>
      <c r="AY266" s="68">
        <v>-1538.9133185343521</v>
      </c>
      <c r="AZ266" s="68">
        <v>1852.723242580995</v>
      </c>
      <c r="BA266" s="299"/>
      <c r="BB266" s="67"/>
      <c r="BC266" s="67"/>
      <c r="BD266" s="67"/>
      <c r="BE266" s="67"/>
      <c r="BF266" s="67"/>
      <c r="BG266" s="67"/>
      <c r="BH266" s="67"/>
      <c r="BN266" s="299"/>
      <c r="BO266" s="67">
        <v>6347083.2552967928</v>
      </c>
      <c r="BP266" s="67">
        <v>16826641.870000001</v>
      </c>
      <c r="BQ266" s="67">
        <v>18466000</v>
      </c>
      <c r="BR266" s="67">
        <v>339051.53</v>
      </c>
      <c r="BS266" s="67">
        <v>275000</v>
      </c>
      <c r="BT266" s="428">
        <v>0.64945126204316306</v>
      </c>
      <c r="BU266" s="428">
        <v>0.33464287704132489</v>
      </c>
      <c r="BV266" s="67">
        <f t="shared" si="128"/>
        <v>16488469.888370423</v>
      </c>
      <c r="BW266" s="299"/>
      <c r="BX266" s="67">
        <v>24672922</v>
      </c>
      <c r="BY266" s="67">
        <v>6347083.2552967928</v>
      </c>
      <c r="BZ266" s="67">
        <v>13257484.979236478</v>
      </c>
      <c r="CA266" s="67">
        <v>6593894.1700650891</v>
      </c>
      <c r="CB266" s="67">
        <f t="shared" si="129"/>
        <v>1673028.5915054118</v>
      </c>
      <c r="CC266" s="67">
        <f t="shared" si="130"/>
        <v>612.23853255534596</v>
      </c>
      <c r="CD266" s="67">
        <f t="shared" si="131"/>
        <v>250.04592356035022</v>
      </c>
      <c r="CE266" s="67">
        <f t="shared" si="132"/>
        <v>-362.19260899499574</v>
      </c>
      <c r="CF266" s="67">
        <f t="shared" si="133"/>
        <v>347.19260899499574</v>
      </c>
      <c r="CG266" s="67">
        <f t="shared" si="134"/>
        <v>332.19260899499574</v>
      </c>
      <c r="CH266" s="67">
        <f t="shared" si="135"/>
        <v>317.19260899499574</v>
      </c>
      <c r="CI266" s="67">
        <f t="shared" si="136"/>
        <v>302.19260899499574</v>
      </c>
      <c r="CJ266" s="67">
        <f t="shared" si="137"/>
        <v>1216562.901918465</v>
      </c>
      <c r="CK266" s="67">
        <f t="shared" si="138"/>
        <v>1164002.901918465</v>
      </c>
      <c r="CL266" s="67">
        <f t="shared" si="139"/>
        <v>1111442.901918465</v>
      </c>
      <c r="CM266" s="67">
        <f t="shared" si="140"/>
        <v>1058882.901918465</v>
      </c>
      <c r="CN266" s="299"/>
      <c r="CO266" s="430">
        <v>9168.8712716238188</v>
      </c>
      <c r="CP266" s="430">
        <v>1922.5668946638059</v>
      </c>
      <c r="CQ266" s="430">
        <v>2103.2719999999999</v>
      </c>
      <c r="CR266" s="430">
        <v>13169228.367310015</v>
      </c>
      <c r="CS266" s="430">
        <v>83431.933421097638</v>
      </c>
      <c r="CT266" s="430">
        <v>2642846.6544762929</v>
      </c>
      <c r="CU266" s="430">
        <v>792425.65814929316</v>
      </c>
      <c r="CV266" s="430">
        <v>-369638</v>
      </c>
      <c r="CW266" s="430">
        <v>29328.283335718173</v>
      </c>
      <c r="CX266" s="430">
        <v>319668.55</v>
      </c>
      <c r="CY266" s="430">
        <v>8248685.9307415858</v>
      </c>
      <c r="CZ266" s="519"/>
      <c r="DA266" s="524">
        <v>9516.862869999999</v>
      </c>
      <c r="DB266" s="524">
        <v>1907.5320476928362</v>
      </c>
      <c r="DC266" s="520">
        <f t="shared" si="141"/>
        <v>-1</v>
      </c>
      <c r="DD266" s="440">
        <v>3584</v>
      </c>
      <c r="DE266" s="450">
        <v>6347083.2552967928</v>
      </c>
      <c r="DF266" s="440">
        <v>3330365.4434650885</v>
      </c>
      <c r="DG266" s="440">
        <v>2112630.7940000002</v>
      </c>
      <c r="DH266" s="440">
        <v>1150897.9326000002</v>
      </c>
      <c r="DI266" s="440">
        <v>77761.138115742651</v>
      </c>
      <c r="DJ266" s="440">
        <v>793411.57379047386</v>
      </c>
      <c r="DK266" s="440">
        <v>1672898.4574167642</v>
      </c>
      <c r="DL266" s="440">
        <v>-360235</v>
      </c>
      <c r="DM266" s="440">
        <v>190868</v>
      </c>
      <c r="DN266" s="440">
        <v>29537.915991496284</v>
      </c>
      <c r="DO266" s="457">
        <f t="shared" si="142"/>
        <v>2651053.0000827722</v>
      </c>
      <c r="DP266" s="459">
        <f t="shared" si="143"/>
        <v>739.6911272552378</v>
      </c>
      <c r="DQ266" s="440"/>
      <c r="DR266" s="450">
        <v>24672922</v>
      </c>
      <c r="DS266" s="440">
        <v>9418507.2863364778</v>
      </c>
      <c r="DT266" s="440">
        <v>1726346.8989000001</v>
      </c>
      <c r="DU266" s="440">
        <v>13163584.857310014</v>
      </c>
      <c r="DV266" s="440">
        <v>2646134.8163714688</v>
      </c>
      <c r="DW266" s="440">
        <v>1943263.7940000002</v>
      </c>
      <c r="DX266" s="457">
        <f t="shared" si="144"/>
        <v>4224915.6529179588</v>
      </c>
      <c r="DY266" s="459">
        <f t="shared" si="145"/>
        <v>1178.8269120864841</v>
      </c>
      <c r="DZ266" s="440"/>
      <c r="EA266" s="457">
        <f t="shared" si="146"/>
        <v>-1573862.6528351866</v>
      </c>
      <c r="EB266" s="459">
        <f t="shared" si="147"/>
        <v>-439.13578483124627</v>
      </c>
      <c r="ED266" s="457">
        <v>1588792.5748640699</v>
      </c>
      <c r="EE266" s="458">
        <v>1530388.5893042479</v>
      </c>
      <c r="EF266" s="458">
        <v>1472726.8081059291</v>
      </c>
      <c r="EG266" s="458">
        <v>1414700.9915585811</v>
      </c>
      <c r="EH266" s="459">
        <v>1357442.2937806591</v>
      </c>
    </row>
    <row r="267" spans="1:138" x14ac:dyDescent="0.2">
      <c r="A267" s="67">
        <v>783</v>
      </c>
      <c r="B267" s="67" t="s">
        <v>382</v>
      </c>
      <c r="C267" s="67">
        <v>4</v>
      </c>
      <c r="D267" s="67">
        <v>6419</v>
      </c>
      <c r="E267" s="82">
        <v>15311931.77424065</v>
      </c>
      <c r="F267" s="67">
        <v>10478715.855608987</v>
      </c>
      <c r="G267" s="67">
        <v>2189110</v>
      </c>
      <c r="H267" s="67">
        <v>1366437.7507629737</v>
      </c>
      <c r="I267" s="67">
        <v>1717516.8474996644</v>
      </c>
      <c r="J267" s="67">
        <v>1240058.6900063292</v>
      </c>
      <c r="K267" s="67">
        <v>-227321.68152216723</v>
      </c>
      <c r="L267" s="67">
        <v>-379017</v>
      </c>
      <c r="M267" s="68">
        <v>4139.8999999999996</v>
      </c>
      <c r="N267" s="68">
        <v>66500.480603518256</v>
      </c>
      <c r="O267" s="68">
        <v>-186814.50901663711</v>
      </c>
      <c r="P267" s="168">
        <f t="shared" si="113"/>
        <v>957394.55970201793</v>
      </c>
      <c r="Q267" s="169">
        <f t="shared" si="114"/>
        <v>149.15011056270725</v>
      </c>
      <c r="R267" s="67"/>
      <c r="S267" s="82">
        <v>44428309.340000011</v>
      </c>
      <c r="T267" s="67">
        <v>24752358.152570356</v>
      </c>
      <c r="U267" s="67">
        <v>2053690.7227907474</v>
      </c>
      <c r="V267" s="67">
        <v>12430964.847536521</v>
      </c>
      <c r="W267" s="67">
        <v>4135763.3066697591</v>
      </c>
      <c r="X267" s="67">
        <v>1814232.9</v>
      </c>
      <c r="Y267" s="168">
        <f t="shared" si="115"/>
        <v>758700.58956737071</v>
      </c>
      <c r="Z267" s="169">
        <f t="shared" si="116"/>
        <v>118.19607252957948</v>
      </c>
      <c r="AA267" s="67"/>
      <c r="AB267" s="77">
        <f t="shared" si="117"/>
        <v>198693.97013464721</v>
      </c>
      <c r="AC267" s="123">
        <f t="shared" si="118"/>
        <v>30.95403803312778</v>
      </c>
      <c r="AE267" s="170"/>
      <c r="AF267" s="177">
        <v>-95039.142897897662</v>
      </c>
      <c r="AG267" s="177">
        <v>-15480.301888350428</v>
      </c>
      <c r="AH267" s="177">
        <v>-19132.456628966669</v>
      </c>
      <c r="AI267" s="178">
        <v>-30221.062017261156</v>
      </c>
      <c r="AK267" s="67">
        <f t="shared" si="119"/>
        <v>14273642.296961369</v>
      </c>
      <c r="AL267" s="67">
        <f t="shared" si="120"/>
        <v>687252.97202777374</v>
      </c>
      <c r="AM267" s="67">
        <f t="shared" si="121"/>
        <v>10713448.000036856</v>
      </c>
      <c r="AN267" s="67">
        <f t="shared" si="122"/>
        <v>29116377.565759361</v>
      </c>
      <c r="AO267" s="67">
        <f t="shared" si="123"/>
        <v>0</v>
      </c>
      <c r="AP267" s="67">
        <f t="shared" si="124"/>
        <v>-95039.142897897662</v>
      </c>
      <c r="AQ267" s="67">
        <f t="shared" si="125"/>
        <v>-15480.301888350428</v>
      </c>
      <c r="AR267" s="67">
        <f t="shared" si="126"/>
        <v>-19132.456628966669</v>
      </c>
      <c r="AS267" s="67">
        <f t="shared" si="127"/>
        <v>-30221.062017261156</v>
      </c>
      <c r="AT267" s="68">
        <v>2265</v>
      </c>
      <c r="AU267" s="68"/>
      <c r="AV267" s="68"/>
      <c r="AW267" s="68">
        <v>38</v>
      </c>
      <c r="AX267" s="68">
        <v>10058.99105985204</v>
      </c>
      <c r="AY267" s="68">
        <v>-701.60312263802996</v>
      </c>
      <c r="AZ267" s="68">
        <v>2907.1691693065077</v>
      </c>
      <c r="BA267" s="299"/>
      <c r="BB267" s="67"/>
      <c r="BC267" s="67"/>
      <c r="BD267" s="67"/>
      <c r="BE267" s="67"/>
      <c r="BF267" s="67"/>
      <c r="BG267" s="67"/>
      <c r="BH267" s="67"/>
      <c r="BN267" s="299"/>
      <c r="BO267" s="67">
        <v>15194832.995053768</v>
      </c>
      <c r="BP267" s="67">
        <v>26133491.690000001</v>
      </c>
      <c r="BQ267" s="67">
        <v>28713000</v>
      </c>
      <c r="BR267" s="67">
        <v>728867.45000000007</v>
      </c>
      <c r="BS267" s="67">
        <v>744000</v>
      </c>
      <c r="BT267" s="428">
        <v>0.57665787675584168</v>
      </c>
      <c r="BU267" s="428">
        <v>0.33464287704132489</v>
      </c>
      <c r="BV267" s="67">
        <f t="shared" si="128"/>
        <v>13381830.93517812</v>
      </c>
      <c r="BW267" s="299"/>
      <c r="BX267" s="67">
        <v>43310916</v>
      </c>
      <c r="BY267" s="67">
        <v>15194832.995053768</v>
      </c>
      <c r="BZ267" s="67">
        <v>29797052.95210509</v>
      </c>
      <c r="CA267" s="67">
        <v>14473641.803096015</v>
      </c>
      <c r="CB267" s="67">
        <f t="shared" si="129"/>
        <v>483483.67676168651</v>
      </c>
      <c r="CC267" s="67">
        <f t="shared" si="130"/>
        <v>118.19607252957978</v>
      </c>
      <c r="CD267" s="67">
        <f t="shared" si="131"/>
        <v>288.98807088370592</v>
      </c>
      <c r="CE267" s="67">
        <f t="shared" si="132"/>
        <v>170.79199835412612</v>
      </c>
      <c r="CF267" s="67">
        <f t="shared" si="133"/>
        <v>-155.79199835412612</v>
      </c>
      <c r="CG267" s="67">
        <f t="shared" si="134"/>
        <v>-140.79199835412612</v>
      </c>
      <c r="CH267" s="67">
        <f t="shared" si="135"/>
        <v>-125.79199835412612</v>
      </c>
      <c r="CI267" s="67">
        <f t="shared" si="136"/>
        <v>-110.79199835412612</v>
      </c>
      <c r="CJ267" s="67">
        <f t="shared" si="137"/>
        <v>-1000028.8374351356</v>
      </c>
      <c r="CK267" s="67">
        <f t="shared" si="138"/>
        <v>-903743.83743513562</v>
      </c>
      <c r="CL267" s="67">
        <f t="shared" si="139"/>
        <v>-807458.83743513562</v>
      </c>
      <c r="CM267" s="67">
        <f t="shared" si="140"/>
        <v>-711173.83743513562</v>
      </c>
      <c r="CN267" s="299"/>
      <c r="CO267" s="430">
        <v>24752.358152570356</v>
      </c>
      <c r="CP267" s="430">
        <v>2053.6907227907473</v>
      </c>
      <c r="CQ267" s="430">
        <v>2189.11</v>
      </c>
      <c r="CR267" s="430">
        <v>12430964.847536521</v>
      </c>
      <c r="CS267" s="430">
        <v>1717516.8474996644</v>
      </c>
      <c r="CT267" s="430">
        <v>4135763.3066697591</v>
      </c>
      <c r="CU267" s="430">
        <v>1240058.6900063292</v>
      </c>
      <c r="CV267" s="430">
        <v>-379017</v>
      </c>
      <c r="CW267" s="430">
        <v>66500.480603518256</v>
      </c>
      <c r="CX267" s="430">
        <v>4139.8999999999996</v>
      </c>
      <c r="CY267" s="430">
        <v>15311931.77424065</v>
      </c>
      <c r="CZ267" s="519"/>
      <c r="DA267" s="524">
        <v>25114.956750000001</v>
      </c>
      <c r="DB267" s="524">
        <v>2030.3640643185902</v>
      </c>
      <c r="DC267" s="520">
        <f t="shared" si="141"/>
        <v>-1</v>
      </c>
      <c r="DD267" s="440">
        <v>6588</v>
      </c>
      <c r="DE267" s="450">
        <v>15194832.995053768</v>
      </c>
      <c r="DF267" s="440">
        <v>10975519.678196017</v>
      </c>
      <c r="DG267" s="440">
        <v>2268730.1002999996</v>
      </c>
      <c r="DH267" s="440">
        <v>1229392.0245999999</v>
      </c>
      <c r="DI267" s="440">
        <v>1707085.7332255417</v>
      </c>
      <c r="DJ267" s="440">
        <v>1244968.2785224654</v>
      </c>
      <c r="DK267" s="440">
        <v>482606.31541533151</v>
      </c>
      <c r="DL267" s="440">
        <v>-294267</v>
      </c>
      <c r="DM267" s="440">
        <v>-2100</v>
      </c>
      <c r="DN267" s="440">
        <v>67924.583634340917</v>
      </c>
      <c r="DO267" s="457">
        <f t="shared" si="142"/>
        <v>2485026.7188399285</v>
      </c>
      <c r="DP267" s="459">
        <f t="shared" si="143"/>
        <v>377.20502714631579</v>
      </c>
      <c r="DQ267" s="440"/>
      <c r="DR267" s="450">
        <v>43310916</v>
      </c>
      <c r="DS267" s="440">
        <v>25684234.814905092</v>
      </c>
      <c r="DT267" s="440">
        <v>1844088.0368999999</v>
      </c>
      <c r="DU267" s="440">
        <v>12420568.307536524</v>
      </c>
      <c r="DV267" s="440">
        <v>4152137.4478289732</v>
      </c>
      <c r="DW267" s="440">
        <v>1972363.1002999996</v>
      </c>
      <c r="DX267" s="457">
        <f t="shared" si="144"/>
        <v>2762475.7074705884</v>
      </c>
      <c r="DY267" s="459">
        <f t="shared" si="145"/>
        <v>419.31932414550522</v>
      </c>
      <c r="DZ267" s="440"/>
      <c r="EA267" s="457">
        <f t="shared" si="146"/>
        <v>-277448.98863065988</v>
      </c>
      <c r="EB267" s="459">
        <f t="shared" si="147"/>
        <v>-42.114296999189413</v>
      </c>
      <c r="ED267" s="457">
        <v>304892.71807438479</v>
      </c>
      <c r="EE267" s="458">
        <v>197536.28479645288</v>
      </c>
      <c r="EF267" s="458">
        <v>91544.149044632621</v>
      </c>
      <c r="EG267" s="458">
        <v>3893.8659346328063</v>
      </c>
      <c r="EH267" s="459">
        <v>-2537.3341102756494</v>
      </c>
    </row>
    <row r="268" spans="1:138" x14ac:dyDescent="0.2">
      <c r="A268" s="67">
        <v>831</v>
      </c>
      <c r="B268" s="67" t="s">
        <v>383</v>
      </c>
      <c r="C268" s="67">
        <v>9</v>
      </c>
      <c r="D268" s="67">
        <v>4559</v>
      </c>
      <c r="E268" s="82">
        <v>12751220.260736706</v>
      </c>
      <c r="F268" s="67">
        <v>7475786.1065955684</v>
      </c>
      <c r="G268" s="67">
        <v>2138893</v>
      </c>
      <c r="H268" s="67">
        <v>562979.35856485995</v>
      </c>
      <c r="I268" s="67">
        <v>2424044.3478939859</v>
      </c>
      <c r="J268" s="67">
        <v>694468.16748450883</v>
      </c>
      <c r="K268" s="67">
        <v>-33093.436689986636</v>
      </c>
      <c r="L268" s="67">
        <v>-1110649</v>
      </c>
      <c r="M268" s="68">
        <v>-111715.08</v>
      </c>
      <c r="N268" s="68">
        <v>50311.535186301742</v>
      </c>
      <c r="O268" s="68">
        <v>-132682.24748509869</v>
      </c>
      <c r="P268" s="168">
        <f t="shared" si="113"/>
        <v>-792877.50918656518</v>
      </c>
      <c r="Q268" s="169">
        <f t="shared" si="114"/>
        <v>-173.91478595888685</v>
      </c>
      <c r="R268" s="67"/>
      <c r="S268" s="82">
        <v>29166419.73</v>
      </c>
      <c r="T268" s="67">
        <v>18511433.890985563</v>
      </c>
      <c r="U268" s="67">
        <v>846131.10634696868</v>
      </c>
      <c r="V268" s="67">
        <v>5950599.0702150818</v>
      </c>
      <c r="W268" s="67">
        <v>2316145.1856104983</v>
      </c>
      <c r="X268" s="67">
        <v>916528.92</v>
      </c>
      <c r="Y268" s="168">
        <f t="shared" si="115"/>
        <v>-625581.55684188753</v>
      </c>
      <c r="Z268" s="169">
        <f t="shared" si="116"/>
        <v>-137.21902979642192</v>
      </c>
      <c r="AA268" s="67"/>
      <c r="AB268" s="77">
        <f t="shared" si="117"/>
        <v>-167295.95234467764</v>
      </c>
      <c r="AC268" s="123">
        <f t="shared" si="118"/>
        <v>-36.695756162464939</v>
      </c>
      <c r="AE268" s="170"/>
      <c r="AF268" s="177">
        <v>104145.26335454821</v>
      </c>
      <c r="AG268" s="177">
        <v>23880.755824173677</v>
      </c>
      <c r="AH268" s="177">
        <v>-13588.544909091612</v>
      </c>
      <c r="AI268" s="178">
        <v>-21464.063208707525</v>
      </c>
      <c r="AK268" s="67">
        <f t="shared" si="119"/>
        <v>11035647.784389995</v>
      </c>
      <c r="AL268" s="67">
        <f t="shared" si="120"/>
        <v>283151.74778210872</v>
      </c>
      <c r="AM268" s="67">
        <f t="shared" si="121"/>
        <v>3526554.7223210959</v>
      </c>
      <c r="AN268" s="67">
        <f t="shared" si="122"/>
        <v>16415199.469263295</v>
      </c>
      <c r="AO268" s="67">
        <f t="shared" si="123"/>
        <v>0</v>
      </c>
      <c r="AP268" s="67">
        <f t="shared" si="124"/>
        <v>104145.26335454821</v>
      </c>
      <c r="AQ268" s="67">
        <f t="shared" si="125"/>
        <v>23880.755824173677</v>
      </c>
      <c r="AR268" s="67">
        <f t="shared" si="126"/>
        <v>-13588.544909091612</v>
      </c>
      <c r="AS268" s="67">
        <f t="shared" si="127"/>
        <v>-21464.063208707525</v>
      </c>
      <c r="AT268" s="68">
        <v>1639</v>
      </c>
      <c r="AU268" s="68"/>
      <c r="AV268" s="68"/>
      <c r="AW268" s="68">
        <v>0</v>
      </c>
      <c r="AX268" s="68">
        <v>3524.1659824235353</v>
      </c>
      <c r="AY268" s="68">
        <v>186.96950357376781</v>
      </c>
      <c r="AZ268" s="68">
        <v>1630.3041900245137</v>
      </c>
      <c r="BA268" s="299"/>
      <c r="BB268" s="67"/>
      <c r="BC268" s="67"/>
      <c r="BD268" s="67"/>
      <c r="BE268" s="67"/>
      <c r="BF268" s="67"/>
      <c r="BG268" s="67"/>
      <c r="BH268" s="67"/>
      <c r="BN268" s="299"/>
      <c r="BO268" s="67">
        <v>13266073.005336922</v>
      </c>
      <c r="BP268" s="67">
        <v>14803316.339999998</v>
      </c>
      <c r="BQ268" s="67">
        <v>16097000</v>
      </c>
      <c r="BR268" s="67">
        <v>412294.46</v>
      </c>
      <c r="BS268" s="67">
        <v>439000</v>
      </c>
      <c r="BT268" s="428">
        <v>0.59615305056211654</v>
      </c>
      <c r="BU268" s="428">
        <v>0.33464287704132478</v>
      </c>
      <c r="BV268" s="67">
        <f t="shared" si="128"/>
        <v>5115138.3037570985</v>
      </c>
      <c r="BW268" s="299"/>
      <c r="BX268" s="67">
        <v>29230313</v>
      </c>
      <c r="BY268" s="67">
        <v>13266073.005336922</v>
      </c>
      <c r="BZ268" s="67">
        <v>21902802.525791984</v>
      </c>
      <c r="CA268" s="67">
        <v>10390585.847782165</v>
      </c>
      <c r="CB268" s="67">
        <f t="shared" si="129"/>
        <v>277912.73515392723</v>
      </c>
      <c r="CC268" s="67">
        <f t="shared" si="130"/>
        <v>-137.21902979642209</v>
      </c>
      <c r="CD268" s="67">
        <f t="shared" si="131"/>
        <v>-76.593351580950539</v>
      </c>
      <c r="CE268" s="67">
        <f t="shared" si="132"/>
        <v>60.625678215471552</v>
      </c>
      <c r="CF268" s="67">
        <f t="shared" si="133"/>
        <v>-45.625678215471552</v>
      </c>
      <c r="CG268" s="67">
        <f t="shared" si="134"/>
        <v>-30.625678215471552</v>
      </c>
      <c r="CH268" s="67">
        <f t="shared" si="135"/>
        <v>-15.625678215471552</v>
      </c>
      <c r="CI268" s="67">
        <f t="shared" si="136"/>
        <v>-0.62567821547155233</v>
      </c>
      <c r="CJ268" s="67">
        <f t="shared" si="137"/>
        <v>-208007.46698433481</v>
      </c>
      <c r="CK268" s="67">
        <f t="shared" si="138"/>
        <v>-139622.46698433481</v>
      </c>
      <c r="CL268" s="67">
        <f t="shared" si="139"/>
        <v>-71237.466984334809</v>
      </c>
      <c r="CM268" s="67">
        <f t="shared" si="140"/>
        <v>-2852.466984334807</v>
      </c>
      <c r="CN268" s="299"/>
      <c r="CO268" s="430">
        <v>18511.433890985565</v>
      </c>
      <c r="CP268" s="430">
        <v>846.13110634696864</v>
      </c>
      <c r="CQ268" s="430">
        <v>2138.893</v>
      </c>
      <c r="CR268" s="430">
        <v>5950599.0702150818</v>
      </c>
      <c r="CS268" s="430">
        <v>2424044.3478939859</v>
      </c>
      <c r="CT268" s="430">
        <v>2316145.1856104983</v>
      </c>
      <c r="CU268" s="430">
        <v>694468.16748450883</v>
      </c>
      <c r="CV268" s="430">
        <v>-1110649</v>
      </c>
      <c r="CW268" s="430">
        <v>50311.535186301742</v>
      </c>
      <c r="CX268" s="430">
        <v>-111715.08</v>
      </c>
      <c r="CY268" s="430">
        <v>12751220.260736706</v>
      </c>
      <c r="CZ268" s="519"/>
      <c r="DA268" s="524">
        <v>18753.462289999999</v>
      </c>
      <c r="DB268" s="524">
        <v>839.5137945498177</v>
      </c>
      <c r="DC268" s="520">
        <f t="shared" si="141"/>
        <v>-1</v>
      </c>
      <c r="DD268" s="440">
        <v>4595</v>
      </c>
      <c r="DE268" s="450">
        <v>13266073.005336922</v>
      </c>
      <c r="DF268" s="440">
        <v>7740466.2179821646</v>
      </c>
      <c r="DG268" s="440">
        <v>2143603.8130000001</v>
      </c>
      <c r="DH268" s="440">
        <v>506515.81679999997</v>
      </c>
      <c r="DI268" s="440">
        <v>2416768.8688298585</v>
      </c>
      <c r="DJ268" s="440">
        <v>698162.67396883247</v>
      </c>
      <c r="DK268" s="440">
        <v>277484.27787702432</v>
      </c>
      <c r="DL268" s="440">
        <v>-1110649</v>
      </c>
      <c r="DM268" s="440">
        <v>-79900</v>
      </c>
      <c r="DN268" s="440">
        <v>51030.577784418434</v>
      </c>
      <c r="DO268" s="457">
        <f t="shared" si="142"/>
        <v>-622589.75909462199</v>
      </c>
      <c r="DP268" s="459">
        <f t="shared" si="143"/>
        <v>-135.4928746669471</v>
      </c>
      <c r="DQ268" s="440"/>
      <c r="DR268" s="450">
        <v>29230313</v>
      </c>
      <c r="DS268" s="440">
        <v>18999424.987591982</v>
      </c>
      <c r="DT268" s="440">
        <v>759773.72519999999</v>
      </c>
      <c r="DU268" s="440">
        <v>5943343.450215077</v>
      </c>
      <c r="DV268" s="440">
        <v>2328466.8639933462</v>
      </c>
      <c r="DW268" s="440">
        <v>953054.81300000008</v>
      </c>
      <c r="DX268" s="457">
        <f t="shared" si="144"/>
        <v>-246249.15999959409</v>
      </c>
      <c r="DY268" s="459">
        <f t="shared" si="145"/>
        <v>-53.590676822544957</v>
      </c>
      <c r="DZ268" s="440"/>
      <c r="EA268" s="457">
        <f t="shared" si="146"/>
        <v>-376340.59909502789</v>
      </c>
      <c r="EB268" s="459">
        <f t="shared" si="147"/>
        <v>-81.902197844402153</v>
      </c>
      <c r="ED268" s="457">
        <v>395482.05883909186</v>
      </c>
      <c r="EE268" s="458">
        <v>320603.0650758713</v>
      </c>
      <c r="EF268" s="458">
        <v>246675.64191563844</v>
      </c>
      <c r="EG268" s="458">
        <v>172281.49374737311</v>
      </c>
      <c r="EH268" s="459">
        <v>98870.858621939828</v>
      </c>
    </row>
    <row r="269" spans="1:138" x14ac:dyDescent="0.2">
      <c r="A269" s="67">
        <v>832</v>
      </c>
      <c r="B269" s="67" t="s">
        <v>384</v>
      </c>
      <c r="C269" s="67">
        <v>17</v>
      </c>
      <c r="D269" s="67">
        <v>3825</v>
      </c>
      <c r="E269" s="82">
        <v>13738682.894841015</v>
      </c>
      <c r="F269" s="67">
        <v>4207382.6451333594</v>
      </c>
      <c r="G269" s="67">
        <v>936108</v>
      </c>
      <c r="H269" s="67">
        <v>1298523.579629031</v>
      </c>
      <c r="I269" s="67">
        <v>5105834.2117434861</v>
      </c>
      <c r="J269" s="67">
        <v>768234.853000134</v>
      </c>
      <c r="K269" s="67">
        <v>1787696.6757000433</v>
      </c>
      <c r="L269" s="67">
        <v>-162958</v>
      </c>
      <c r="M269" s="68">
        <v>43147.76</v>
      </c>
      <c r="N269" s="68">
        <v>30336.806936432542</v>
      </c>
      <c r="O269" s="68">
        <v>-111320.37653663139</v>
      </c>
      <c r="P269" s="168">
        <f t="shared" si="113"/>
        <v>164303.26076483971</v>
      </c>
      <c r="Q269" s="169">
        <f t="shared" si="114"/>
        <v>42.955100853552864</v>
      </c>
      <c r="R269" s="67"/>
      <c r="S269" s="82">
        <v>32449457.840000011</v>
      </c>
      <c r="T269" s="67">
        <v>10379287.42902421</v>
      </c>
      <c r="U269" s="67">
        <v>1951618.9649474623</v>
      </c>
      <c r="V269" s="67">
        <v>18068151.252684325</v>
      </c>
      <c r="W269" s="67">
        <v>2562167.0502761239</v>
      </c>
      <c r="X269" s="67">
        <v>816297.76</v>
      </c>
      <c r="Y269" s="168">
        <f t="shared" si="115"/>
        <v>1328064.616932109</v>
      </c>
      <c r="Z269" s="169">
        <f t="shared" si="116"/>
        <v>347.20643579924416</v>
      </c>
      <c r="AA269" s="67"/>
      <c r="AB269" s="77">
        <f t="shared" si="117"/>
        <v>-1163761.3561672694</v>
      </c>
      <c r="AC269" s="123">
        <f t="shared" si="118"/>
        <v>-304.25133494569133</v>
      </c>
      <c r="AE269" s="170"/>
      <c r="AF269" s="177">
        <v>1110777.9419564239</v>
      </c>
      <c r="AG269" s="177">
        <v>1043436.0377441662</v>
      </c>
      <c r="AH269" s="177">
        <v>980235.56996914162</v>
      </c>
      <c r="AI269" s="178">
        <v>916253.01184322999</v>
      </c>
      <c r="AK269" s="67">
        <f t="shared" si="119"/>
        <v>6171904.7838908508</v>
      </c>
      <c r="AL269" s="67">
        <f t="shared" si="120"/>
        <v>653095.3853184313</v>
      </c>
      <c r="AM269" s="67">
        <f t="shared" si="121"/>
        <v>12962317.04094084</v>
      </c>
      <c r="AN269" s="67">
        <f t="shared" si="122"/>
        <v>18710774.945158996</v>
      </c>
      <c r="AO269" s="67">
        <f t="shared" si="123"/>
        <v>0</v>
      </c>
      <c r="AP269" s="67">
        <f t="shared" si="124"/>
        <v>1110777.9419564239</v>
      </c>
      <c r="AQ269" s="67">
        <f t="shared" si="125"/>
        <v>1043436.0377441662</v>
      </c>
      <c r="AR269" s="67">
        <f t="shared" si="126"/>
        <v>980235.56996914162</v>
      </c>
      <c r="AS269" s="67">
        <f t="shared" si="127"/>
        <v>916253.01184322999</v>
      </c>
      <c r="AT269" s="68">
        <v>1700</v>
      </c>
      <c r="AU269" s="68"/>
      <c r="AV269" s="68"/>
      <c r="AW269" s="68">
        <v>92</v>
      </c>
      <c r="AX269" s="68">
        <v>10986.140825962022</v>
      </c>
      <c r="AY269" s="68">
        <v>-2004.2126426115781</v>
      </c>
      <c r="AZ269" s="68">
        <v>1798.0746690510975</v>
      </c>
      <c r="BA269" s="299"/>
      <c r="BB269" s="67"/>
      <c r="BC269" s="67"/>
      <c r="BD269" s="67"/>
      <c r="BE269" s="67"/>
      <c r="BF269" s="67"/>
      <c r="BG269" s="67"/>
      <c r="BH269" s="67"/>
      <c r="BN269" s="299"/>
      <c r="BO269" s="67">
        <v>15300405.096064862</v>
      </c>
      <c r="BP269" s="67">
        <v>17499985.040000007</v>
      </c>
      <c r="BQ269" s="67">
        <v>18095000</v>
      </c>
      <c r="BR269" s="67">
        <v>320908.11000000004</v>
      </c>
      <c r="BS269" s="67">
        <v>277000</v>
      </c>
      <c r="BT269" s="428">
        <v>0.59463665748690908</v>
      </c>
      <c r="BU269" s="428">
        <v>0.33464287704132484</v>
      </c>
      <c r="BV269" s="67">
        <f t="shared" si="128"/>
        <v>16543945.913916871</v>
      </c>
      <c r="BW269" s="299"/>
      <c r="BX269" s="67">
        <v>33902850</v>
      </c>
      <c r="BY269" s="67">
        <v>15300405.096064862</v>
      </c>
      <c r="BZ269" s="67">
        <v>13214424.004446821</v>
      </c>
      <c r="CA269" s="67">
        <v>6407575.702000523</v>
      </c>
      <c r="CB269" s="67">
        <f t="shared" si="129"/>
        <v>1776501.150278833</v>
      </c>
      <c r="CC269" s="67">
        <f t="shared" si="130"/>
        <v>347.20643579924496</v>
      </c>
      <c r="CD269" s="67">
        <f t="shared" si="131"/>
        <v>69.131532517715215</v>
      </c>
      <c r="CE269" s="67">
        <f t="shared" si="132"/>
        <v>-278.07490328152971</v>
      </c>
      <c r="CF269" s="67">
        <f t="shared" si="133"/>
        <v>263.07490328152971</v>
      </c>
      <c r="CG269" s="67">
        <f t="shared" si="134"/>
        <v>248.07490328152971</v>
      </c>
      <c r="CH269" s="67">
        <f t="shared" si="135"/>
        <v>233.07490328152971</v>
      </c>
      <c r="CI269" s="67">
        <f t="shared" si="136"/>
        <v>218.07490328152971</v>
      </c>
      <c r="CJ269" s="67">
        <f t="shared" si="137"/>
        <v>1006261.5050518512</v>
      </c>
      <c r="CK269" s="67">
        <f t="shared" si="138"/>
        <v>948886.50505185116</v>
      </c>
      <c r="CL269" s="67">
        <f t="shared" si="139"/>
        <v>891511.50505185116</v>
      </c>
      <c r="CM269" s="67">
        <f t="shared" si="140"/>
        <v>834136.50505185116</v>
      </c>
      <c r="CN269" s="299"/>
      <c r="CO269" s="430">
        <v>10379.287429024211</v>
      </c>
      <c r="CP269" s="430">
        <v>1951.6189649474622</v>
      </c>
      <c r="CQ269" s="430">
        <v>936.10799999999995</v>
      </c>
      <c r="CR269" s="430">
        <v>18068151.252684325</v>
      </c>
      <c r="CS269" s="430">
        <v>5105834.2117434861</v>
      </c>
      <c r="CT269" s="430">
        <v>2562167.0502761239</v>
      </c>
      <c r="CU269" s="430">
        <v>768234.853000134</v>
      </c>
      <c r="CV269" s="430">
        <v>-162958</v>
      </c>
      <c r="CW269" s="430">
        <v>30336.806936432542</v>
      </c>
      <c r="CX269" s="430">
        <v>43147.76</v>
      </c>
      <c r="CY269" s="430">
        <v>13738682.894841015</v>
      </c>
      <c r="CZ269" s="519"/>
      <c r="DA269" s="524">
        <v>10558.955970000001</v>
      </c>
      <c r="DB269" s="524">
        <v>1936.3559407888772</v>
      </c>
      <c r="DC269" s="520">
        <f t="shared" si="141"/>
        <v>-1</v>
      </c>
      <c r="DD269" s="440">
        <v>3913</v>
      </c>
      <c r="DE269" s="450">
        <v>15300405.096064862</v>
      </c>
      <c r="DF269" s="440">
        <v>4295776.3954005223</v>
      </c>
      <c r="DG269" s="440">
        <v>943510.0584000001</v>
      </c>
      <c r="DH269" s="440">
        <v>1168289.2482</v>
      </c>
      <c r="DI269" s="440">
        <v>5099673.7818799363</v>
      </c>
      <c r="DJ269" s="440">
        <v>770008.82818160555</v>
      </c>
      <c r="DK269" s="440">
        <v>1776586.5202539766</v>
      </c>
      <c r="DL269" s="440">
        <v>-82873</v>
      </c>
      <c r="DM269" s="440">
        <v>54600</v>
      </c>
      <c r="DN269" s="440">
        <v>30172.938147370944</v>
      </c>
      <c r="DO269" s="457">
        <f t="shared" si="142"/>
        <v>-1244660.3256014511</v>
      </c>
      <c r="DP269" s="459">
        <f t="shared" si="143"/>
        <v>-318.08339524698471</v>
      </c>
      <c r="DQ269" s="440"/>
      <c r="DR269" s="450">
        <v>33902850</v>
      </c>
      <c r="DS269" s="440">
        <v>10518480.073746821</v>
      </c>
      <c r="DT269" s="440">
        <v>1752433.8723000002</v>
      </c>
      <c r="DU269" s="440">
        <v>18062006.902684331</v>
      </c>
      <c r="DV269" s="440">
        <v>2568083.497232703</v>
      </c>
      <c r="DW269" s="440">
        <v>915237.0584000001</v>
      </c>
      <c r="DX269" s="457">
        <f t="shared" si="144"/>
        <v>-86608.59563614428</v>
      </c>
      <c r="DY269" s="459">
        <f t="shared" si="145"/>
        <v>-22.133553702055785</v>
      </c>
      <c r="DZ269" s="440"/>
      <c r="EA269" s="457">
        <f t="shared" si="146"/>
        <v>-1158051.7299653068</v>
      </c>
      <c r="EB269" s="459">
        <f t="shared" si="147"/>
        <v>-295.94984154492892</v>
      </c>
      <c r="ED269" s="457">
        <v>1174352.1721804314</v>
      </c>
      <c r="EE269" s="458">
        <v>1110586.8832586727</v>
      </c>
      <c r="EF269" s="458">
        <v>1047631.9307394145</v>
      </c>
      <c r="EG269" s="458">
        <v>984279.52556369686</v>
      </c>
      <c r="EH269" s="459">
        <v>921764.65826319193</v>
      </c>
    </row>
    <row r="270" spans="1:138" x14ac:dyDescent="0.2">
      <c r="A270" s="67">
        <v>833</v>
      </c>
      <c r="B270" s="67" t="s">
        <v>385</v>
      </c>
      <c r="C270" s="67">
        <v>2</v>
      </c>
      <c r="D270" s="67">
        <v>1691</v>
      </c>
      <c r="E270" s="82">
        <v>4869301.1016669152</v>
      </c>
      <c r="F270" s="67">
        <v>1971839.597190418</v>
      </c>
      <c r="G270" s="67">
        <v>1265310</v>
      </c>
      <c r="H270" s="67">
        <v>221935.24270185948</v>
      </c>
      <c r="I270" s="67">
        <v>496476.05412676313</v>
      </c>
      <c r="J270" s="67">
        <v>330926.08099855878</v>
      </c>
      <c r="K270" s="67">
        <v>395052.00360282487</v>
      </c>
      <c r="L270" s="67">
        <v>-377556</v>
      </c>
      <c r="M270" s="68">
        <v>-75898.399999999994</v>
      </c>
      <c r="N270" s="68">
        <v>15829.840392444641</v>
      </c>
      <c r="O270" s="68">
        <v>-49213.792607436255</v>
      </c>
      <c r="P270" s="168">
        <f t="shared" si="113"/>
        <v>-674600.47526148276</v>
      </c>
      <c r="Q270" s="169">
        <f t="shared" si="114"/>
        <v>-398.93582215344929</v>
      </c>
      <c r="R270" s="67"/>
      <c r="S270" s="82">
        <v>12118914.209999999</v>
      </c>
      <c r="T270" s="67">
        <v>5421523.1183039527</v>
      </c>
      <c r="U270" s="67">
        <v>333558.07737500349</v>
      </c>
      <c r="V270" s="67">
        <v>4332031.4020713689</v>
      </c>
      <c r="W270" s="67">
        <v>1103683.1998708695</v>
      </c>
      <c r="X270" s="67">
        <v>811855.6</v>
      </c>
      <c r="Y270" s="168">
        <f t="shared" si="115"/>
        <v>-116262.81237880327</v>
      </c>
      <c r="Z270" s="169">
        <f t="shared" si="116"/>
        <v>-68.753880768068171</v>
      </c>
      <c r="AA270" s="67"/>
      <c r="AB270" s="77">
        <f t="shared" si="117"/>
        <v>-558337.66288267949</v>
      </c>
      <c r="AC270" s="123">
        <f t="shared" si="118"/>
        <v>-330.18194138538115</v>
      </c>
      <c r="AE270" s="170"/>
      <c r="AF270" s="177">
        <v>534914.14564593288</v>
      </c>
      <c r="AG270" s="177">
        <v>505142.86197980802</v>
      </c>
      <c r="AH270" s="177">
        <v>477202.47217390826</v>
      </c>
      <c r="AI270" s="178">
        <v>448916.32686909341</v>
      </c>
      <c r="AK270" s="67">
        <f t="shared" si="119"/>
        <v>3449683.5211135345</v>
      </c>
      <c r="AL270" s="67">
        <f t="shared" si="120"/>
        <v>111622.83467314401</v>
      </c>
      <c r="AM270" s="67">
        <f t="shared" si="121"/>
        <v>3835555.3479446056</v>
      </c>
      <c r="AN270" s="67">
        <f t="shared" si="122"/>
        <v>7249613.1083330838</v>
      </c>
      <c r="AO270" s="67">
        <f t="shared" si="123"/>
        <v>0</v>
      </c>
      <c r="AP270" s="67">
        <f t="shared" si="124"/>
        <v>534914.14564593288</v>
      </c>
      <c r="AQ270" s="67">
        <f t="shared" si="125"/>
        <v>505142.86197980802</v>
      </c>
      <c r="AR270" s="67">
        <f t="shared" si="126"/>
        <v>477202.47217390826</v>
      </c>
      <c r="AS270" s="67">
        <f t="shared" si="127"/>
        <v>448916.32686909341</v>
      </c>
      <c r="AT270" s="68">
        <v>568</v>
      </c>
      <c r="AU270" s="68"/>
      <c r="AV270" s="68"/>
      <c r="AW270" s="68">
        <v>23</v>
      </c>
      <c r="AX270" s="68">
        <v>3240.0088114224127</v>
      </c>
      <c r="AY270" s="68">
        <v>-300.57687604140136</v>
      </c>
      <c r="AZ270" s="68">
        <v>773.99557247688995</v>
      </c>
      <c r="BA270" s="299"/>
      <c r="BB270" s="67"/>
      <c r="BC270" s="67"/>
      <c r="BD270" s="67"/>
      <c r="BE270" s="67"/>
      <c r="BF270" s="67"/>
      <c r="BG270" s="67"/>
      <c r="BH270" s="67"/>
      <c r="BN270" s="299"/>
      <c r="BO270" s="67">
        <v>5255478.5797276869</v>
      </c>
      <c r="BP270" s="67">
        <v>6484386.1399999997</v>
      </c>
      <c r="BQ270" s="67">
        <v>7269000</v>
      </c>
      <c r="BR270" s="67">
        <v>133687.44</v>
      </c>
      <c r="BS270" s="67">
        <v>136000</v>
      </c>
      <c r="BT270" s="428">
        <v>0.63629416417442475</v>
      </c>
      <c r="BU270" s="428">
        <v>0.33464287704132484</v>
      </c>
      <c r="BV270" s="67">
        <f t="shared" si="128"/>
        <v>5003364.4704197412</v>
      </c>
      <c r="BW270" s="299"/>
      <c r="BX270" s="67">
        <v>12300846</v>
      </c>
      <c r="BY270" s="67">
        <v>5255478.5797276869</v>
      </c>
      <c r="BZ270" s="67">
        <v>6976385.2261170223</v>
      </c>
      <c r="CA270" s="67">
        <v>3461848.4630756485</v>
      </c>
      <c r="CB270" s="67">
        <f t="shared" si="129"/>
        <v>460312.27252131229</v>
      </c>
      <c r="CC270" s="67">
        <f t="shared" si="130"/>
        <v>-68.753880768069067</v>
      </c>
      <c r="CD270" s="67">
        <f t="shared" si="131"/>
        <v>-331.23974792167866</v>
      </c>
      <c r="CE270" s="67">
        <f t="shared" si="132"/>
        <v>-262.4858671536096</v>
      </c>
      <c r="CF270" s="67">
        <f t="shared" si="133"/>
        <v>247.4858671536096</v>
      </c>
      <c r="CG270" s="67">
        <f t="shared" si="134"/>
        <v>232.4858671536096</v>
      </c>
      <c r="CH270" s="67">
        <f t="shared" si="135"/>
        <v>217.4858671536096</v>
      </c>
      <c r="CI270" s="67">
        <f t="shared" si="136"/>
        <v>202.4858671536096</v>
      </c>
      <c r="CJ270" s="67">
        <f t="shared" si="137"/>
        <v>418498.60135675385</v>
      </c>
      <c r="CK270" s="67">
        <f t="shared" si="138"/>
        <v>393133.60135675385</v>
      </c>
      <c r="CL270" s="67">
        <f t="shared" si="139"/>
        <v>367768.60135675385</v>
      </c>
      <c r="CM270" s="67">
        <f t="shared" si="140"/>
        <v>342403.60135675385</v>
      </c>
      <c r="CN270" s="299"/>
      <c r="CO270" s="430">
        <v>5421.5231183039523</v>
      </c>
      <c r="CP270" s="430">
        <v>333.55807737500351</v>
      </c>
      <c r="CQ270" s="430">
        <v>1265.31</v>
      </c>
      <c r="CR270" s="430">
        <v>4332031.4020713689</v>
      </c>
      <c r="CS270" s="430">
        <v>496476.05412676313</v>
      </c>
      <c r="CT270" s="430">
        <v>1103683.1998708695</v>
      </c>
      <c r="CU270" s="430">
        <v>330926.08099855878</v>
      </c>
      <c r="CV270" s="430">
        <v>-377556</v>
      </c>
      <c r="CW270" s="430">
        <v>15829.840392444641</v>
      </c>
      <c r="CX270" s="430">
        <v>-75898.399999999994</v>
      </c>
      <c r="CY270" s="430">
        <v>4869301.1016669152</v>
      </c>
      <c r="CZ270" s="519"/>
      <c r="DA270" s="524">
        <v>5482.3312400000004</v>
      </c>
      <c r="DB270" s="524">
        <v>330.94978148695293</v>
      </c>
      <c r="DC270" s="520">
        <f t="shared" si="141"/>
        <v>-1</v>
      </c>
      <c r="DD270" s="440">
        <v>1677</v>
      </c>
      <c r="DE270" s="450">
        <v>5255478.5797276869</v>
      </c>
      <c r="DF270" s="440">
        <v>1988003.7990756487</v>
      </c>
      <c r="DG270" s="440">
        <v>1274168.23</v>
      </c>
      <c r="DH270" s="440">
        <v>199676.43400000001</v>
      </c>
      <c r="DI270" s="440">
        <v>493870.8750052274</v>
      </c>
      <c r="DJ270" s="440">
        <v>331456.43728755764</v>
      </c>
      <c r="DK270" s="440">
        <v>460471.57373023202</v>
      </c>
      <c r="DL270" s="440">
        <v>-377556</v>
      </c>
      <c r="DM270" s="440">
        <v>-96000</v>
      </c>
      <c r="DN270" s="440">
        <v>15579.001566671874</v>
      </c>
      <c r="DO270" s="457">
        <f t="shared" si="142"/>
        <v>-965808.22906234954</v>
      </c>
      <c r="DP270" s="459">
        <f t="shared" si="143"/>
        <v>-575.91426896979704</v>
      </c>
      <c r="DQ270" s="440"/>
      <c r="DR270" s="450">
        <v>12300846</v>
      </c>
      <c r="DS270" s="440">
        <v>5402702.3451170223</v>
      </c>
      <c r="DT270" s="440">
        <v>299514.65100000001</v>
      </c>
      <c r="DU270" s="440">
        <v>4329434.612071367</v>
      </c>
      <c r="DV270" s="440">
        <v>1105452.0097644476</v>
      </c>
      <c r="DW270" s="440">
        <v>800612.23</v>
      </c>
      <c r="DX270" s="457">
        <f t="shared" si="144"/>
        <v>-363130.15204716474</v>
      </c>
      <c r="DY270" s="459">
        <f t="shared" si="145"/>
        <v>-216.53557069002071</v>
      </c>
      <c r="DZ270" s="440"/>
      <c r="EA270" s="457">
        <f t="shared" si="146"/>
        <v>-602678.0770151848</v>
      </c>
      <c r="EB270" s="459">
        <f t="shared" si="147"/>
        <v>-359.37869827977624</v>
      </c>
      <c r="ED270" s="457">
        <v>609663.98082167038</v>
      </c>
      <c r="EE270" s="458">
        <v>582335.99985520227</v>
      </c>
      <c r="EF270" s="458">
        <v>555355.30591837736</v>
      </c>
      <c r="EG270" s="458">
        <v>528204.27512878401</v>
      </c>
      <c r="EH270" s="459">
        <v>501412.18914285343</v>
      </c>
    </row>
    <row r="271" spans="1:138" x14ac:dyDescent="0.2">
      <c r="A271" s="67">
        <v>834</v>
      </c>
      <c r="B271" s="67" t="s">
        <v>386</v>
      </c>
      <c r="C271" s="67">
        <v>5</v>
      </c>
      <c r="D271" s="67">
        <v>5879</v>
      </c>
      <c r="E271" s="82">
        <v>14614528.238327086</v>
      </c>
      <c r="F271" s="67">
        <v>9080219.7617299184</v>
      </c>
      <c r="G271" s="67">
        <v>1896996</v>
      </c>
      <c r="H271" s="67">
        <v>1245857.7967875309</v>
      </c>
      <c r="I271" s="67">
        <v>2969865.3503980516</v>
      </c>
      <c r="J271" s="67">
        <v>1112092.7463454101</v>
      </c>
      <c r="K271" s="67">
        <v>1391778.2660274548</v>
      </c>
      <c r="L271" s="67">
        <v>-1432150</v>
      </c>
      <c r="M271" s="68">
        <v>30804.57</v>
      </c>
      <c r="N271" s="68">
        <v>59135.597073999001</v>
      </c>
      <c r="O271" s="68">
        <v>-171098.69115264207</v>
      </c>
      <c r="P271" s="168">
        <f t="shared" si="113"/>
        <v>1568973.158882638</v>
      </c>
      <c r="Q271" s="169">
        <f t="shared" si="114"/>
        <v>266.87755721766251</v>
      </c>
      <c r="R271" s="67"/>
      <c r="S271" s="82">
        <v>37372383.350000001</v>
      </c>
      <c r="T271" s="67">
        <v>21757598.925271012</v>
      </c>
      <c r="U271" s="67">
        <v>1872464.8069408438</v>
      </c>
      <c r="V271" s="67">
        <v>11974150.132287506</v>
      </c>
      <c r="W271" s="67">
        <v>3708979.5918655051</v>
      </c>
      <c r="X271" s="67">
        <v>495650.57</v>
      </c>
      <c r="Y271" s="168">
        <f t="shared" si="115"/>
        <v>2436460.6763648614</v>
      </c>
      <c r="Z271" s="169">
        <f t="shared" si="116"/>
        <v>414.43454267134911</v>
      </c>
      <c r="AA271" s="67"/>
      <c r="AB271" s="77">
        <f t="shared" si="117"/>
        <v>-867487.51748222345</v>
      </c>
      <c r="AC271" s="123">
        <f t="shared" si="118"/>
        <v>-147.55698545368659</v>
      </c>
      <c r="AE271" s="170"/>
      <c r="AF271" s="177">
        <v>786052.35613697674</v>
      </c>
      <c r="AG271" s="177">
        <v>682548.28950590151</v>
      </c>
      <c r="AH271" s="177">
        <v>585409.58361064119</v>
      </c>
      <c r="AI271" s="178">
        <v>487068.80995776958</v>
      </c>
      <c r="AK271" s="67">
        <f t="shared" si="119"/>
        <v>12677379.163541093</v>
      </c>
      <c r="AL271" s="67">
        <f t="shared" si="120"/>
        <v>626607.01015331293</v>
      </c>
      <c r="AM271" s="67">
        <f t="shared" si="121"/>
        <v>9004284.7818894535</v>
      </c>
      <c r="AN271" s="67">
        <f t="shared" si="122"/>
        <v>22757855.111672916</v>
      </c>
      <c r="AO271" s="67">
        <f t="shared" si="123"/>
        <v>0</v>
      </c>
      <c r="AP271" s="67">
        <f t="shared" si="124"/>
        <v>786052.35613697674</v>
      </c>
      <c r="AQ271" s="67">
        <f t="shared" si="125"/>
        <v>682548.28950590151</v>
      </c>
      <c r="AR271" s="67">
        <f t="shared" si="126"/>
        <v>585409.58361064119</v>
      </c>
      <c r="AS271" s="67">
        <f t="shared" si="127"/>
        <v>487068.80995776958</v>
      </c>
      <c r="AT271" s="68">
        <v>2851</v>
      </c>
      <c r="AU271" s="68"/>
      <c r="AV271" s="68"/>
      <c r="AW271" s="68">
        <v>2</v>
      </c>
      <c r="AX271" s="68">
        <v>7874.2264260995889</v>
      </c>
      <c r="AY271" s="68">
        <v>-1190.4230156592787</v>
      </c>
      <c r="AZ271" s="68">
        <v>2609.4100476463555</v>
      </c>
      <c r="BA271" s="299"/>
      <c r="BB271" s="67"/>
      <c r="BC271" s="67"/>
      <c r="BD271" s="67"/>
      <c r="BE271" s="67"/>
      <c r="BF271" s="67"/>
      <c r="BG271" s="67"/>
      <c r="BH271" s="67"/>
      <c r="BN271" s="299"/>
      <c r="BO271" s="67">
        <v>16397377.940659322</v>
      </c>
      <c r="BP271" s="67">
        <v>21097125.270000003</v>
      </c>
      <c r="BQ271" s="67">
        <v>22075000</v>
      </c>
      <c r="BR271" s="67">
        <v>403849.15</v>
      </c>
      <c r="BS271" s="67">
        <v>445000</v>
      </c>
      <c r="BT271" s="428">
        <v>0.58266443862133033</v>
      </c>
      <c r="BU271" s="428">
        <v>0.33464287704132489</v>
      </c>
      <c r="BV271" s="67">
        <f t="shared" si="128"/>
        <v>12992949.893437006</v>
      </c>
      <c r="BW271" s="299"/>
      <c r="BX271" s="67">
        <v>38960912</v>
      </c>
      <c r="BY271" s="67">
        <v>16397377.940659322</v>
      </c>
      <c r="BZ271" s="67">
        <v>24967849.619503934</v>
      </c>
      <c r="CA271" s="67">
        <v>12062471.266890025</v>
      </c>
      <c r="CB271" s="67">
        <f t="shared" si="129"/>
        <v>1172530.5465812886</v>
      </c>
      <c r="CC271" s="67">
        <f t="shared" si="130"/>
        <v>414.43454267134985</v>
      </c>
      <c r="CD271" s="67">
        <f t="shared" si="131"/>
        <v>258.68755410598959</v>
      </c>
      <c r="CE271" s="67">
        <f t="shared" si="132"/>
        <v>-155.74698856536025</v>
      </c>
      <c r="CF271" s="67">
        <f t="shared" si="133"/>
        <v>140.74698856536025</v>
      </c>
      <c r="CG271" s="67">
        <f t="shared" si="134"/>
        <v>125.74698856536025</v>
      </c>
      <c r="CH271" s="67">
        <f t="shared" si="135"/>
        <v>110.74698856536025</v>
      </c>
      <c r="CI271" s="67">
        <f t="shared" si="136"/>
        <v>95.746988565360255</v>
      </c>
      <c r="CJ271" s="67">
        <f t="shared" si="137"/>
        <v>827451.54577575298</v>
      </c>
      <c r="CK271" s="67">
        <f t="shared" si="138"/>
        <v>739266.54577575298</v>
      </c>
      <c r="CL271" s="67">
        <f t="shared" si="139"/>
        <v>651081.54577575298</v>
      </c>
      <c r="CM271" s="67">
        <f t="shared" si="140"/>
        <v>562896.54577575298</v>
      </c>
      <c r="CN271" s="299"/>
      <c r="CO271" s="430">
        <v>21757.598925271013</v>
      </c>
      <c r="CP271" s="430">
        <v>1872.4648069408438</v>
      </c>
      <c r="CQ271" s="430">
        <v>1896.9960000000001</v>
      </c>
      <c r="CR271" s="430">
        <v>11974150.132287506</v>
      </c>
      <c r="CS271" s="430">
        <v>2969865.3503980516</v>
      </c>
      <c r="CT271" s="430">
        <v>3708979.5918655051</v>
      </c>
      <c r="CU271" s="430">
        <v>1112092.7463454101</v>
      </c>
      <c r="CV271" s="430">
        <v>-1432150</v>
      </c>
      <c r="CW271" s="430">
        <v>59135.597073999001</v>
      </c>
      <c r="CX271" s="430">
        <v>30804.57</v>
      </c>
      <c r="CY271" s="430">
        <v>14614528.238327086</v>
      </c>
      <c r="CZ271" s="519"/>
      <c r="DA271" s="524">
        <v>22077.7585</v>
      </c>
      <c r="DB271" s="524">
        <v>1857.8209811695779</v>
      </c>
      <c r="DC271" s="520">
        <f t="shared" si="141"/>
        <v>-1</v>
      </c>
      <c r="DD271" s="440">
        <v>5967</v>
      </c>
      <c r="DE271" s="450">
        <v>16397377.940659322</v>
      </c>
      <c r="DF271" s="440">
        <v>9043070.3350900244</v>
      </c>
      <c r="DG271" s="440">
        <v>1898495.3959999999</v>
      </c>
      <c r="DH271" s="440">
        <v>1120905.5358</v>
      </c>
      <c r="DI271" s="440">
        <v>2960409.6481496603</v>
      </c>
      <c r="DJ271" s="440">
        <v>1117455.6917004087</v>
      </c>
      <c r="DK271" s="440">
        <v>1173682.0982292539</v>
      </c>
      <c r="DL271" s="440">
        <v>-1432150</v>
      </c>
      <c r="DM271" s="440">
        <v>-47500</v>
      </c>
      <c r="DN271" s="440">
        <v>57206.090910222898</v>
      </c>
      <c r="DO271" s="457">
        <f t="shared" si="142"/>
        <v>-505803.14477975294</v>
      </c>
      <c r="DP271" s="459">
        <f t="shared" si="143"/>
        <v>-84.7667412065951</v>
      </c>
      <c r="DQ271" s="440"/>
      <c r="DR271" s="450">
        <v>38960912</v>
      </c>
      <c r="DS271" s="440">
        <v>21387995.919803932</v>
      </c>
      <c r="DT271" s="440">
        <v>1681358.3037</v>
      </c>
      <c r="DU271" s="440">
        <v>11964721.532287501</v>
      </c>
      <c r="DV271" s="440">
        <v>3726865.7393467641</v>
      </c>
      <c r="DW271" s="440">
        <v>418845.39599999995</v>
      </c>
      <c r="DX271" s="457">
        <f t="shared" si="144"/>
        <v>218874.89113819599</v>
      </c>
      <c r="DY271" s="459">
        <f t="shared" si="145"/>
        <v>36.680893436935811</v>
      </c>
      <c r="DZ271" s="440"/>
      <c r="EA271" s="457">
        <f t="shared" si="146"/>
        <v>-724678.03591794893</v>
      </c>
      <c r="EB271" s="459">
        <f t="shared" si="147"/>
        <v>-121.4476346435309</v>
      </c>
      <c r="ED271" s="457">
        <v>749534.85643869289</v>
      </c>
      <c r="EE271" s="458">
        <v>652298.0869533529</v>
      </c>
      <c r="EF271" s="458">
        <v>556297.01317813864</v>
      </c>
      <c r="EG271" s="458">
        <v>459689.85711284168</v>
      </c>
      <c r="EH271" s="459">
        <v>364359.87674429757</v>
      </c>
    </row>
    <row r="272" spans="1:138" x14ac:dyDescent="0.2">
      <c r="A272" s="67">
        <v>837</v>
      </c>
      <c r="B272" s="67" t="s">
        <v>387</v>
      </c>
      <c r="C272" s="67">
        <v>6</v>
      </c>
      <c r="D272" s="67">
        <v>249009</v>
      </c>
      <c r="E272" s="82">
        <v>637647731.24774694</v>
      </c>
      <c r="F272" s="67">
        <v>370046560.45182782</v>
      </c>
      <c r="G272" s="67">
        <v>97853240</v>
      </c>
      <c r="H272" s="67">
        <v>84081766.270966381</v>
      </c>
      <c r="I272" s="67">
        <v>17343849.385402337</v>
      </c>
      <c r="J272" s="67">
        <v>35099220.606925175</v>
      </c>
      <c r="K272" s="67">
        <v>-34624134.581396133</v>
      </c>
      <c r="L272" s="67">
        <v>78609285</v>
      </c>
      <c r="M272" s="68">
        <v>18643085.620000001</v>
      </c>
      <c r="N272" s="68">
        <v>2830192.5094360174</v>
      </c>
      <c r="O272" s="68">
        <v>-7247000.1675843252</v>
      </c>
      <c r="P272" s="168">
        <f t="shared" si="113"/>
        <v>24988333.847830389</v>
      </c>
      <c r="Q272" s="169">
        <f t="shared" si="114"/>
        <v>100.35112725977932</v>
      </c>
      <c r="R272" s="67"/>
      <c r="S272" s="82">
        <v>1563763508.3099999</v>
      </c>
      <c r="T272" s="67">
        <v>964477861.78891313</v>
      </c>
      <c r="U272" s="67">
        <v>126370881.69594696</v>
      </c>
      <c r="V272" s="67">
        <v>179548345.77027142</v>
      </c>
      <c r="W272" s="67">
        <v>117060643.86201537</v>
      </c>
      <c r="X272" s="67">
        <v>195105610.62</v>
      </c>
      <c r="Y272" s="168">
        <f t="shared" si="115"/>
        <v>18799835.427146912</v>
      </c>
      <c r="Z272" s="169">
        <f t="shared" si="116"/>
        <v>75.498618231256344</v>
      </c>
      <c r="AA272" s="67"/>
      <c r="AB272" s="77">
        <f t="shared" si="117"/>
        <v>6188498.4206834771</v>
      </c>
      <c r="AC272" s="123">
        <f t="shared" si="118"/>
        <v>24.852509028522974</v>
      </c>
      <c r="AE272" s="170"/>
      <c r="AF272" s="177">
        <v>-2167469.4636190683</v>
      </c>
      <c r="AG272" s="177">
        <v>-362955.41574354307</v>
      </c>
      <c r="AH272" s="177">
        <v>-742195.65239482187</v>
      </c>
      <c r="AI272" s="178">
        <v>-1172350.2775909305</v>
      </c>
      <c r="AK272" s="67">
        <f t="shared" si="119"/>
        <v>594431301.33708525</v>
      </c>
      <c r="AL272" s="67">
        <f t="shared" si="120"/>
        <v>42289115.424980581</v>
      </c>
      <c r="AM272" s="67">
        <f t="shared" si="121"/>
        <v>162204496.3848691</v>
      </c>
      <c r="AN272" s="67">
        <f t="shared" si="122"/>
        <v>926115777.062253</v>
      </c>
      <c r="AO272" s="67">
        <f t="shared" si="123"/>
        <v>0</v>
      </c>
      <c r="AP272" s="67">
        <f t="shared" si="124"/>
        <v>-2167469.4636190683</v>
      </c>
      <c r="AQ272" s="67">
        <f t="shared" si="125"/>
        <v>-362955.41574354307</v>
      </c>
      <c r="AR272" s="67">
        <f t="shared" si="126"/>
        <v>-742195.65239482187</v>
      </c>
      <c r="AS272" s="67">
        <f t="shared" si="127"/>
        <v>-1172350.2775909305</v>
      </c>
      <c r="AT272" s="68">
        <v>106710</v>
      </c>
      <c r="AU272" s="68"/>
      <c r="AV272" s="68"/>
      <c r="AW272" s="68">
        <v>2831</v>
      </c>
      <c r="AX272" s="68">
        <v>158132.69600585083</v>
      </c>
      <c r="AY272" s="68">
        <v>12822.457587895351</v>
      </c>
      <c r="AZ272" s="68">
        <v>81865.033504743973</v>
      </c>
      <c r="BA272" s="299"/>
      <c r="BB272" s="67"/>
      <c r="BC272" s="67"/>
      <c r="BD272" s="67"/>
      <c r="BE272" s="67"/>
      <c r="BF272" s="67"/>
      <c r="BG272" s="67"/>
      <c r="BH272" s="67"/>
      <c r="BN272" s="299"/>
      <c r="BO272" s="67">
        <v>612988511.5950675</v>
      </c>
      <c r="BP272" s="67">
        <v>856262242.88999999</v>
      </c>
      <c r="BQ272" s="67">
        <v>897916000</v>
      </c>
      <c r="BR272" s="67">
        <v>17853891.139999993</v>
      </c>
      <c r="BS272" s="67">
        <v>19365000</v>
      </c>
      <c r="BT272" s="428">
        <v>0.61632446413496145</v>
      </c>
      <c r="BU272" s="428">
        <v>0.33464287704132478</v>
      </c>
      <c r="BV272" s="67">
        <f t="shared" si="128"/>
        <v>209541785.05856314</v>
      </c>
      <c r="BW272" s="299"/>
      <c r="BX272" s="67">
        <v>1526086912</v>
      </c>
      <c r="BY272" s="67">
        <v>612988511.5950675</v>
      </c>
      <c r="BZ272" s="67">
        <v>1130496433.4941938</v>
      </c>
      <c r="CA272" s="67">
        <v>531555704.62385404</v>
      </c>
      <c r="CB272" s="67">
        <f t="shared" si="129"/>
        <v>-53952374.90264073</v>
      </c>
      <c r="CC272" s="67">
        <f t="shared" si="130"/>
        <v>75.498618231256344</v>
      </c>
      <c r="CD272" s="67">
        <f t="shared" si="131"/>
        <v>51.833844134830706</v>
      </c>
      <c r="CE272" s="67">
        <f t="shared" si="132"/>
        <v>-23.664774096425639</v>
      </c>
      <c r="CF272" s="67">
        <f t="shared" si="133"/>
        <v>8.6647740964256386</v>
      </c>
      <c r="CG272" s="67">
        <f t="shared" si="134"/>
        <v>0</v>
      </c>
      <c r="CH272" s="67">
        <f t="shared" si="135"/>
        <v>0</v>
      </c>
      <c r="CI272" s="67">
        <f t="shared" si="136"/>
        <v>0</v>
      </c>
      <c r="CJ272" s="67">
        <f t="shared" si="137"/>
        <v>2157606.732976852</v>
      </c>
      <c r="CK272" s="67">
        <f t="shared" si="138"/>
        <v>0</v>
      </c>
      <c r="CL272" s="67">
        <f t="shared" si="139"/>
        <v>0</v>
      </c>
      <c r="CM272" s="67">
        <f t="shared" si="140"/>
        <v>0</v>
      </c>
      <c r="CN272" s="299"/>
      <c r="CO272" s="430">
        <v>964477.86178891314</v>
      </c>
      <c r="CP272" s="430">
        <v>126370.88169594696</v>
      </c>
      <c r="CQ272" s="430">
        <v>97853.24</v>
      </c>
      <c r="CR272" s="430">
        <v>179548345.77027142</v>
      </c>
      <c r="CS272" s="430">
        <v>17343849.385402337</v>
      </c>
      <c r="CT272" s="430">
        <v>117060643.86201537</v>
      </c>
      <c r="CU272" s="430">
        <v>35099220.606925175</v>
      </c>
      <c r="CV272" s="430">
        <v>78609285</v>
      </c>
      <c r="CW272" s="430">
        <v>2830192.5094360174</v>
      </c>
      <c r="CX272" s="430">
        <v>18643085.620000001</v>
      </c>
      <c r="CY272" s="430">
        <v>637647731.24774694</v>
      </c>
      <c r="CZ272" s="519"/>
      <c r="DA272" s="524">
        <v>966314.03782000009</v>
      </c>
      <c r="DB272" s="524">
        <v>125365.65852176576</v>
      </c>
      <c r="DC272" s="520">
        <f t="shared" si="141"/>
        <v>-1</v>
      </c>
      <c r="DD272" s="440">
        <v>244223</v>
      </c>
      <c r="DE272" s="450">
        <v>612988511.5950675</v>
      </c>
      <c r="DF272" s="440">
        <v>357633464.14045399</v>
      </c>
      <c r="DG272" s="440">
        <v>98273384.317000017</v>
      </c>
      <c r="DH272" s="440">
        <v>75648856.1664</v>
      </c>
      <c r="DI272" s="440">
        <v>16965891.741859745</v>
      </c>
      <c r="DJ272" s="440">
        <v>35057942.588837191</v>
      </c>
      <c r="DK272" s="440">
        <v>-53845192.491937794</v>
      </c>
      <c r="DL272" s="440">
        <v>72471777</v>
      </c>
      <c r="DM272" s="440">
        <v>17014000</v>
      </c>
      <c r="DN272" s="440">
        <v>2654944.0744332806</v>
      </c>
      <c r="DO272" s="457">
        <f t="shared" si="142"/>
        <v>8886555.9419789314</v>
      </c>
      <c r="DP272" s="459">
        <f t="shared" si="143"/>
        <v>36.387055854603915</v>
      </c>
      <c r="DQ272" s="440"/>
      <c r="DR272" s="450">
        <v>1526086912</v>
      </c>
      <c r="DS272" s="440">
        <v>918749764.92759383</v>
      </c>
      <c r="DT272" s="440">
        <v>113473284.24960001</v>
      </c>
      <c r="DU272" s="440">
        <v>179171682.19027096</v>
      </c>
      <c r="DV272" s="440">
        <v>116922976.09358117</v>
      </c>
      <c r="DW272" s="440">
        <v>187759161.31700003</v>
      </c>
      <c r="DX272" s="457">
        <f t="shared" si="144"/>
        <v>-10010043.221953869</v>
      </c>
      <c r="DY272" s="459">
        <f t="shared" si="145"/>
        <v>-40.987307591643166</v>
      </c>
      <c r="DZ272" s="440"/>
      <c r="EA272" s="457">
        <f t="shared" si="146"/>
        <v>18896599.1639328</v>
      </c>
      <c r="EB272" s="459">
        <f t="shared" si="147"/>
        <v>77.374363446247074</v>
      </c>
      <c r="ED272" s="457">
        <v>-17879235.785679467</v>
      </c>
      <c r="EE272" s="458">
        <v>-14532343.934501018</v>
      </c>
      <c r="EF272" s="458">
        <v>-11134876.364634108</v>
      </c>
      <c r="EG272" s="458">
        <v>-7762215.1019786689</v>
      </c>
      <c r="EH272" s="459">
        <v>-4337280.388646502</v>
      </c>
    </row>
    <row r="273" spans="1:138" x14ac:dyDescent="0.2">
      <c r="A273" s="67">
        <v>844</v>
      </c>
      <c r="B273" s="67" t="s">
        <v>388</v>
      </c>
      <c r="C273" s="67">
        <v>11</v>
      </c>
      <c r="D273" s="67">
        <v>1441</v>
      </c>
      <c r="E273" s="82">
        <v>3582098.8993459977</v>
      </c>
      <c r="F273" s="67">
        <v>1758601.3963634495</v>
      </c>
      <c r="G273" s="67">
        <v>542065</v>
      </c>
      <c r="H273" s="67">
        <v>415054.73647527496</v>
      </c>
      <c r="I273" s="67">
        <v>596041.59890105226</v>
      </c>
      <c r="J273" s="67">
        <v>363373.84519539867</v>
      </c>
      <c r="K273" s="67">
        <v>35954.557710946181</v>
      </c>
      <c r="L273" s="67">
        <v>-322421</v>
      </c>
      <c r="M273" s="68">
        <v>342508.89</v>
      </c>
      <c r="N273" s="68">
        <v>11077.389348966401</v>
      </c>
      <c r="O273" s="68">
        <v>-41937.951003734859</v>
      </c>
      <c r="P273" s="168">
        <f t="shared" si="113"/>
        <v>118219.56364535549</v>
      </c>
      <c r="Q273" s="169">
        <f t="shared" si="114"/>
        <v>82.039947012738025</v>
      </c>
      <c r="R273" s="67"/>
      <c r="S273" s="82">
        <v>12448049.280000001</v>
      </c>
      <c r="T273" s="67">
        <v>4041975.9543062495</v>
      </c>
      <c r="U273" s="67">
        <v>623807.45941312134</v>
      </c>
      <c r="V273" s="67">
        <v>6001915.2214789763</v>
      </c>
      <c r="W273" s="67">
        <v>1211900.8783003301</v>
      </c>
      <c r="X273" s="67">
        <v>562152.89</v>
      </c>
      <c r="Y273" s="168">
        <f t="shared" si="115"/>
        <v>-6296.8765013255179</v>
      </c>
      <c r="Z273" s="169">
        <f t="shared" si="116"/>
        <v>-4.3697963229184715</v>
      </c>
      <c r="AA273" s="67"/>
      <c r="AB273" s="77">
        <f t="shared" si="117"/>
        <v>124516.44014668101</v>
      </c>
      <c r="AC273" s="123">
        <f t="shared" si="118"/>
        <v>86.409743335656501</v>
      </c>
      <c r="AE273" s="170"/>
      <c r="AF273" s="177">
        <v>-101246.98913434701</v>
      </c>
      <c r="AG273" s="177">
        <v>-83386.841152611902</v>
      </c>
      <c r="AH273" s="177">
        <v>-63966.48143073234</v>
      </c>
      <c r="AI273" s="178">
        <v>-44840.760191369882</v>
      </c>
      <c r="AK273" s="67">
        <f t="shared" si="119"/>
        <v>2283374.5579428002</v>
      </c>
      <c r="AL273" s="67">
        <f t="shared" si="120"/>
        <v>208752.72293784638</v>
      </c>
      <c r="AM273" s="67">
        <f t="shared" si="121"/>
        <v>5405873.6225779243</v>
      </c>
      <c r="AN273" s="67">
        <f t="shared" si="122"/>
        <v>8865950.3806540035</v>
      </c>
      <c r="AO273" s="67">
        <f t="shared" si="123"/>
        <v>0</v>
      </c>
      <c r="AP273" s="67">
        <f t="shared" si="124"/>
        <v>-101246.98913434701</v>
      </c>
      <c r="AQ273" s="67">
        <f t="shared" si="125"/>
        <v>-83386.841152611902</v>
      </c>
      <c r="AR273" s="67">
        <f t="shared" si="126"/>
        <v>-63966.48143073234</v>
      </c>
      <c r="AS273" s="67">
        <f t="shared" si="127"/>
        <v>-44840.760191369882</v>
      </c>
      <c r="AT273" s="68">
        <v>341</v>
      </c>
      <c r="AU273" s="68"/>
      <c r="AV273" s="68"/>
      <c r="AW273" s="68">
        <v>14</v>
      </c>
      <c r="AX273" s="68">
        <v>4718.7442068623395</v>
      </c>
      <c r="AY273" s="68">
        <v>-835.6155610028967</v>
      </c>
      <c r="AZ273" s="68">
        <v>850.32749589453545</v>
      </c>
      <c r="BA273" s="299"/>
      <c r="BB273" s="67"/>
      <c r="BC273" s="67"/>
      <c r="BD273" s="67"/>
      <c r="BE273" s="67"/>
      <c r="BF273" s="67"/>
      <c r="BG273" s="67"/>
      <c r="BH273" s="67"/>
      <c r="BN273" s="299"/>
      <c r="BO273" s="67">
        <v>4083557.7591541447</v>
      </c>
      <c r="BP273" s="67">
        <v>8220122.4199999999</v>
      </c>
      <c r="BQ273" s="67">
        <v>8594000</v>
      </c>
      <c r="BR273" s="67">
        <v>169450.07</v>
      </c>
      <c r="BS273" s="67">
        <v>166000</v>
      </c>
      <c r="BT273" s="428">
        <v>0.56491542348492541</v>
      </c>
      <c r="BU273" s="428">
        <v>0.33464287704132484</v>
      </c>
      <c r="BV273" s="67">
        <f t="shared" si="128"/>
        <v>6290355.2133938018</v>
      </c>
      <c r="BW273" s="299"/>
      <c r="BX273" s="67">
        <v>12900750</v>
      </c>
      <c r="BY273" s="67">
        <v>4083557.7591541447</v>
      </c>
      <c r="BZ273" s="67">
        <v>5181820.6579697682</v>
      </c>
      <c r="CA273" s="67">
        <v>2705651.6407503048</v>
      </c>
      <c r="CB273" s="67">
        <f t="shared" si="129"/>
        <v>31176.88319900713</v>
      </c>
      <c r="CC273" s="67">
        <f t="shared" si="130"/>
        <v>-4.3697963229179067</v>
      </c>
      <c r="CD273" s="67">
        <f t="shared" si="131"/>
        <v>107.82778635471975</v>
      </c>
      <c r="CE273" s="67">
        <f t="shared" si="132"/>
        <v>112.19758267763766</v>
      </c>
      <c r="CF273" s="67">
        <f t="shared" si="133"/>
        <v>-97.197582677637655</v>
      </c>
      <c r="CG273" s="67">
        <f t="shared" si="134"/>
        <v>-82.197582677637655</v>
      </c>
      <c r="CH273" s="67">
        <f t="shared" si="135"/>
        <v>-67.197582677637655</v>
      </c>
      <c r="CI273" s="67">
        <f t="shared" si="136"/>
        <v>-52.197582677637655</v>
      </c>
      <c r="CJ273" s="67">
        <f t="shared" si="137"/>
        <v>-140061.71663847586</v>
      </c>
      <c r="CK273" s="67">
        <f t="shared" si="138"/>
        <v>-118446.71663847586</v>
      </c>
      <c r="CL273" s="67">
        <f t="shared" si="139"/>
        <v>-96831.71663847586</v>
      </c>
      <c r="CM273" s="67">
        <f t="shared" si="140"/>
        <v>-75216.71663847586</v>
      </c>
      <c r="CN273" s="299"/>
      <c r="CO273" s="430">
        <v>4041.9759543062496</v>
      </c>
      <c r="CP273" s="430">
        <v>623.80745941312136</v>
      </c>
      <c r="CQ273" s="430">
        <v>542.06500000000005</v>
      </c>
      <c r="CR273" s="430">
        <v>6001915.2214789763</v>
      </c>
      <c r="CS273" s="430">
        <v>596041.59890105226</v>
      </c>
      <c r="CT273" s="430">
        <v>1211900.8783003301</v>
      </c>
      <c r="CU273" s="430">
        <v>363373.84519539867</v>
      </c>
      <c r="CV273" s="430">
        <v>-322421</v>
      </c>
      <c r="CW273" s="430">
        <v>11077.389348966401</v>
      </c>
      <c r="CX273" s="430">
        <v>342508.89</v>
      </c>
      <c r="CY273" s="430">
        <v>3582098.8993459977</v>
      </c>
      <c r="CZ273" s="519"/>
      <c r="DA273" s="524">
        <v>4079.4601200000002</v>
      </c>
      <c r="DB273" s="524">
        <v>618.92899381764914</v>
      </c>
      <c r="DC273" s="520">
        <f t="shared" si="141"/>
        <v>-1</v>
      </c>
      <c r="DD273" s="440">
        <v>1479</v>
      </c>
      <c r="DE273" s="450">
        <v>4083557.7591541447</v>
      </c>
      <c r="DF273" s="440">
        <v>1811442.1333503046</v>
      </c>
      <c r="DG273" s="440">
        <v>520782.33699999994</v>
      </c>
      <c r="DH273" s="440">
        <v>373427.1704</v>
      </c>
      <c r="DI273" s="440">
        <v>593692.08952434559</v>
      </c>
      <c r="DJ273" s="440">
        <v>364144.87671409571</v>
      </c>
      <c r="DK273" s="440">
        <v>31234.193027492045</v>
      </c>
      <c r="DL273" s="440">
        <v>-322421</v>
      </c>
      <c r="DM273" s="440">
        <v>196200</v>
      </c>
      <c r="DN273" s="440">
        <v>10976.195043475276</v>
      </c>
      <c r="DO273" s="457">
        <f t="shared" si="142"/>
        <v>-504079.76409443188</v>
      </c>
      <c r="DP273" s="459">
        <f t="shared" si="143"/>
        <v>-340.82472217338193</v>
      </c>
      <c r="DQ273" s="440"/>
      <c r="DR273" s="450">
        <v>12900750</v>
      </c>
      <c r="DS273" s="440">
        <v>4100897.5653697676</v>
      </c>
      <c r="DT273" s="440">
        <v>560140.75560000003</v>
      </c>
      <c r="DU273" s="440">
        <v>5999576.4214789765</v>
      </c>
      <c r="DV273" s="440">
        <v>1214472.3726086312</v>
      </c>
      <c r="DW273" s="440">
        <v>394561.33699999994</v>
      </c>
      <c r="DX273" s="457">
        <f t="shared" si="144"/>
        <v>-631101.54794262536</v>
      </c>
      <c r="DY273" s="459">
        <f t="shared" si="145"/>
        <v>-426.70828123233628</v>
      </c>
      <c r="DZ273" s="440"/>
      <c r="EA273" s="457">
        <f t="shared" si="146"/>
        <v>127021.78384819347</v>
      </c>
      <c r="EB273" s="459">
        <f t="shared" si="147"/>
        <v>85.883559058954347</v>
      </c>
      <c r="ED273" s="457">
        <v>-120860.69158236847</v>
      </c>
      <c r="EE273" s="458">
        <v>-100592.11307873479</v>
      </c>
      <c r="EF273" s="458">
        <v>-80017.251023018674</v>
      </c>
      <c r="EG273" s="458">
        <v>-59592.614492194822</v>
      </c>
      <c r="EH273" s="459">
        <v>-38851.413045081834</v>
      </c>
    </row>
    <row r="274" spans="1:138" x14ac:dyDescent="0.2">
      <c r="A274" s="67">
        <v>845</v>
      </c>
      <c r="B274" s="67" t="s">
        <v>389</v>
      </c>
      <c r="C274" s="67">
        <v>19</v>
      </c>
      <c r="D274" s="67">
        <v>2863</v>
      </c>
      <c r="E274" s="82">
        <v>9891864.9454095364</v>
      </c>
      <c r="F274" s="67">
        <v>3246171.2925496418</v>
      </c>
      <c r="G274" s="67">
        <v>2837723</v>
      </c>
      <c r="H274" s="67">
        <v>536696.95609057602</v>
      </c>
      <c r="I274" s="67">
        <v>3252408.7122926884</v>
      </c>
      <c r="J274" s="67">
        <v>570806.76459417446</v>
      </c>
      <c r="K274" s="67">
        <v>-282174.85699863761</v>
      </c>
      <c r="L274" s="67">
        <v>-166857</v>
      </c>
      <c r="M274" s="68">
        <v>1816952.94</v>
      </c>
      <c r="N274" s="68">
        <v>24510.230310024253</v>
      </c>
      <c r="O274" s="68">
        <v>-83322.938045588409</v>
      </c>
      <c r="P274" s="168">
        <f t="shared" si="113"/>
        <v>1861050.1553833419</v>
      </c>
      <c r="Q274" s="169">
        <f t="shared" si="114"/>
        <v>650.03498266969677</v>
      </c>
      <c r="R274" s="67"/>
      <c r="S274" s="82">
        <v>24323957.989999998</v>
      </c>
      <c r="T274" s="67">
        <v>8490408.8434412535</v>
      </c>
      <c r="U274" s="67">
        <v>806629.90982048889</v>
      </c>
      <c r="V274" s="67">
        <v>10216647.660804521</v>
      </c>
      <c r="W274" s="67">
        <v>1903717.6959708424</v>
      </c>
      <c r="X274" s="67">
        <v>4487818.9399999995</v>
      </c>
      <c r="Y274" s="168">
        <f t="shared" si="115"/>
        <v>1581265.06003711</v>
      </c>
      <c r="Z274" s="169">
        <f t="shared" si="116"/>
        <v>552.31053441743279</v>
      </c>
      <c r="AA274" s="67"/>
      <c r="AB274" s="77">
        <f t="shared" si="117"/>
        <v>279785.09534623194</v>
      </c>
      <c r="AC274" s="123">
        <f t="shared" si="118"/>
        <v>97.72444825226404</v>
      </c>
      <c r="AE274" s="170"/>
      <c r="AF274" s="177">
        <v>-233553.00773464737</v>
      </c>
      <c r="AG274" s="177">
        <v>-198068.2029659398</v>
      </c>
      <c r="AH274" s="177">
        <v>-159483.54655806944</v>
      </c>
      <c r="AI274" s="178">
        <v>-121484.28222198704</v>
      </c>
      <c r="AK274" s="67">
        <f t="shared" si="119"/>
        <v>5244237.5508916117</v>
      </c>
      <c r="AL274" s="67">
        <f t="shared" si="120"/>
        <v>269932.95372991287</v>
      </c>
      <c r="AM274" s="67">
        <f t="shared" si="121"/>
        <v>6964238.9485118333</v>
      </c>
      <c r="AN274" s="67">
        <f t="shared" si="122"/>
        <v>14432093.044590462</v>
      </c>
      <c r="AO274" s="67">
        <f t="shared" si="123"/>
        <v>0</v>
      </c>
      <c r="AP274" s="67">
        <f t="shared" si="124"/>
        <v>-233553.00773464737</v>
      </c>
      <c r="AQ274" s="67">
        <f t="shared" si="125"/>
        <v>-198068.2029659398</v>
      </c>
      <c r="AR274" s="67">
        <f t="shared" si="126"/>
        <v>-159483.54655806944</v>
      </c>
      <c r="AS274" s="67">
        <f t="shared" si="127"/>
        <v>-121484.28222198704</v>
      </c>
      <c r="AT274" s="68">
        <v>1885</v>
      </c>
      <c r="AU274" s="68"/>
      <c r="AV274" s="68"/>
      <c r="AW274" s="68">
        <v>819</v>
      </c>
      <c r="AX274" s="68">
        <v>5954.3021648312642</v>
      </c>
      <c r="AY274" s="68">
        <v>-1101.6053076943826</v>
      </c>
      <c r="AZ274" s="68">
        <v>1331.8684926218243</v>
      </c>
      <c r="BA274" s="299"/>
      <c r="BB274" s="67"/>
      <c r="BC274" s="67"/>
      <c r="BD274" s="67"/>
      <c r="BE274" s="67"/>
      <c r="BF274" s="67"/>
      <c r="BG274" s="67"/>
      <c r="BH274" s="67"/>
      <c r="BN274" s="299"/>
      <c r="BO274" s="67">
        <v>10178666.664536508</v>
      </c>
      <c r="BP274" s="67">
        <v>13139993.48</v>
      </c>
      <c r="BQ274" s="67">
        <v>14134000</v>
      </c>
      <c r="BR274" s="67">
        <v>308016.02</v>
      </c>
      <c r="BS274" s="67">
        <v>334000</v>
      </c>
      <c r="BT274" s="428">
        <v>0.6176660803493258</v>
      </c>
      <c r="BU274" s="428">
        <v>0.33464287704132489</v>
      </c>
      <c r="BV274" s="67">
        <f t="shared" si="128"/>
        <v>8014975.0228898637</v>
      </c>
      <c r="BW274" s="299"/>
      <c r="BX274" s="67">
        <v>24093800</v>
      </c>
      <c r="BY274" s="67">
        <v>10178666.664536508</v>
      </c>
      <c r="BZ274" s="67">
        <v>12550298.952977624</v>
      </c>
      <c r="CA274" s="67">
        <v>6775560.6409102529</v>
      </c>
      <c r="CB274" s="67">
        <f t="shared" si="129"/>
        <v>132977.1582189191</v>
      </c>
      <c r="CC274" s="67">
        <f t="shared" si="130"/>
        <v>552.31053441743211</v>
      </c>
      <c r="CD274" s="67">
        <f t="shared" si="131"/>
        <v>824.1442922272048</v>
      </c>
      <c r="CE274" s="67">
        <f t="shared" si="132"/>
        <v>271.83375780977269</v>
      </c>
      <c r="CF274" s="67">
        <f t="shared" si="133"/>
        <v>-256.83375780977269</v>
      </c>
      <c r="CG274" s="67">
        <f t="shared" si="134"/>
        <v>-241.83375780977269</v>
      </c>
      <c r="CH274" s="67">
        <f t="shared" si="135"/>
        <v>-226.83375780977269</v>
      </c>
      <c r="CI274" s="67">
        <f t="shared" si="136"/>
        <v>-211.83375780977269</v>
      </c>
      <c r="CJ274" s="67">
        <f t="shared" si="137"/>
        <v>-735315.04860937921</v>
      </c>
      <c r="CK274" s="67">
        <f t="shared" si="138"/>
        <v>-692370.04860937921</v>
      </c>
      <c r="CL274" s="67">
        <f t="shared" si="139"/>
        <v>-649425.04860937921</v>
      </c>
      <c r="CM274" s="67">
        <f t="shared" si="140"/>
        <v>-606480.04860937921</v>
      </c>
      <c r="CN274" s="299"/>
      <c r="CO274" s="430">
        <v>8490.4088434412533</v>
      </c>
      <c r="CP274" s="430">
        <v>806.62990982048893</v>
      </c>
      <c r="CQ274" s="430">
        <v>2837.723</v>
      </c>
      <c r="CR274" s="430">
        <v>10216647.660804521</v>
      </c>
      <c r="CS274" s="430">
        <v>3252408.7122926884</v>
      </c>
      <c r="CT274" s="430">
        <v>1903717.6959708424</v>
      </c>
      <c r="CU274" s="430">
        <v>570806.76459417446</v>
      </c>
      <c r="CV274" s="430">
        <v>-166857</v>
      </c>
      <c r="CW274" s="430">
        <v>24510.230310024253</v>
      </c>
      <c r="CX274" s="430">
        <v>1816952.94</v>
      </c>
      <c r="CY274" s="430">
        <v>9891864.9454095364</v>
      </c>
      <c r="CZ274" s="519"/>
      <c r="DA274" s="524">
        <v>8805.3457500000004</v>
      </c>
      <c r="DB274" s="524">
        <v>800.32173876350009</v>
      </c>
      <c r="DC274" s="520">
        <f t="shared" si="141"/>
        <v>-1</v>
      </c>
      <c r="DD274" s="440">
        <v>2882</v>
      </c>
      <c r="DE274" s="450">
        <v>10178666.664536508</v>
      </c>
      <c r="DF274" s="440">
        <v>3471183.2581102527</v>
      </c>
      <c r="DG274" s="440">
        <v>2821507.9970000004</v>
      </c>
      <c r="DH274" s="440">
        <v>482869.38579999999</v>
      </c>
      <c r="DI274" s="440">
        <v>3247811.1253090175</v>
      </c>
      <c r="DJ274" s="440">
        <v>570360.34984962479</v>
      </c>
      <c r="DK274" s="440">
        <v>132327.87187121573</v>
      </c>
      <c r="DL274" s="440">
        <v>-107289</v>
      </c>
      <c r="DM274" s="440">
        <v>351700</v>
      </c>
      <c r="DN274" s="440">
        <v>25597.870580521383</v>
      </c>
      <c r="DO274" s="457">
        <f t="shared" si="142"/>
        <v>817402.19398412481</v>
      </c>
      <c r="DP274" s="459">
        <f t="shared" si="143"/>
        <v>283.62324565722582</v>
      </c>
      <c r="DQ274" s="440"/>
      <c r="DR274" s="450">
        <v>24093800</v>
      </c>
      <c r="DS274" s="440">
        <v>9004486.877277622</v>
      </c>
      <c r="DT274" s="440">
        <v>724304.07869999995</v>
      </c>
      <c r="DU274" s="440">
        <v>10212063.45080452</v>
      </c>
      <c r="DV274" s="440">
        <v>1902228.8424714492</v>
      </c>
      <c r="DW274" s="440">
        <v>3065918.9970000004</v>
      </c>
      <c r="DX274" s="457">
        <f t="shared" si="144"/>
        <v>815202.24625359476</v>
      </c>
      <c r="DY274" s="459">
        <f t="shared" si="145"/>
        <v>282.85990501512657</v>
      </c>
      <c r="DZ274" s="440"/>
      <c r="EA274" s="457">
        <f t="shared" si="146"/>
        <v>2199.9477305300534</v>
      </c>
      <c r="EB274" s="459">
        <f t="shared" si="147"/>
        <v>0.76334064209925512</v>
      </c>
      <c r="ED274" s="457">
        <v>9805.6424723851324</v>
      </c>
      <c r="EE274" s="458">
        <v>8271.2245825430236</v>
      </c>
      <c r="EF274" s="458">
        <v>5133.6873577789192</v>
      </c>
      <c r="EG274" s="458">
        <v>1703.4185828190268</v>
      </c>
      <c r="EH274" s="459">
        <v>-1109.9873870392262</v>
      </c>
    </row>
    <row r="275" spans="1:138" x14ac:dyDescent="0.2">
      <c r="A275" s="67">
        <v>846</v>
      </c>
      <c r="B275" s="67" t="s">
        <v>390</v>
      </c>
      <c r="C275" s="67">
        <v>14</v>
      </c>
      <c r="D275" s="67">
        <v>4862</v>
      </c>
      <c r="E275" s="82">
        <v>12090912.521722592</v>
      </c>
      <c r="F275" s="67">
        <v>6887502.5684214244</v>
      </c>
      <c r="G275" s="67">
        <v>1316589</v>
      </c>
      <c r="H275" s="67">
        <v>857855.51002760651</v>
      </c>
      <c r="I275" s="67">
        <v>3415249.6639032313</v>
      </c>
      <c r="J275" s="67">
        <v>1120982.7461237642</v>
      </c>
      <c r="K275" s="67">
        <v>1289942.4905158817</v>
      </c>
      <c r="L275" s="67">
        <v>-550655</v>
      </c>
      <c r="M275" s="68">
        <v>-95.88</v>
      </c>
      <c r="N275" s="68">
        <v>37623.018605346195</v>
      </c>
      <c r="O275" s="68">
        <v>-141500.56750878479</v>
      </c>
      <c r="P275" s="168">
        <f t="shared" si="113"/>
        <v>2142581.0283658789</v>
      </c>
      <c r="Q275" s="169">
        <f t="shared" si="114"/>
        <v>440.67894454255014</v>
      </c>
      <c r="R275" s="67"/>
      <c r="S275" s="82">
        <v>35821903.539999999</v>
      </c>
      <c r="T275" s="67">
        <v>14920252.31237925</v>
      </c>
      <c r="U275" s="67">
        <v>1289315.8883051251</v>
      </c>
      <c r="V275" s="67">
        <v>17644480.444308028</v>
      </c>
      <c r="W275" s="67">
        <v>3738628.9424776365</v>
      </c>
      <c r="X275" s="67">
        <v>765838.12</v>
      </c>
      <c r="Y275" s="168">
        <f t="shared" si="115"/>
        <v>2536612.1674700379</v>
      </c>
      <c r="Z275" s="169">
        <f t="shared" si="116"/>
        <v>521.72195957837062</v>
      </c>
      <c r="AA275" s="67"/>
      <c r="AB275" s="77">
        <f t="shared" si="117"/>
        <v>-394031.13910415908</v>
      </c>
      <c r="AC275" s="123">
        <f t="shared" si="118"/>
        <v>-81.04301503582046</v>
      </c>
      <c r="AE275" s="170"/>
      <c r="AF275" s="177">
        <v>326683.3325961504</v>
      </c>
      <c r="AG275" s="177">
        <v>241084.28990856963</v>
      </c>
      <c r="AH275" s="177">
        <v>160749.47309231592</v>
      </c>
      <c r="AI275" s="178">
        <v>79420.532541157198</v>
      </c>
      <c r="AK275" s="67">
        <f t="shared" si="119"/>
        <v>8032749.7439578259</v>
      </c>
      <c r="AL275" s="67">
        <f t="shared" si="120"/>
        <v>431460.37827751855</v>
      </c>
      <c r="AM275" s="67">
        <f t="shared" si="121"/>
        <v>14229230.780404797</v>
      </c>
      <c r="AN275" s="67">
        <f t="shared" si="122"/>
        <v>23730991.018277407</v>
      </c>
      <c r="AO275" s="67">
        <f t="shared" si="123"/>
        <v>0</v>
      </c>
      <c r="AP275" s="67">
        <f t="shared" si="124"/>
        <v>326683.3325961504</v>
      </c>
      <c r="AQ275" s="67">
        <f t="shared" si="125"/>
        <v>241084.28990856963</v>
      </c>
      <c r="AR275" s="67">
        <f t="shared" si="126"/>
        <v>160749.47309231592</v>
      </c>
      <c r="AS275" s="67">
        <f t="shared" si="127"/>
        <v>79420.532541157198</v>
      </c>
      <c r="AT275" s="68">
        <v>1107</v>
      </c>
      <c r="AU275" s="68"/>
      <c r="AV275" s="68"/>
      <c r="AW275" s="68">
        <v>0</v>
      </c>
      <c r="AX275" s="68">
        <v>12142.384700924373</v>
      </c>
      <c r="AY275" s="68">
        <v>-2552.7766007201926</v>
      </c>
      <c r="AZ275" s="68">
        <v>2627.8777801566725</v>
      </c>
      <c r="BA275" s="299"/>
      <c r="BB275" s="67"/>
      <c r="BC275" s="67"/>
      <c r="BD275" s="67"/>
      <c r="BE275" s="67"/>
      <c r="BF275" s="67"/>
      <c r="BG275" s="67"/>
      <c r="BH275" s="67"/>
      <c r="BN275" s="299"/>
      <c r="BO275" s="67">
        <v>11737353.838939775</v>
      </c>
      <c r="BP275" s="67">
        <v>22026439.100000001</v>
      </c>
      <c r="BQ275" s="67">
        <v>22853000</v>
      </c>
      <c r="BR275" s="67">
        <v>514522.26</v>
      </c>
      <c r="BS275" s="67">
        <v>509000</v>
      </c>
      <c r="BT275" s="428">
        <v>0.53837894800834551</v>
      </c>
      <c r="BU275" s="428">
        <v>0.33464287704132489</v>
      </c>
      <c r="BV275" s="67">
        <f t="shared" si="128"/>
        <v>18136819.467274547</v>
      </c>
      <c r="BW275" s="299"/>
      <c r="BX275" s="67">
        <v>34825772</v>
      </c>
      <c r="BY275" s="67">
        <v>11737353.838939775</v>
      </c>
      <c r="BZ275" s="67">
        <v>18123996.005582251</v>
      </c>
      <c r="CA275" s="67">
        <v>9393286.8595475648</v>
      </c>
      <c r="CB275" s="67">
        <f t="shared" si="129"/>
        <v>1755358.599787209</v>
      </c>
      <c r="CC275" s="67">
        <f t="shared" si="130"/>
        <v>521.7219595783705</v>
      </c>
      <c r="CD275" s="67">
        <f t="shared" si="131"/>
        <v>565.50754939242881</v>
      </c>
      <c r="CE275" s="67">
        <f t="shared" si="132"/>
        <v>43.785589814058312</v>
      </c>
      <c r="CF275" s="67">
        <f t="shared" si="133"/>
        <v>-28.785589814058312</v>
      </c>
      <c r="CG275" s="67">
        <f t="shared" si="134"/>
        <v>-13.785589814058312</v>
      </c>
      <c r="CH275" s="67">
        <f t="shared" si="135"/>
        <v>0</v>
      </c>
      <c r="CI275" s="67">
        <f t="shared" si="136"/>
        <v>0</v>
      </c>
      <c r="CJ275" s="67">
        <f t="shared" si="137"/>
        <v>-139955.53767595152</v>
      </c>
      <c r="CK275" s="67">
        <f t="shared" si="138"/>
        <v>-67025.53767595152</v>
      </c>
      <c r="CL275" s="67">
        <f t="shared" si="139"/>
        <v>0</v>
      </c>
      <c r="CM275" s="67">
        <f t="shared" si="140"/>
        <v>0</v>
      </c>
      <c r="CN275" s="299"/>
      <c r="CO275" s="430">
        <v>14920.252312379251</v>
      </c>
      <c r="CP275" s="430">
        <v>1289.3158883051251</v>
      </c>
      <c r="CQ275" s="430">
        <v>1316.5889999999999</v>
      </c>
      <c r="CR275" s="430">
        <v>17644480.444308028</v>
      </c>
      <c r="CS275" s="430">
        <v>3415249.6639032313</v>
      </c>
      <c r="CT275" s="430">
        <v>3738628.9424776365</v>
      </c>
      <c r="CU275" s="430">
        <v>1120982.7461237642</v>
      </c>
      <c r="CV275" s="430">
        <v>-550655</v>
      </c>
      <c r="CW275" s="430">
        <v>37623.018605346195</v>
      </c>
      <c r="CX275" s="430">
        <v>-95.88</v>
      </c>
      <c r="CY275" s="430">
        <v>12090912.521722592</v>
      </c>
      <c r="CZ275" s="519"/>
      <c r="DA275" s="524">
        <v>15447.76432</v>
      </c>
      <c r="DB275" s="524">
        <v>1279.2339548189202</v>
      </c>
      <c r="DC275" s="520">
        <f t="shared" si="141"/>
        <v>-1</v>
      </c>
      <c r="DD275" s="440">
        <v>4952</v>
      </c>
      <c r="DE275" s="450">
        <v>11737353.838939775</v>
      </c>
      <c r="DF275" s="440">
        <v>7234574.2586475639</v>
      </c>
      <c r="DG275" s="440">
        <v>1386894.9885</v>
      </c>
      <c r="DH275" s="440">
        <v>771817.6124000001</v>
      </c>
      <c r="DI275" s="440">
        <v>3407400.1388231348</v>
      </c>
      <c r="DJ275" s="440">
        <v>1125364.3271504291</v>
      </c>
      <c r="DK275" s="440">
        <v>1754702.8488937281</v>
      </c>
      <c r="DL275" s="440">
        <v>-451698</v>
      </c>
      <c r="DM275" s="440">
        <v>-127785</v>
      </c>
      <c r="DN275" s="440">
        <v>38700.898762694109</v>
      </c>
      <c r="DO275" s="457">
        <f t="shared" si="142"/>
        <v>3402618.2342377752</v>
      </c>
      <c r="DP275" s="459">
        <f t="shared" si="143"/>
        <v>687.1199988363843</v>
      </c>
      <c r="DQ275" s="440"/>
      <c r="DR275" s="450">
        <v>34825772</v>
      </c>
      <c r="DS275" s="440">
        <v>15579374.598482251</v>
      </c>
      <c r="DT275" s="440">
        <v>1157726.4186</v>
      </c>
      <c r="DU275" s="440">
        <v>17636654.314308032</v>
      </c>
      <c r="DV275" s="440">
        <v>3753242.1073071016</v>
      </c>
      <c r="DW275" s="440">
        <v>807411.98849999998</v>
      </c>
      <c r="DX275" s="457">
        <f t="shared" si="144"/>
        <v>4108637.4271973819</v>
      </c>
      <c r="DY275" s="459">
        <f t="shared" si="145"/>
        <v>829.692533763607</v>
      </c>
      <c r="DZ275" s="440"/>
      <c r="EA275" s="457">
        <f t="shared" si="146"/>
        <v>-706019.19295960665</v>
      </c>
      <c r="EB275" s="459">
        <f t="shared" si="147"/>
        <v>-142.57253492722268</v>
      </c>
      <c r="ED275" s="457">
        <v>726647.81290576479</v>
      </c>
      <c r="EE275" s="458">
        <v>645951.23464342125</v>
      </c>
      <c r="EF275" s="458">
        <v>566280.15749663708</v>
      </c>
      <c r="EG275" s="458">
        <v>486106.09400822577</v>
      </c>
      <c r="EH275" s="459">
        <v>406991.95578381984</v>
      </c>
    </row>
    <row r="276" spans="1:138" x14ac:dyDescent="0.2">
      <c r="A276" s="67">
        <v>848</v>
      </c>
      <c r="B276" s="67" t="s">
        <v>391</v>
      </c>
      <c r="C276" s="67">
        <v>12</v>
      </c>
      <c r="D276" s="67">
        <v>4160</v>
      </c>
      <c r="E276" s="82">
        <v>12710886.506523669</v>
      </c>
      <c r="F276" s="67">
        <v>5126136.0306902993</v>
      </c>
      <c r="G276" s="67">
        <v>1015261</v>
      </c>
      <c r="H276" s="67">
        <v>868364.11225935176</v>
      </c>
      <c r="I276" s="67">
        <v>3335424.4040330085</v>
      </c>
      <c r="J276" s="67">
        <v>953909.28539248323</v>
      </c>
      <c r="K276" s="67">
        <v>-123054.75521735846</v>
      </c>
      <c r="L276" s="67">
        <v>537464</v>
      </c>
      <c r="M276" s="68">
        <v>182284.87</v>
      </c>
      <c r="N276" s="68">
        <v>30982.494546862756</v>
      </c>
      <c r="O276" s="68">
        <v>-121070.00428559126</v>
      </c>
      <c r="P276" s="168">
        <f t="shared" ref="P276:P339" si="148">N276+M276+L276+K276+J276+I276+H276+G276+F276-E276+O276</f>
        <v>-905185.06910461432</v>
      </c>
      <c r="Q276" s="169">
        <f t="shared" ref="Q276:Q339" si="149">P276/D276</f>
        <v>-217.5925646886092</v>
      </c>
      <c r="R276" s="67"/>
      <c r="S276" s="82">
        <v>33909035.609999999</v>
      </c>
      <c r="T276" s="67">
        <v>11659653.577484235</v>
      </c>
      <c r="U276" s="67">
        <v>1305109.8159105231</v>
      </c>
      <c r="V276" s="67">
        <v>15218743.321189687</v>
      </c>
      <c r="W276" s="67">
        <v>3181416.3734441213</v>
      </c>
      <c r="X276" s="67">
        <v>1735009.87</v>
      </c>
      <c r="Y276" s="168">
        <f t="shared" ref="Y276:Y339" si="150">X276+W276+V276+U276+T276-S276</f>
        <v>-809102.65197143331</v>
      </c>
      <c r="Z276" s="169">
        <f t="shared" ref="Z276:Z339" si="151">Y276/D276</f>
        <v>-194.49582980082531</v>
      </c>
      <c r="AA276" s="67"/>
      <c r="AB276" s="77">
        <f t="shared" ref="AB276:AB312" si="152">P276-Y276</f>
        <v>-96082.417133181007</v>
      </c>
      <c r="AC276" s="123">
        <f t="shared" ref="AC276:AC339" si="153">AB276/D276</f>
        <v>-23.096734887783896</v>
      </c>
      <c r="AE276" s="170"/>
      <c r="AF276" s="177">
        <v>38458.625468575803</v>
      </c>
      <c r="AG276" s="177">
        <v>-6063.6142849982898</v>
      </c>
      <c r="AH276" s="177">
        <v>-12399.286427247445</v>
      </c>
      <c r="AI276" s="178">
        <v>-19585.545722356506</v>
      </c>
      <c r="AK276" s="67">
        <f t="shared" ref="AK276:AK312" si="154">T276-F276</f>
        <v>6533517.5467939358</v>
      </c>
      <c r="AL276" s="67">
        <f t="shared" ref="AL276:AL312" si="155">U276-H276</f>
        <v>436745.70365117129</v>
      </c>
      <c r="AM276" s="67">
        <f t="shared" ref="AM276:AM312" si="156">V276-I276</f>
        <v>11883318.917156678</v>
      </c>
      <c r="AN276" s="67">
        <f t="shared" ref="AN276:AN312" si="157">S276-E276</f>
        <v>21198149.103476331</v>
      </c>
      <c r="AO276" s="67">
        <f t="shared" ref="AO276:AO312" si="158">AE276</f>
        <v>0</v>
      </c>
      <c r="AP276" s="67">
        <f t="shared" ref="AP276:AP312" si="159">AF276</f>
        <v>38458.625468575803</v>
      </c>
      <c r="AQ276" s="67">
        <f t="shared" ref="AQ276:AQ312" si="160">AG276</f>
        <v>-6063.6142849982898</v>
      </c>
      <c r="AR276" s="67">
        <f t="shared" ref="AR276:AR312" si="161">AH276</f>
        <v>-12399.286427247445</v>
      </c>
      <c r="AS276" s="67">
        <f t="shared" ref="AS276:AS312" si="162">AI276</f>
        <v>-19585.545722356506</v>
      </c>
      <c r="AT276" s="68">
        <v>1862</v>
      </c>
      <c r="AU276" s="68"/>
      <c r="AV276" s="68"/>
      <c r="AW276" s="68">
        <v>0</v>
      </c>
      <c r="AX276" s="68">
        <v>9333.4738634022815</v>
      </c>
      <c r="AY276" s="68">
        <v>-2371.7261331429841</v>
      </c>
      <c r="AZ276" s="68">
        <v>2231.0962699434785</v>
      </c>
      <c r="BA276" s="299"/>
      <c r="BB276" s="67"/>
      <c r="BC276" s="67"/>
      <c r="BD276" s="67"/>
      <c r="BE276" s="67"/>
      <c r="BF276" s="67"/>
      <c r="BG276" s="67"/>
      <c r="BH276" s="67"/>
      <c r="BN276" s="299"/>
      <c r="BO276" s="67">
        <v>12502199.131866369</v>
      </c>
      <c r="BP276" s="67">
        <v>19349244.449999999</v>
      </c>
      <c r="BQ276" s="67">
        <v>20610000</v>
      </c>
      <c r="BR276" s="67">
        <v>544083.11</v>
      </c>
      <c r="BS276" s="67">
        <v>500000</v>
      </c>
      <c r="BT276" s="428">
        <v>0.56035262997956503</v>
      </c>
      <c r="BU276" s="428">
        <v>0.33464287704132484</v>
      </c>
      <c r="BV276" s="67">
        <f t="shared" ref="BV276:BV312" si="163">(V276+W276)-(I276+J276)+K276</f>
        <v>13987771.249990959</v>
      </c>
      <c r="BW276" s="299"/>
      <c r="BX276" s="67">
        <v>32536950</v>
      </c>
      <c r="BY276" s="67">
        <v>12502199.131866369</v>
      </c>
      <c r="BZ276" s="67">
        <v>14241382.809828939</v>
      </c>
      <c r="CA276" s="67">
        <v>7127077.4754453003</v>
      </c>
      <c r="CB276" s="67">
        <f t="shared" ref="CB276:CB339" si="164">((BY276-BX276)-N276+(BZ276-CA276)+AX276*1000+AZ276*1000-AY276*1000-$BY$8)*0.6+(D276*-0.260310389757568)</f>
        <v>589838.05169374088</v>
      </c>
      <c r="CC276" s="67">
        <f t="shared" ref="CC276:CC312" si="165">(-S276+T276+U276+V276+W276+X276)/D276</f>
        <v>-194.49582980082553</v>
      </c>
      <c r="CD276" s="67">
        <f t="shared" ref="CD276:CD312" si="166">(-E276+F276+G276+H276+I276+J276+L276+CB276+M276+N276)/D276</f>
        <v>-17.120735074019809</v>
      </c>
      <c r="CE276" s="67">
        <f t="shared" ref="CE276:CE339" si="167">CD276-CC276</f>
        <v>177.37509472680571</v>
      </c>
      <c r="CF276" s="67">
        <f t="shared" ref="CF276:CF339" si="168">(IF(CE276&lt;-15,-CE276-15,IF(CE276&gt;15,15-CE276,0)))-$BJ$24</f>
        <v>-162.37509472680571</v>
      </c>
      <c r="CG276" s="67">
        <f t="shared" ref="CG276:CG312" si="169">(IF(CE276&lt;-30,-CE276-30,IF(CE276&gt;30,30-CE276,0)))-$BK$24</f>
        <v>-147.37509472680571</v>
      </c>
      <c r="CH276" s="67">
        <f t="shared" ref="CH276:CH312" si="170">(IF(CE276&lt;-45,-CE276-45,IF(CE276&gt;45,45-CE276,0)))-$BL$24</f>
        <v>-132.37509472680571</v>
      </c>
      <c r="CI276" s="67">
        <f t="shared" ref="CI276:CI312" si="171">(IF(CE276&lt;-60,-CE276-60,IF(CE276&gt;60,60-CE276,0)))-$BM$24</f>
        <v>-117.37509472680571</v>
      </c>
      <c r="CJ276" s="67">
        <f t="shared" ref="CJ276:CJ312" si="172">CF276*$D276</f>
        <v>-675480.39406351175</v>
      </c>
      <c r="CK276" s="67">
        <f t="shared" ref="CK276:CK312" si="173">CG276*$D276</f>
        <v>-613080.39406351175</v>
      </c>
      <c r="CL276" s="67">
        <f t="shared" ref="CL276:CL312" si="174">CH276*$D276</f>
        <v>-550680.39406351175</v>
      </c>
      <c r="CM276" s="67">
        <f t="shared" ref="CM276:CM312" si="175">CI276*$D276</f>
        <v>-488280.39406351175</v>
      </c>
      <c r="CN276" s="299"/>
      <c r="CO276" s="430">
        <v>11659.653577484236</v>
      </c>
      <c r="CP276" s="430">
        <v>1305.1098159105231</v>
      </c>
      <c r="CQ276" s="430">
        <v>1015.261</v>
      </c>
      <c r="CR276" s="430">
        <v>15218743.321189687</v>
      </c>
      <c r="CS276" s="430">
        <v>3335424.4040330085</v>
      </c>
      <c r="CT276" s="430">
        <v>3181416.3734441213</v>
      </c>
      <c r="CU276" s="430">
        <v>953909.28539248323</v>
      </c>
      <c r="CV276" s="430">
        <v>537464</v>
      </c>
      <c r="CW276" s="430">
        <v>30982.494546862756</v>
      </c>
      <c r="CX276" s="430">
        <v>182284.87</v>
      </c>
      <c r="CY276" s="430">
        <v>12710886.506523669</v>
      </c>
      <c r="CZ276" s="519"/>
      <c r="DA276" s="524">
        <v>12005.372660000001</v>
      </c>
      <c r="DB276" s="524">
        <v>1294.9029232854164</v>
      </c>
      <c r="DC276" s="520">
        <f t="shared" ref="DC276:DC339" si="176">(CZ276/DB276)-1</f>
        <v>-1</v>
      </c>
      <c r="DD276" s="440">
        <v>4241</v>
      </c>
      <c r="DE276" s="450">
        <v>12502199.131866369</v>
      </c>
      <c r="DF276" s="440">
        <v>5335446.6327453004</v>
      </c>
      <c r="DG276" s="440">
        <v>1010358.5795000001</v>
      </c>
      <c r="DH276" s="440">
        <v>781272.26320000004</v>
      </c>
      <c r="DI276" s="440">
        <v>3328665.1813187399</v>
      </c>
      <c r="DJ276" s="440">
        <v>955446.31930450071</v>
      </c>
      <c r="DK276" s="440">
        <v>589498.60468085529</v>
      </c>
      <c r="DL276" s="440">
        <v>547289</v>
      </c>
      <c r="DM276" s="440">
        <v>134200</v>
      </c>
      <c r="DN276" s="440">
        <v>31535.81294572448</v>
      </c>
      <c r="DO276" s="457">
        <f t="shared" ref="DO276:DO339" si="177">DN276+DM276+DL276+DK276+DJ276+DI276+DH276+DG276+DF276-DE276</f>
        <v>211513.26182875037</v>
      </c>
      <c r="DP276" s="459">
        <f t="shared" ref="DP276:DP339" si="178">DO276/DD276</f>
        <v>49.873440657569056</v>
      </c>
      <c r="DQ276" s="440"/>
      <c r="DR276" s="450">
        <v>32536950</v>
      </c>
      <c r="DS276" s="440">
        <v>12059115.835528938</v>
      </c>
      <c r="DT276" s="440">
        <v>1171908.3948000001</v>
      </c>
      <c r="DU276" s="440">
        <v>15212006.361189684</v>
      </c>
      <c r="DV276" s="440">
        <v>3186542.5892479792</v>
      </c>
      <c r="DW276" s="440">
        <v>1691847.5795</v>
      </c>
      <c r="DX276" s="457">
        <f t="shared" ref="DX276:DX339" si="179">DW276+DV276+DU276+DT276+DS276-DR276</f>
        <v>784470.76026660204</v>
      </c>
      <c r="DY276" s="459">
        <f t="shared" ref="DY276:DY339" si="180">DX276/DD276</f>
        <v>184.97306301971281</v>
      </c>
      <c r="DZ276" s="440"/>
      <c r="EA276" s="457">
        <f t="shared" ref="EA276:EA312" si="181">DO276-DX276</f>
        <v>-572957.49843785167</v>
      </c>
      <c r="EB276" s="459">
        <f t="shared" ref="EB276:EB339" si="182">EA276/DD276</f>
        <v>-135.09962236214375</v>
      </c>
      <c r="ED276" s="457">
        <v>590624.29512437154</v>
      </c>
      <c r="EE276" s="458">
        <v>521513.99859557539</v>
      </c>
      <c r="EF276" s="458">
        <v>453281.96342200681</v>
      </c>
      <c r="EG276" s="458">
        <v>384619.1598569114</v>
      </c>
      <c r="EH276" s="459">
        <v>316864.09923298052</v>
      </c>
    </row>
    <row r="277" spans="1:138" x14ac:dyDescent="0.2">
      <c r="A277" s="67">
        <v>849</v>
      </c>
      <c r="B277" s="67" t="s">
        <v>392</v>
      </c>
      <c r="C277" s="67">
        <v>16</v>
      </c>
      <c r="D277" s="67">
        <v>2903</v>
      </c>
      <c r="E277" s="82">
        <v>12090716.998733215</v>
      </c>
      <c r="F277" s="67">
        <v>3542494.571025786</v>
      </c>
      <c r="G277" s="67">
        <v>792637</v>
      </c>
      <c r="H277" s="67">
        <v>745530.49879938143</v>
      </c>
      <c r="I277" s="67">
        <v>3552337.3410746157</v>
      </c>
      <c r="J277" s="67">
        <v>649154.9506783518</v>
      </c>
      <c r="K277" s="67">
        <v>498711.2717015724</v>
      </c>
      <c r="L277" s="67">
        <v>190724</v>
      </c>
      <c r="M277" s="68">
        <v>-129114.87</v>
      </c>
      <c r="N277" s="68">
        <v>21722.128224040367</v>
      </c>
      <c r="O277" s="68">
        <v>-84487.072702180638</v>
      </c>
      <c r="P277" s="168">
        <f t="shared" si="148"/>
        <v>-2311007.1799316481</v>
      </c>
      <c r="Q277" s="169">
        <f t="shared" si="149"/>
        <v>-796.07550118210406</v>
      </c>
      <c r="R277" s="67"/>
      <c r="S277" s="82">
        <v>24188064.289999999</v>
      </c>
      <c r="T277" s="67">
        <v>8054447.6614126833</v>
      </c>
      <c r="U277" s="67">
        <v>1120496.7574168222</v>
      </c>
      <c r="V277" s="67">
        <v>9722532.6195839308</v>
      </c>
      <c r="W277" s="67">
        <v>2165019.4841542882</v>
      </c>
      <c r="X277" s="67">
        <v>854246.13</v>
      </c>
      <c r="Y277" s="168">
        <f t="shared" si="150"/>
        <v>-2271321.6374322735</v>
      </c>
      <c r="Z277" s="169">
        <f t="shared" si="151"/>
        <v>-782.40497328014931</v>
      </c>
      <c r="AA277" s="67"/>
      <c r="AB277" s="77">
        <f t="shared" si="152"/>
        <v>-39685.542499374598</v>
      </c>
      <c r="AC277" s="123">
        <f t="shared" si="153"/>
        <v>-13.670527901954737</v>
      </c>
      <c r="AE277" s="170"/>
      <c r="AF277" s="177">
        <v>3333.0126917409061</v>
      </c>
      <c r="AG277" s="177">
        <v>-4231.4116032091433</v>
      </c>
      <c r="AH277" s="177">
        <v>-8652.6751197834928</v>
      </c>
      <c r="AI277" s="178">
        <v>-13667.509430769454</v>
      </c>
      <c r="AK277" s="67">
        <f t="shared" si="154"/>
        <v>4511953.0903868973</v>
      </c>
      <c r="AL277" s="67">
        <f t="shared" si="155"/>
        <v>374966.25861744082</v>
      </c>
      <c r="AM277" s="67">
        <f t="shared" si="156"/>
        <v>6170195.2785093151</v>
      </c>
      <c r="AN277" s="67">
        <f t="shared" si="157"/>
        <v>12097347.291266784</v>
      </c>
      <c r="AO277" s="67">
        <f t="shared" si="158"/>
        <v>0</v>
      </c>
      <c r="AP277" s="67">
        <f t="shared" si="159"/>
        <v>3333.0126917409061</v>
      </c>
      <c r="AQ277" s="67">
        <f t="shared" si="160"/>
        <v>-4231.4116032091433</v>
      </c>
      <c r="AR277" s="67">
        <f t="shared" si="161"/>
        <v>-8652.6751197834928</v>
      </c>
      <c r="AS277" s="67">
        <f t="shared" si="162"/>
        <v>-13667.509430769454</v>
      </c>
      <c r="AT277" s="68">
        <v>953</v>
      </c>
      <c r="AU277" s="68"/>
      <c r="AV277" s="68"/>
      <c r="AW277" s="68">
        <v>25</v>
      </c>
      <c r="AX277" s="68">
        <v>4829.1884401675534</v>
      </c>
      <c r="AY277" s="68">
        <v>-1633.7954769767721</v>
      </c>
      <c r="AZ277" s="68">
        <v>1517.9753511777897</v>
      </c>
      <c r="BA277" s="299"/>
      <c r="BB277" s="67"/>
      <c r="BC277" s="67"/>
      <c r="BD277" s="67"/>
      <c r="BE277" s="67"/>
      <c r="BF277" s="67"/>
      <c r="BG277" s="67"/>
      <c r="BH277" s="67"/>
      <c r="BN277" s="299"/>
      <c r="BO277" s="67">
        <v>8531628.1874703523</v>
      </c>
      <c r="BP277" s="67">
        <v>11140445.66</v>
      </c>
      <c r="BQ277" s="67">
        <v>11650000</v>
      </c>
      <c r="BR277" s="67">
        <v>299273.38999999996</v>
      </c>
      <c r="BS277" s="67">
        <v>310000</v>
      </c>
      <c r="BT277" s="428">
        <v>0.56018156428066457</v>
      </c>
      <c r="BU277" s="428">
        <v>0.33464287704132484</v>
      </c>
      <c r="BV277" s="67">
        <f t="shared" si="163"/>
        <v>8184771.083686823</v>
      </c>
      <c r="BW277" s="299"/>
      <c r="BX277" s="67">
        <v>20397993</v>
      </c>
      <c r="BY277" s="67">
        <v>8531628.1874703523</v>
      </c>
      <c r="BZ277" s="67">
        <v>10373535.17221644</v>
      </c>
      <c r="CA277" s="67">
        <v>5290423.6949097393</v>
      </c>
      <c r="CB277" s="67">
        <f t="shared" si="164"/>
        <v>704834.60186361091</v>
      </c>
      <c r="CC277" s="67">
        <f t="shared" si="165"/>
        <v>-782.4049732801501</v>
      </c>
      <c r="CD277" s="67">
        <f t="shared" si="166"/>
        <v>-695.96857632360638</v>
      </c>
      <c r="CE277" s="67">
        <f t="shared" si="167"/>
        <v>86.436396956543717</v>
      </c>
      <c r="CF277" s="67">
        <f t="shared" si="168"/>
        <v>-71.436396956543717</v>
      </c>
      <c r="CG277" s="67">
        <f t="shared" si="169"/>
        <v>-56.436396956543717</v>
      </c>
      <c r="CH277" s="67">
        <f t="shared" si="170"/>
        <v>-41.436396956543717</v>
      </c>
      <c r="CI277" s="67">
        <f t="shared" si="171"/>
        <v>-26.436396956543717</v>
      </c>
      <c r="CJ277" s="67">
        <f t="shared" si="172"/>
        <v>-207379.86036484642</v>
      </c>
      <c r="CK277" s="67">
        <f t="shared" si="173"/>
        <v>-163834.86036484642</v>
      </c>
      <c r="CL277" s="67">
        <f t="shared" si="174"/>
        <v>-120289.8603648464</v>
      </c>
      <c r="CM277" s="67">
        <f t="shared" si="175"/>
        <v>-76744.860364846405</v>
      </c>
      <c r="CN277" s="299"/>
      <c r="CO277" s="430">
        <v>8054.4476614126834</v>
      </c>
      <c r="CP277" s="430">
        <v>1120.4967574168222</v>
      </c>
      <c r="CQ277" s="430">
        <v>792.63699999999994</v>
      </c>
      <c r="CR277" s="430">
        <v>9722532.6195839308</v>
      </c>
      <c r="CS277" s="430">
        <v>3552337.3410746157</v>
      </c>
      <c r="CT277" s="430">
        <v>2165019.4841542882</v>
      </c>
      <c r="CU277" s="430">
        <v>649154.9506783518</v>
      </c>
      <c r="CV277" s="430">
        <v>190724</v>
      </c>
      <c r="CW277" s="430">
        <v>21722.128224040367</v>
      </c>
      <c r="CX277" s="430">
        <v>-129114.87</v>
      </c>
      <c r="CY277" s="430">
        <v>12090716.998733215</v>
      </c>
      <c r="CZ277" s="519"/>
      <c r="DA277" s="524">
        <v>8359.5687500000004</v>
      </c>
      <c r="DB277" s="524">
        <v>1111.7333129281428</v>
      </c>
      <c r="DC277" s="520">
        <f t="shared" si="176"/>
        <v>-1</v>
      </c>
      <c r="DD277" s="440">
        <v>2938</v>
      </c>
      <c r="DE277" s="450">
        <v>8531628.1874703523</v>
      </c>
      <c r="DF277" s="440">
        <v>3817275.2171097398</v>
      </c>
      <c r="DG277" s="440">
        <v>802390.33399999992</v>
      </c>
      <c r="DH277" s="440">
        <v>670758.14380000008</v>
      </c>
      <c r="DI277" s="440">
        <v>3547656.0648892187</v>
      </c>
      <c r="DJ277" s="440">
        <v>650058.88881456386</v>
      </c>
      <c r="DK277" s="440">
        <v>704344.65399877948</v>
      </c>
      <c r="DL277" s="440">
        <v>247305</v>
      </c>
      <c r="DM277" s="440">
        <v>-89500</v>
      </c>
      <c r="DN277" s="440">
        <v>22532.073786020203</v>
      </c>
      <c r="DO277" s="457">
        <f t="shared" si="177"/>
        <v>1841192.188927969</v>
      </c>
      <c r="DP277" s="459">
        <f t="shared" si="178"/>
        <v>626.68216096935635</v>
      </c>
      <c r="DQ277" s="440"/>
      <c r="DR277" s="450">
        <v>20397993</v>
      </c>
      <c r="DS277" s="440">
        <v>8565007.6225164384</v>
      </c>
      <c r="DT277" s="440">
        <v>1006137.2157000001</v>
      </c>
      <c r="DU277" s="440">
        <v>9717859.3795839269</v>
      </c>
      <c r="DV277" s="440">
        <v>2168034.2399923536</v>
      </c>
      <c r="DW277" s="440">
        <v>960195.3339999998</v>
      </c>
      <c r="DX277" s="457">
        <f t="shared" si="179"/>
        <v>2019240.7917927206</v>
      </c>
      <c r="DY277" s="459">
        <f t="shared" si="180"/>
        <v>687.28413607648758</v>
      </c>
      <c r="DZ277" s="440"/>
      <c r="EA277" s="457">
        <f t="shared" si="181"/>
        <v>-178048.60286475159</v>
      </c>
      <c r="EB277" s="459">
        <f t="shared" si="182"/>
        <v>-60.601975107131246</v>
      </c>
      <c r="ED277" s="457">
        <v>190287.47309936056</v>
      </c>
      <c r="EE277" s="458">
        <v>142410.54520461799</v>
      </c>
      <c r="EF277" s="458">
        <v>95142.042648630173</v>
      </c>
      <c r="EG277" s="458">
        <v>47575.120490117974</v>
      </c>
      <c r="EH277" s="459">
        <v>637.04736747968036</v>
      </c>
    </row>
    <row r="278" spans="1:138" x14ac:dyDescent="0.2">
      <c r="A278" s="67">
        <v>850</v>
      </c>
      <c r="B278" s="67" t="s">
        <v>393</v>
      </c>
      <c r="C278" s="67">
        <v>13</v>
      </c>
      <c r="D278" s="67">
        <v>2407</v>
      </c>
      <c r="E278" s="82">
        <v>6897016.1683190987</v>
      </c>
      <c r="F278" s="67">
        <v>3124003.7127655172</v>
      </c>
      <c r="G278" s="67">
        <v>761061</v>
      </c>
      <c r="H278" s="67">
        <v>603218.50405364647</v>
      </c>
      <c r="I278" s="67">
        <v>2095865.0995136807</v>
      </c>
      <c r="J278" s="67">
        <v>428117.29627237853</v>
      </c>
      <c r="K278" s="67">
        <v>243330.19650250606</v>
      </c>
      <c r="L278" s="67">
        <v>-478735</v>
      </c>
      <c r="M278" s="68">
        <v>-2208.85</v>
      </c>
      <c r="N278" s="68">
        <v>21146.383491672121</v>
      </c>
      <c r="O278" s="68">
        <v>-70051.802960437053</v>
      </c>
      <c r="P278" s="168">
        <f t="shared" si="148"/>
        <v>-171269.62868013445</v>
      </c>
      <c r="Q278" s="169">
        <f t="shared" si="149"/>
        <v>-71.154810419665338</v>
      </c>
      <c r="R278" s="67"/>
      <c r="S278" s="82">
        <v>16303932.5</v>
      </c>
      <c r="T278" s="67">
        <v>7578005.2091139434</v>
      </c>
      <c r="U278" s="67">
        <v>906608.62150432251</v>
      </c>
      <c r="V278" s="67">
        <v>6195403.7020898592</v>
      </c>
      <c r="W278" s="67">
        <v>1427829.0367570685</v>
      </c>
      <c r="X278" s="67">
        <v>280117.15000000002</v>
      </c>
      <c r="Y278" s="168">
        <f t="shared" si="150"/>
        <v>84031.219465192407</v>
      </c>
      <c r="Z278" s="169">
        <f t="shared" si="151"/>
        <v>34.911183824342501</v>
      </c>
      <c r="AA278" s="67"/>
      <c r="AB278" s="77">
        <f t="shared" si="152"/>
        <v>-255300.84814532686</v>
      </c>
      <c r="AC278" s="123">
        <f t="shared" si="153"/>
        <v>-106.06599424400784</v>
      </c>
      <c r="AE278" s="170"/>
      <c r="AF278" s="177">
        <v>221959.38984323415</v>
      </c>
      <c r="AG278" s="177">
        <v>179582.40593763831</v>
      </c>
      <c r="AH278" s="177">
        <v>139811.54948417831</v>
      </c>
      <c r="AI278" s="178">
        <v>99548.538396839955</v>
      </c>
      <c r="AK278" s="67">
        <f t="shared" si="154"/>
        <v>4454001.4963484257</v>
      </c>
      <c r="AL278" s="67">
        <f t="shared" si="155"/>
        <v>303390.11745067604</v>
      </c>
      <c r="AM278" s="67">
        <f t="shared" si="156"/>
        <v>4099538.6025761785</v>
      </c>
      <c r="AN278" s="67">
        <f t="shared" si="157"/>
        <v>9406916.3316809013</v>
      </c>
      <c r="AO278" s="67">
        <f t="shared" si="158"/>
        <v>0</v>
      </c>
      <c r="AP278" s="67">
        <f t="shared" si="159"/>
        <v>221959.38984323415</v>
      </c>
      <c r="AQ278" s="67">
        <f t="shared" si="160"/>
        <v>179582.40593763831</v>
      </c>
      <c r="AR278" s="67">
        <f t="shared" si="161"/>
        <v>139811.54948417831</v>
      </c>
      <c r="AS278" s="67">
        <f t="shared" si="162"/>
        <v>99548.538396839955</v>
      </c>
      <c r="AT278" s="68">
        <v>925</v>
      </c>
      <c r="AU278" s="68"/>
      <c r="AV278" s="68"/>
      <c r="AW278" s="68">
        <v>0</v>
      </c>
      <c r="AX278" s="68">
        <v>3185.7652670285579</v>
      </c>
      <c r="AY278" s="68">
        <v>-820.69261840396791</v>
      </c>
      <c r="AZ278" s="68">
        <v>1003.078241190937</v>
      </c>
      <c r="BA278" s="299"/>
      <c r="BB278" s="67"/>
      <c r="BC278" s="67"/>
      <c r="BD278" s="67"/>
      <c r="BE278" s="67"/>
      <c r="BF278" s="67"/>
      <c r="BG278" s="67"/>
      <c r="BH278" s="67"/>
      <c r="BN278" s="299"/>
      <c r="BO278" s="67">
        <v>6681393.8876461796</v>
      </c>
      <c r="BP278" s="67">
        <v>8501989.4499999993</v>
      </c>
      <c r="BQ278" s="67">
        <v>9248000</v>
      </c>
      <c r="BR278" s="67">
        <v>217743.78999999998</v>
      </c>
      <c r="BS278" s="67">
        <v>228000</v>
      </c>
      <c r="BT278" s="428">
        <v>0.58775381824647877</v>
      </c>
      <c r="BU278" s="428">
        <v>0.33464287704132489</v>
      </c>
      <c r="BV278" s="67">
        <f t="shared" si="163"/>
        <v>5342580.5395633746</v>
      </c>
      <c r="BW278" s="299"/>
      <c r="BX278" s="67">
        <v>15814015</v>
      </c>
      <c r="BY278" s="67">
        <v>6681393.8876461796</v>
      </c>
      <c r="BZ278" s="67">
        <v>9062416.4925651029</v>
      </c>
      <c r="CA278" s="67">
        <v>4443449.1448092368</v>
      </c>
      <c r="CB278" s="67">
        <f t="shared" si="164"/>
        <v>284215.02001215529</v>
      </c>
      <c r="CC278" s="67">
        <f t="shared" si="165"/>
        <v>34.911183824343425</v>
      </c>
      <c r="CD278" s="67">
        <f t="shared" si="166"/>
        <v>-25.065642796031835</v>
      </c>
      <c r="CE278" s="67">
        <f t="shared" si="167"/>
        <v>-59.976826620375263</v>
      </c>
      <c r="CF278" s="67">
        <f t="shared" si="168"/>
        <v>44.976826620375263</v>
      </c>
      <c r="CG278" s="67">
        <f t="shared" si="169"/>
        <v>29.976826620375263</v>
      </c>
      <c r="CH278" s="67">
        <f t="shared" si="170"/>
        <v>14.976826620375263</v>
      </c>
      <c r="CI278" s="67">
        <f t="shared" si="171"/>
        <v>0</v>
      </c>
      <c r="CJ278" s="67">
        <f t="shared" si="172"/>
        <v>108259.22167524326</v>
      </c>
      <c r="CK278" s="67">
        <f t="shared" si="173"/>
        <v>72154.221675243258</v>
      </c>
      <c r="CL278" s="67">
        <f t="shared" si="174"/>
        <v>36049.221675243258</v>
      </c>
      <c r="CM278" s="67">
        <f t="shared" si="175"/>
        <v>0</v>
      </c>
      <c r="CN278" s="299"/>
      <c r="CO278" s="430">
        <v>7578.0052091139432</v>
      </c>
      <c r="CP278" s="430">
        <v>906.60862150432251</v>
      </c>
      <c r="CQ278" s="430">
        <v>761.06100000000004</v>
      </c>
      <c r="CR278" s="430">
        <v>6195403.7020898592</v>
      </c>
      <c r="CS278" s="430">
        <v>2095865.0995136807</v>
      </c>
      <c r="CT278" s="430">
        <v>1427829.0367570685</v>
      </c>
      <c r="CU278" s="430">
        <v>428117.29627237853</v>
      </c>
      <c r="CV278" s="430">
        <v>-478735</v>
      </c>
      <c r="CW278" s="430">
        <v>21146.383491672121</v>
      </c>
      <c r="CX278" s="430">
        <v>-2208.85</v>
      </c>
      <c r="CY278" s="430">
        <v>6897016.1683190987</v>
      </c>
      <c r="CZ278" s="519"/>
      <c r="DA278" s="524">
        <v>7633.8897999999999</v>
      </c>
      <c r="DB278" s="524">
        <v>899.51827679588553</v>
      </c>
      <c r="DC278" s="520">
        <f t="shared" si="176"/>
        <v>-1</v>
      </c>
      <c r="DD278" s="440">
        <v>2387</v>
      </c>
      <c r="DE278" s="450">
        <v>6681393.8876461796</v>
      </c>
      <c r="DF278" s="440">
        <v>3134277.7413092363</v>
      </c>
      <c r="DG278" s="440">
        <v>766452.19250000012</v>
      </c>
      <c r="DH278" s="440">
        <v>542719.21100000001</v>
      </c>
      <c r="DI278" s="440">
        <v>2092068.2253421501</v>
      </c>
      <c r="DJ278" s="440">
        <v>429558.96902852703</v>
      </c>
      <c r="DK278" s="440">
        <v>284626.20327458519</v>
      </c>
      <c r="DL278" s="440">
        <v>-478735</v>
      </c>
      <c r="DM278" s="440">
        <v>-10300</v>
      </c>
      <c r="DN278" s="440">
        <v>20474.646987281423</v>
      </c>
      <c r="DO278" s="457">
        <f t="shared" si="177"/>
        <v>99748.301795599982</v>
      </c>
      <c r="DP278" s="459">
        <f t="shared" si="178"/>
        <v>41.788144866191864</v>
      </c>
      <c r="DQ278" s="440"/>
      <c r="DR278" s="450">
        <v>15814015</v>
      </c>
      <c r="DS278" s="440">
        <v>7481885.4835651033</v>
      </c>
      <c r="DT278" s="440">
        <v>814078.81649999996</v>
      </c>
      <c r="DU278" s="440">
        <v>6191611.2020898554</v>
      </c>
      <c r="DV278" s="440">
        <v>1432637.210219464</v>
      </c>
      <c r="DW278" s="440">
        <v>277417.19250000012</v>
      </c>
      <c r="DX278" s="457">
        <f t="shared" si="179"/>
        <v>383614.90487442352</v>
      </c>
      <c r="DY278" s="459">
        <f t="shared" si="180"/>
        <v>160.71005650373837</v>
      </c>
      <c r="DZ278" s="440"/>
      <c r="EA278" s="457">
        <f t="shared" si="181"/>
        <v>-283866.60307882354</v>
      </c>
      <c r="EB278" s="459">
        <f t="shared" si="182"/>
        <v>-118.92191163754651</v>
      </c>
      <c r="ED278" s="457">
        <v>293810.16443008871</v>
      </c>
      <c r="EE278" s="458">
        <v>254912.1974849728</v>
      </c>
      <c r="EF278" s="458">
        <v>216508.55024156132</v>
      </c>
      <c r="EG278" s="458">
        <v>177862.44976764414</v>
      </c>
      <c r="EH278" s="459">
        <v>139727.26238039511</v>
      </c>
    </row>
    <row r="279" spans="1:138" x14ac:dyDescent="0.2">
      <c r="A279" s="67">
        <v>851</v>
      </c>
      <c r="B279" s="67" t="s">
        <v>394</v>
      </c>
      <c r="C279" s="67">
        <v>19</v>
      </c>
      <c r="D279" s="67">
        <v>21227</v>
      </c>
      <c r="E279" s="82">
        <v>52052431.402906299</v>
      </c>
      <c r="F279" s="67">
        <v>32817088.986546151</v>
      </c>
      <c r="G279" s="67">
        <v>6874715</v>
      </c>
      <c r="H279" s="67">
        <v>3019869.0208179355</v>
      </c>
      <c r="I279" s="67">
        <v>13160386.401480233</v>
      </c>
      <c r="J279" s="67">
        <v>3263780.9389859131</v>
      </c>
      <c r="K279" s="67">
        <v>-3181422.8815626753</v>
      </c>
      <c r="L279" s="67">
        <v>-283449</v>
      </c>
      <c r="M279" s="68">
        <v>198285.44</v>
      </c>
      <c r="N279" s="68">
        <v>220667.61113634528</v>
      </c>
      <c r="O279" s="68">
        <v>-617777.15888707829</v>
      </c>
      <c r="P279" s="168">
        <f t="shared" si="148"/>
        <v>3419712.9556105239</v>
      </c>
      <c r="Q279" s="169">
        <f t="shared" si="149"/>
        <v>161.10203776372185</v>
      </c>
      <c r="R279" s="67"/>
      <c r="S279" s="82">
        <v>138480833.01000002</v>
      </c>
      <c r="T279" s="67">
        <v>80942767.723574355</v>
      </c>
      <c r="U279" s="67">
        <v>4538719.0076050293</v>
      </c>
      <c r="V279" s="67">
        <v>36233263.902406722</v>
      </c>
      <c r="W279" s="67">
        <v>10885150.482996266</v>
      </c>
      <c r="X279" s="67">
        <v>6789551.4400000004</v>
      </c>
      <c r="Y279" s="168">
        <f t="shared" si="150"/>
        <v>908619.546582371</v>
      </c>
      <c r="Z279" s="169">
        <f t="shared" si="151"/>
        <v>42.804896904054786</v>
      </c>
      <c r="AA279" s="67"/>
      <c r="AB279" s="77">
        <f t="shared" si="152"/>
        <v>2511093.4090281529</v>
      </c>
      <c r="AC279" s="123">
        <f t="shared" si="153"/>
        <v>118.29714085966707</v>
      </c>
      <c r="AE279" s="170"/>
      <c r="AF279" s="177">
        <v>-2168317.1171206194</v>
      </c>
      <c r="AG279" s="177">
        <v>-1905223.8754771142</v>
      </c>
      <c r="AH279" s="177">
        <v>-1619147.5563818072</v>
      </c>
      <c r="AI279" s="178">
        <v>-1337411.4809148069</v>
      </c>
      <c r="AK279" s="67">
        <f t="shared" si="154"/>
        <v>48125678.737028204</v>
      </c>
      <c r="AL279" s="67">
        <f t="shared" si="155"/>
        <v>1518849.9867870938</v>
      </c>
      <c r="AM279" s="67">
        <f t="shared" si="156"/>
        <v>23072877.500926487</v>
      </c>
      <c r="AN279" s="67">
        <f t="shared" si="157"/>
        <v>86428401.607093722</v>
      </c>
      <c r="AO279" s="67">
        <f t="shared" si="158"/>
        <v>0</v>
      </c>
      <c r="AP279" s="67">
        <f t="shared" si="159"/>
        <v>-2168317.1171206194</v>
      </c>
      <c r="AQ279" s="67">
        <f t="shared" si="160"/>
        <v>-1905223.8754771142</v>
      </c>
      <c r="AR279" s="67">
        <f t="shared" si="161"/>
        <v>-1619147.5563818072</v>
      </c>
      <c r="AS279" s="67">
        <f t="shared" si="162"/>
        <v>-1337411.4809148069</v>
      </c>
      <c r="AT279" s="68">
        <v>5529</v>
      </c>
      <c r="AU279" s="68"/>
      <c r="AV279" s="68"/>
      <c r="AW279" s="68">
        <v>116</v>
      </c>
      <c r="AX279" s="68">
        <v>21085.823410304009</v>
      </c>
      <c r="AY279" s="68">
        <v>-2377.1989119422469</v>
      </c>
      <c r="AZ279" s="68">
        <v>7654.3581523133953</v>
      </c>
      <c r="BA279" s="299"/>
      <c r="BB279" s="67"/>
      <c r="BC279" s="67"/>
      <c r="BD279" s="67"/>
      <c r="BE279" s="67"/>
      <c r="BF279" s="67"/>
      <c r="BG279" s="67"/>
      <c r="BH279" s="67"/>
      <c r="BN279" s="299"/>
      <c r="BO279" s="67">
        <v>55605212.471837997</v>
      </c>
      <c r="BP279" s="67">
        <v>76485556.909999996</v>
      </c>
      <c r="BQ279" s="67">
        <v>85941000</v>
      </c>
      <c r="BR279" s="67">
        <v>2235557</v>
      </c>
      <c r="BS279" s="67">
        <v>2514000</v>
      </c>
      <c r="BT279" s="428">
        <v>0.59456428400596606</v>
      </c>
      <c r="BU279" s="428">
        <v>0.33464287704132484</v>
      </c>
      <c r="BV279" s="67">
        <f t="shared" si="163"/>
        <v>27512824.163374171</v>
      </c>
      <c r="BW279" s="299"/>
      <c r="BX279" s="67">
        <v>137688899</v>
      </c>
      <c r="BY279" s="67">
        <v>55605212.471837997</v>
      </c>
      <c r="BZ279" s="67">
        <v>92634497.117902279</v>
      </c>
      <c r="CA279" s="67">
        <v>43088999.919892497</v>
      </c>
      <c r="CB279" s="67">
        <f t="shared" si="164"/>
        <v>-990411.48868073348</v>
      </c>
      <c r="CC279" s="67">
        <f t="shared" si="165"/>
        <v>42.80489690405404</v>
      </c>
      <c r="CD279" s="67">
        <f t="shared" si="166"/>
        <v>293.42354112119222</v>
      </c>
      <c r="CE279" s="67">
        <f t="shared" si="167"/>
        <v>250.61864421713818</v>
      </c>
      <c r="CF279" s="67">
        <f t="shared" si="168"/>
        <v>-235.61864421713818</v>
      </c>
      <c r="CG279" s="67">
        <f t="shared" si="169"/>
        <v>-220.61864421713818</v>
      </c>
      <c r="CH279" s="67">
        <f t="shared" si="170"/>
        <v>-205.61864421713818</v>
      </c>
      <c r="CI279" s="67">
        <f t="shared" si="171"/>
        <v>-190.61864421713818</v>
      </c>
      <c r="CJ279" s="67">
        <f t="shared" si="172"/>
        <v>-5001476.9607971925</v>
      </c>
      <c r="CK279" s="67">
        <f t="shared" si="173"/>
        <v>-4683071.9607971925</v>
      </c>
      <c r="CL279" s="67">
        <f t="shared" si="174"/>
        <v>-4364666.9607971925</v>
      </c>
      <c r="CM279" s="67">
        <f t="shared" si="175"/>
        <v>-4046261.9607971921</v>
      </c>
      <c r="CN279" s="299"/>
      <c r="CO279" s="430">
        <v>80942.767723574361</v>
      </c>
      <c r="CP279" s="430">
        <v>4538.7190076050292</v>
      </c>
      <c r="CQ279" s="430">
        <v>6874.7150000000001</v>
      </c>
      <c r="CR279" s="430">
        <v>36233263.902406722</v>
      </c>
      <c r="CS279" s="430">
        <v>13160386.401480233</v>
      </c>
      <c r="CT279" s="430">
        <v>10885150.482996266</v>
      </c>
      <c r="CU279" s="430">
        <v>3263780.9389859131</v>
      </c>
      <c r="CV279" s="430">
        <v>-283449</v>
      </c>
      <c r="CW279" s="430">
        <v>220667.61113634528</v>
      </c>
      <c r="CX279" s="430">
        <v>198285.44</v>
      </c>
      <c r="CY279" s="430">
        <v>52052431.402906299</v>
      </c>
      <c r="CZ279" s="519"/>
      <c r="DA279" s="524">
        <v>81925.795480000001</v>
      </c>
      <c r="DB279" s="524">
        <v>4503.2253012410993</v>
      </c>
      <c r="DC279" s="520">
        <f t="shared" si="176"/>
        <v>-1</v>
      </c>
      <c r="DD279" s="440">
        <v>21333</v>
      </c>
      <c r="DE279" s="450">
        <v>55605212.471837997</v>
      </c>
      <c r="DF279" s="440">
        <v>33448515.681892492</v>
      </c>
      <c r="DG279" s="440">
        <v>6923490.4434000012</v>
      </c>
      <c r="DH279" s="440">
        <v>2716993.7946000001</v>
      </c>
      <c r="DI279" s="440">
        <v>13126571.100288069</v>
      </c>
      <c r="DJ279" s="440">
        <v>3277908.0050416226</v>
      </c>
      <c r="DK279" s="440">
        <v>-989765.16527233063</v>
      </c>
      <c r="DL279" s="440">
        <v>-328591</v>
      </c>
      <c r="DM279" s="440">
        <v>478760</v>
      </c>
      <c r="DN279" s="440">
        <v>219621.93896682392</v>
      </c>
      <c r="DO279" s="457">
        <f t="shared" si="177"/>
        <v>3268292.3270786777</v>
      </c>
      <c r="DP279" s="459">
        <f t="shared" si="178"/>
        <v>153.20359663801048</v>
      </c>
      <c r="DQ279" s="440"/>
      <c r="DR279" s="450">
        <v>137688899</v>
      </c>
      <c r="DS279" s="440">
        <v>81635515.982602283</v>
      </c>
      <c r="DT279" s="440">
        <v>4075490.6919</v>
      </c>
      <c r="DU279" s="440">
        <v>36199523.042406701</v>
      </c>
      <c r="DV279" s="440">
        <v>10932266.157355018</v>
      </c>
      <c r="DW279" s="440">
        <v>7073659.4434000012</v>
      </c>
      <c r="DX279" s="457">
        <f t="shared" si="179"/>
        <v>2227556.3176639974</v>
      </c>
      <c r="DY279" s="459">
        <f t="shared" si="180"/>
        <v>104.41833392696749</v>
      </c>
      <c r="DZ279" s="440"/>
      <c r="EA279" s="457">
        <f t="shared" si="181"/>
        <v>1040736.0094146803</v>
      </c>
      <c r="EB279" s="459">
        <f t="shared" si="182"/>
        <v>48.785262711042996</v>
      </c>
      <c r="ED279" s="457">
        <v>-951868.81448104721</v>
      </c>
      <c r="EE279" s="458">
        <v>-659516.15375216468</v>
      </c>
      <c r="EF279" s="458">
        <v>-362745.67894851888</v>
      </c>
      <c r="EG279" s="458">
        <v>-68142.047364972488</v>
      </c>
      <c r="EH279" s="459">
        <v>-8216.2945620082628</v>
      </c>
    </row>
    <row r="280" spans="1:138" x14ac:dyDescent="0.2">
      <c r="A280" s="67">
        <v>853</v>
      </c>
      <c r="B280" s="67" t="s">
        <v>395</v>
      </c>
      <c r="C280" s="67">
        <v>2</v>
      </c>
      <c r="D280" s="67">
        <v>197900</v>
      </c>
      <c r="E280" s="82">
        <v>535813793.0955894</v>
      </c>
      <c r="F280" s="67">
        <v>255979227.39872658</v>
      </c>
      <c r="G280" s="67">
        <v>68927192</v>
      </c>
      <c r="H280" s="67">
        <v>111596091.59281307</v>
      </c>
      <c r="I280" s="67">
        <v>19533424.543014102</v>
      </c>
      <c r="J280" s="67">
        <v>30299393.590630993</v>
      </c>
      <c r="K280" s="67">
        <v>-18082363.353980001</v>
      </c>
      <c r="L280" s="67">
        <v>46483967</v>
      </c>
      <c r="M280" s="68">
        <v>35303176.009999998</v>
      </c>
      <c r="N280" s="68">
        <v>2254697.308735555</v>
      </c>
      <c r="O280" s="68">
        <v>-5759556.213490027</v>
      </c>
      <c r="P280" s="168">
        <f t="shared" si="148"/>
        <v>10721456.780860882</v>
      </c>
      <c r="Q280" s="169">
        <f t="shared" si="149"/>
        <v>54.176133303996373</v>
      </c>
      <c r="R280" s="67"/>
      <c r="S280" s="82">
        <v>1288641086.8</v>
      </c>
      <c r="T280" s="67">
        <v>707100539.28061771</v>
      </c>
      <c r="U280" s="67">
        <v>167723599.46576273</v>
      </c>
      <c r="V280" s="67">
        <v>173031846.91301259</v>
      </c>
      <c r="W280" s="67">
        <v>101052572.13740179</v>
      </c>
      <c r="X280" s="67">
        <v>150714335.00999999</v>
      </c>
      <c r="Y280" s="168">
        <f t="shared" si="150"/>
        <v>10981806.00679493</v>
      </c>
      <c r="Z280" s="169">
        <f t="shared" si="151"/>
        <v>55.491692808463512</v>
      </c>
      <c r="AA280" s="67"/>
      <c r="AB280" s="77">
        <f t="shared" si="152"/>
        <v>-260349.22593404725</v>
      </c>
      <c r="AC280" s="123">
        <f t="shared" si="153"/>
        <v>-1.3155595044671413</v>
      </c>
      <c r="AE280" s="170"/>
      <c r="AF280" s="177">
        <v>227214.33403221678</v>
      </c>
      <c r="AG280" s="177">
        <v>-288458.95841374074</v>
      </c>
      <c r="AH280" s="177">
        <v>-589860.28460391087</v>
      </c>
      <c r="AI280" s="178">
        <v>-931725.8409746039</v>
      </c>
      <c r="AK280" s="67">
        <f t="shared" si="154"/>
        <v>451121311.88189113</v>
      </c>
      <c r="AL280" s="67">
        <f t="shared" si="155"/>
        <v>56127507.87294966</v>
      </c>
      <c r="AM280" s="67">
        <f t="shared" si="156"/>
        <v>153498422.36999848</v>
      </c>
      <c r="AN280" s="67">
        <f t="shared" si="157"/>
        <v>752827293.70441055</v>
      </c>
      <c r="AO280" s="67">
        <f t="shared" si="158"/>
        <v>0</v>
      </c>
      <c r="AP280" s="67">
        <f t="shared" si="159"/>
        <v>227214.33403221678</v>
      </c>
      <c r="AQ280" s="67">
        <f t="shared" si="160"/>
        <v>-288458.95841374074</v>
      </c>
      <c r="AR280" s="67">
        <f t="shared" si="161"/>
        <v>-589860.28460391087</v>
      </c>
      <c r="AS280" s="67">
        <f t="shared" si="162"/>
        <v>-931725.8409746039</v>
      </c>
      <c r="AT280" s="68">
        <v>57293</v>
      </c>
      <c r="AU280" s="68"/>
      <c r="AV280" s="68"/>
      <c r="AW280" s="68">
        <v>1913</v>
      </c>
      <c r="AX280" s="68">
        <v>153552.57148854726</v>
      </c>
      <c r="AY280" s="68">
        <v>12369.407247135738</v>
      </c>
      <c r="AZ280" s="68">
        <v>70671.720528213715</v>
      </c>
      <c r="BA280" s="299"/>
      <c r="BB280" s="67"/>
      <c r="BC280" s="67"/>
      <c r="BD280" s="67"/>
      <c r="BE280" s="67"/>
      <c r="BF280" s="67"/>
      <c r="BG280" s="67"/>
      <c r="BH280" s="67"/>
      <c r="BN280" s="299"/>
      <c r="BO280" s="67">
        <v>516182700.36085486</v>
      </c>
      <c r="BP280" s="67">
        <v>689174288.6700002</v>
      </c>
      <c r="BQ280" s="67">
        <v>737049000</v>
      </c>
      <c r="BR280" s="67">
        <v>13783533.289999999</v>
      </c>
      <c r="BS280" s="67">
        <v>16197000</v>
      </c>
      <c r="BT280" s="428">
        <v>0.63798750930221049</v>
      </c>
      <c r="BU280" s="428">
        <v>0.33464287704132489</v>
      </c>
      <c r="BV280" s="67">
        <f t="shared" si="163"/>
        <v>206169237.56278929</v>
      </c>
      <c r="BW280" s="299"/>
      <c r="BX280" s="67">
        <v>1239535874.1599998</v>
      </c>
      <c r="BY280" s="67">
        <v>516182700.36085486</v>
      </c>
      <c r="BZ280" s="67">
        <v>907999706.32565653</v>
      </c>
      <c r="CA280" s="67">
        <v>422642136.97852761</v>
      </c>
      <c r="CB280" s="67">
        <f t="shared" si="164"/>
        <v>-17088765.620808877</v>
      </c>
      <c r="CC280" s="67">
        <f t="shared" si="165"/>
        <v>55.491692808463213</v>
      </c>
      <c r="CD280" s="67">
        <f t="shared" si="166"/>
        <v>88.300205798494375</v>
      </c>
      <c r="CE280" s="67">
        <f t="shared" si="167"/>
        <v>32.808512990031161</v>
      </c>
      <c r="CF280" s="67">
        <f t="shared" si="168"/>
        <v>-17.808512990031161</v>
      </c>
      <c r="CG280" s="67">
        <f t="shared" si="169"/>
        <v>-2.8085129900311614</v>
      </c>
      <c r="CH280" s="67">
        <f t="shared" si="170"/>
        <v>0</v>
      </c>
      <c r="CI280" s="67">
        <f t="shared" si="171"/>
        <v>0</v>
      </c>
      <c r="CJ280" s="67">
        <f t="shared" si="172"/>
        <v>-3524304.7207271666</v>
      </c>
      <c r="CK280" s="67">
        <f t="shared" si="173"/>
        <v>-555804.72072716686</v>
      </c>
      <c r="CL280" s="67">
        <f t="shared" si="174"/>
        <v>0</v>
      </c>
      <c r="CM280" s="67">
        <f t="shared" si="175"/>
        <v>0</v>
      </c>
      <c r="CN280" s="299"/>
      <c r="CO280" s="430">
        <v>707100.53928061773</v>
      </c>
      <c r="CP280" s="430">
        <v>167723.59946576273</v>
      </c>
      <c r="CQ280" s="430">
        <v>68927.191999999995</v>
      </c>
      <c r="CR280" s="430">
        <v>173031846.91301259</v>
      </c>
      <c r="CS280" s="430">
        <v>19533424.543014102</v>
      </c>
      <c r="CT280" s="430">
        <v>101052572.13740179</v>
      </c>
      <c r="CU280" s="430">
        <v>30299393.590630993</v>
      </c>
      <c r="CV280" s="430">
        <v>46483967</v>
      </c>
      <c r="CW280" s="430">
        <v>2254697.308735555</v>
      </c>
      <c r="CX280" s="430">
        <v>35303176.009999998</v>
      </c>
      <c r="CY280" s="430">
        <v>535813793.0955894</v>
      </c>
      <c r="CZ280" s="519"/>
      <c r="DA280" s="524">
        <v>704478.99846000003</v>
      </c>
      <c r="DB280" s="524">
        <v>166412.06930487027</v>
      </c>
      <c r="DC280" s="520">
        <f t="shared" si="176"/>
        <v>-1</v>
      </c>
      <c r="DD280" s="440">
        <v>195137</v>
      </c>
      <c r="DE280" s="450">
        <v>516182700.36085486</v>
      </c>
      <c r="DF280" s="440">
        <v>252174078.5115276</v>
      </c>
      <c r="DG280" s="440">
        <v>70064403.120000005</v>
      </c>
      <c r="DH280" s="440">
        <v>100403655.347</v>
      </c>
      <c r="DI280" s="440">
        <v>19228847.202033561</v>
      </c>
      <c r="DJ280" s="440">
        <v>30264509.948424906</v>
      </c>
      <c r="DK280" s="440">
        <v>-17025421.368802838</v>
      </c>
      <c r="DL280" s="440">
        <v>42244049</v>
      </c>
      <c r="DM280" s="440">
        <v>29199000.239999998</v>
      </c>
      <c r="DN280" s="440">
        <v>2151460.3041772083</v>
      </c>
      <c r="DO280" s="457">
        <f t="shared" si="177"/>
        <v>12521881.943505585</v>
      </c>
      <c r="DP280" s="459">
        <f t="shared" si="178"/>
        <v>64.169695872671937</v>
      </c>
      <c r="DQ280" s="440"/>
      <c r="DR280" s="450">
        <v>1239535874.1599998</v>
      </c>
      <c r="DS280" s="440">
        <v>687329820.18515658</v>
      </c>
      <c r="DT280" s="440">
        <v>150605483.0205</v>
      </c>
      <c r="DU280" s="440">
        <v>172728395.39301252</v>
      </c>
      <c r="DV280" s="440">
        <v>100936230.47663862</v>
      </c>
      <c r="DW280" s="440">
        <v>141507452.36000001</v>
      </c>
      <c r="DX280" s="457">
        <f t="shared" si="179"/>
        <v>13571507.275307894</v>
      </c>
      <c r="DY280" s="459">
        <f t="shared" si="180"/>
        <v>69.548610849341202</v>
      </c>
      <c r="DZ280" s="440"/>
      <c r="EA280" s="457">
        <f t="shared" si="181"/>
        <v>-1049625.3318023086</v>
      </c>
      <c r="EB280" s="459">
        <f t="shared" si="182"/>
        <v>-5.3789149766692557</v>
      </c>
      <c r="ED280" s="457">
        <v>1862510.4308394524</v>
      </c>
      <c r="EE280" s="458">
        <v>560035.37521294167</v>
      </c>
      <c r="EF280" s="458">
        <v>347596.23523070954</v>
      </c>
      <c r="EG280" s="458">
        <v>115336.5690477295</v>
      </c>
      <c r="EH280" s="459">
        <v>-75156.005810087954</v>
      </c>
    </row>
    <row r="281" spans="1:138" x14ac:dyDescent="0.2">
      <c r="A281" s="67">
        <v>857</v>
      </c>
      <c r="B281" s="67" t="s">
        <v>396</v>
      </c>
      <c r="C281" s="67">
        <v>11</v>
      </c>
      <c r="D281" s="67">
        <v>2394</v>
      </c>
      <c r="E281" s="82">
        <v>5115561.3654733002</v>
      </c>
      <c r="F281" s="67">
        <v>2928631.7888429756</v>
      </c>
      <c r="G281" s="67">
        <v>981935</v>
      </c>
      <c r="H281" s="67">
        <v>739427.87441392802</v>
      </c>
      <c r="I281" s="67">
        <v>1124998.8190191879</v>
      </c>
      <c r="J281" s="67">
        <v>541143.77381768078</v>
      </c>
      <c r="K281" s="67">
        <v>-992435.17438862938</v>
      </c>
      <c r="L281" s="67">
        <v>190584</v>
      </c>
      <c r="M281" s="68">
        <v>166970.82</v>
      </c>
      <c r="N281" s="68">
        <v>18014.364670919069</v>
      </c>
      <c r="O281" s="68">
        <v>-69673.459197044591</v>
      </c>
      <c r="P281" s="168">
        <f t="shared" si="148"/>
        <v>514036.44170571654</v>
      </c>
      <c r="Q281" s="169">
        <f t="shared" si="149"/>
        <v>214.71864732903782</v>
      </c>
      <c r="R281" s="67"/>
      <c r="S281" s="82">
        <v>20192637.420000002</v>
      </c>
      <c r="T281" s="67">
        <v>6609502.9102228424</v>
      </c>
      <c r="U281" s="67">
        <v>1111324.8042282599</v>
      </c>
      <c r="V281" s="67">
        <v>9158196.4167669285</v>
      </c>
      <c r="W281" s="67">
        <v>1804787.613218969</v>
      </c>
      <c r="X281" s="67">
        <v>1339489.82</v>
      </c>
      <c r="Y281" s="168">
        <f t="shared" si="150"/>
        <v>-169335.85556300357</v>
      </c>
      <c r="Z281" s="169">
        <f t="shared" si="151"/>
        <v>-70.733440084796811</v>
      </c>
      <c r="AA281" s="67"/>
      <c r="AB281" s="77">
        <f t="shared" si="152"/>
        <v>683372.29726872011</v>
      </c>
      <c r="AC281" s="123">
        <f t="shared" si="153"/>
        <v>285.45208741383465</v>
      </c>
      <c r="AE281" s="170"/>
      <c r="AF281" s="177">
        <v>-644713.68122186093</v>
      </c>
      <c r="AG281" s="177">
        <v>-615041.79068176809</v>
      </c>
      <c r="AH281" s="177">
        <v>-582777.84815978352</v>
      </c>
      <c r="AI281" s="178">
        <v>-551003.40218682459</v>
      </c>
      <c r="AK281" s="67">
        <f t="shared" si="154"/>
        <v>3680871.1213798667</v>
      </c>
      <c r="AL281" s="67">
        <f t="shared" si="155"/>
        <v>371896.92981433193</v>
      </c>
      <c r="AM281" s="67">
        <f t="shared" si="156"/>
        <v>8033197.5977477403</v>
      </c>
      <c r="AN281" s="67">
        <f t="shared" si="157"/>
        <v>15077076.054526702</v>
      </c>
      <c r="AO281" s="67">
        <f t="shared" si="158"/>
        <v>0</v>
      </c>
      <c r="AP281" s="67">
        <f t="shared" si="159"/>
        <v>-644713.68122186093</v>
      </c>
      <c r="AQ281" s="67">
        <f t="shared" si="160"/>
        <v>-615041.79068176809</v>
      </c>
      <c r="AR281" s="67">
        <f t="shared" si="161"/>
        <v>-582777.84815978352</v>
      </c>
      <c r="AS281" s="67">
        <f t="shared" si="162"/>
        <v>-551003.40218682459</v>
      </c>
      <c r="AT281" s="68">
        <v>1048</v>
      </c>
      <c r="AU281" s="68"/>
      <c r="AV281" s="68"/>
      <c r="AW281" s="68">
        <v>280</v>
      </c>
      <c r="AX281" s="68">
        <v>6750.12490560279</v>
      </c>
      <c r="AY281" s="68">
        <v>-1304.8215398212546</v>
      </c>
      <c r="AZ281" s="68">
        <v>1263.3766643490983</v>
      </c>
      <c r="BA281" s="299"/>
      <c r="BB281" s="67"/>
      <c r="BC281" s="67"/>
      <c r="BD281" s="67"/>
      <c r="BE281" s="67"/>
      <c r="BF281" s="67"/>
      <c r="BG281" s="67"/>
      <c r="BH281" s="67"/>
      <c r="BN281" s="299"/>
      <c r="BO281" s="67">
        <v>6035321.3032618016</v>
      </c>
      <c r="BP281" s="67">
        <v>14377508.159999998</v>
      </c>
      <c r="BQ281" s="67">
        <v>14206000</v>
      </c>
      <c r="BR281" s="67">
        <v>289333.70999999996</v>
      </c>
      <c r="BS281" s="67">
        <v>291000</v>
      </c>
      <c r="BT281" s="428">
        <v>0.55690589313255401</v>
      </c>
      <c r="BU281" s="428">
        <v>0.33464287704132478</v>
      </c>
      <c r="BV281" s="67">
        <f t="shared" si="163"/>
        <v>8304406.2627603998</v>
      </c>
      <c r="BW281" s="299"/>
      <c r="BX281" s="67">
        <v>21346906</v>
      </c>
      <c r="BY281" s="67">
        <v>6035321.3032618016</v>
      </c>
      <c r="BZ281" s="67">
        <v>8940785.2716756389</v>
      </c>
      <c r="CA281" s="67">
        <v>4777724.8320620321</v>
      </c>
      <c r="CB281" s="67">
        <f t="shared" si="164"/>
        <v>-1109552.4902865002</v>
      </c>
      <c r="CC281" s="67">
        <f t="shared" si="165"/>
        <v>-70.73344008479603</v>
      </c>
      <c r="CD281" s="67">
        <f t="shared" si="166"/>
        <v>194.90082915826693</v>
      </c>
      <c r="CE281" s="67">
        <f t="shared" si="167"/>
        <v>265.63426924306293</v>
      </c>
      <c r="CF281" s="67">
        <f t="shared" si="168"/>
        <v>-250.63426924306293</v>
      </c>
      <c r="CG281" s="67">
        <f t="shared" si="169"/>
        <v>-235.63426924306293</v>
      </c>
      <c r="CH281" s="67">
        <f t="shared" si="170"/>
        <v>-220.63426924306293</v>
      </c>
      <c r="CI281" s="67">
        <f t="shared" si="171"/>
        <v>-205.63426924306293</v>
      </c>
      <c r="CJ281" s="67">
        <f t="shared" si="172"/>
        <v>-600018.44056789263</v>
      </c>
      <c r="CK281" s="67">
        <f t="shared" si="173"/>
        <v>-564108.44056789263</v>
      </c>
      <c r="CL281" s="67">
        <f t="shared" si="174"/>
        <v>-528198.44056789263</v>
      </c>
      <c r="CM281" s="67">
        <f t="shared" si="175"/>
        <v>-492288.44056789269</v>
      </c>
      <c r="CN281" s="299"/>
      <c r="CO281" s="430">
        <v>6609.5029102228427</v>
      </c>
      <c r="CP281" s="430">
        <v>1111.3248042282598</v>
      </c>
      <c r="CQ281" s="430">
        <v>981.93499999999995</v>
      </c>
      <c r="CR281" s="430">
        <v>9158196.4167669285</v>
      </c>
      <c r="CS281" s="430">
        <v>1124998.8190191879</v>
      </c>
      <c r="CT281" s="430">
        <v>1804787.613218969</v>
      </c>
      <c r="CU281" s="430">
        <v>541143.77381768078</v>
      </c>
      <c r="CV281" s="430">
        <v>190584</v>
      </c>
      <c r="CW281" s="430">
        <v>18014.364670919069</v>
      </c>
      <c r="CX281" s="430">
        <v>166970.82</v>
      </c>
      <c r="CY281" s="430">
        <v>5115561.3654733002</v>
      </c>
      <c r="CZ281" s="519"/>
      <c r="DA281" s="524">
        <v>6890.0904900000005</v>
      </c>
      <c r="DB281" s="524">
        <v>1102.6336821060422</v>
      </c>
      <c r="DC281" s="520">
        <f t="shared" si="176"/>
        <v>-1</v>
      </c>
      <c r="DD281" s="440">
        <v>2420</v>
      </c>
      <c r="DE281" s="450">
        <v>6035321.3032618016</v>
      </c>
      <c r="DF281" s="440">
        <v>3118325.2625620319</v>
      </c>
      <c r="DG281" s="440">
        <v>994131.99250000005</v>
      </c>
      <c r="DH281" s="440">
        <v>665267.57700000005</v>
      </c>
      <c r="DI281" s="440">
        <v>1121189.611645536</v>
      </c>
      <c r="DJ281" s="440">
        <v>541029.35857542511</v>
      </c>
      <c r="DK281" s="440">
        <v>-1109813.7035469699</v>
      </c>
      <c r="DL281" s="440">
        <v>201316</v>
      </c>
      <c r="DM281" s="440">
        <v>120750</v>
      </c>
      <c r="DN281" s="440">
        <v>18453.733588140181</v>
      </c>
      <c r="DO281" s="457">
        <f t="shared" si="177"/>
        <v>-364671.47093763761</v>
      </c>
      <c r="DP281" s="459">
        <f t="shared" si="178"/>
        <v>-150.69069047009819</v>
      </c>
      <c r="DQ281" s="440"/>
      <c r="DR281" s="450">
        <v>21346906</v>
      </c>
      <c r="DS281" s="440">
        <v>6948751.9136756379</v>
      </c>
      <c r="DT281" s="440">
        <v>997901.36550000007</v>
      </c>
      <c r="DU281" s="440">
        <v>9154402.3067669235</v>
      </c>
      <c r="DV281" s="440">
        <v>1804406.0229245233</v>
      </c>
      <c r="DW281" s="440">
        <v>1316197.9925000002</v>
      </c>
      <c r="DX281" s="457">
        <f t="shared" si="179"/>
        <v>-1125246.3986329138</v>
      </c>
      <c r="DY281" s="459">
        <f t="shared" si="180"/>
        <v>-464.9778506747578</v>
      </c>
      <c r="DZ281" s="440"/>
      <c r="EA281" s="457">
        <f t="shared" si="181"/>
        <v>760574.92769527622</v>
      </c>
      <c r="EB281" s="459">
        <f t="shared" si="182"/>
        <v>314.28716020465959</v>
      </c>
      <c r="ED281" s="457">
        <v>-750493.89775389852</v>
      </c>
      <c r="EE281" s="458">
        <v>-717329.62461069808</v>
      </c>
      <c r="EF281" s="458">
        <v>-683664.19785286637</v>
      </c>
      <c r="EG281" s="458">
        <v>-650244.57621351979</v>
      </c>
      <c r="EH281" s="459">
        <v>-616306.97817294276</v>
      </c>
    </row>
    <row r="282" spans="1:138" x14ac:dyDescent="0.2">
      <c r="A282" s="67">
        <v>858</v>
      </c>
      <c r="B282" s="67" t="s">
        <v>397</v>
      </c>
      <c r="C282" s="67">
        <v>35</v>
      </c>
      <c r="D282" s="67">
        <v>40384</v>
      </c>
      <c r="E282" s="82">
        <v>114481313.96470866</v>
      </c>
      <c r="F282" s="67">
        <v>67240451.418283239</v>
      </c>
      <c r="G282" s="67">
        <v>14157917</v>
      </c>
      <c r="H282" s="67">
        <v>8265641.5002659084</v>
      </c>
      <c r="I282" s="67">
        <v>18984708.044712968</v>
      </c>
      <c r="J282" s="67">
        <v>4510785.5157237537</v>
      </c>
      <c r="K282" s="67">
        <v>3459569.1472475585</v>
      </c>
      <c r="L282" s="67">
        <v>-3174910</v>
      </c>
      <c r="M282" s="68">
        <v>-665278.18000000005</v>
      </c>
      <c r="N282" s="68">
        <v>544788.29830578191</v>
      </c>
      <c r="O282" s="68">
        <v>-1175310.349295509</v>
      </c>
      <c r="P282" s="168">
        <f t="shared" si="148"/>
        <v>-2332951.5694649639</v>
      </c>
      <c r="Q282" s="169">
        <f t="shared" si="149"/>
        <v>-57.769204869873313</v>
      </c>
      <c r="R282" s="67"/>
      <c r="S282" s="82">
        <v>249184817.44</v>
      </c>
      <c r="T282" s="67">
        <v>185646563.1342774</v>
      </c>
      <c r="U282" s="67">
        <v>12422864.676807977</v>
      </c>
      <c r="V282" s="67">
        <v>24717932.128875185</v>
      </c>
      <c r="W282" s="67">
        <v>15044079.26054896</v>
      </c>
      <c r="X282" s="67">
        <v>10317728.82</v>
      </c>
      <c r="Y282" s="168">
        <f t="shared" si="150"/>
        <v>-1035649.4194904566</v>
      </c>
      <c r="Z282" s="169">
        <f t="shared" si="151"/>
        <v>-25.645043073753381</v>
      </c>
      <c r="AA282" s="67"/>
      <c r="AB282" s="77">
        <f t="shared" si="152"/>
        <v>-1297302.1499745073</v>
      </c>
      <c r="AC282" s="123">
        <f t="shared" si="153"/>
        <v>-32.124161796119928</v>
      </c>
      <c r="AE282" s="170"/>
      <c r="AF282" s="177">
        <v>737908.11089191353</v>
      </c>
      <c r="AG282" s="177">
        <v>26918.448223204326</v>
      </c>
      <c r="AH282" s="177">
        <v>-120368.45747066366</v>
      </c>
      <c r="AI282" s="178">
        <v>-190130.45155087623</v>
      </c>
      <c r="AK282" s="67">
        <f t="shared" si="154"/>
        <v>118406111.71599416</v>
      </c>
      <c r="AL282" s="67">
        <f t="shared" si="155"/>
        <v>4157223.1765420688</v>
      </c>
      <c r="AM282" s="67">
        <f t="shared" si="156"/>
        <v>5733224.0841622166</v>
      </c>
      <c r="AN282" s="67">
        <f t="shared" si="157"/>
        <v>134703503.47529134</v>
      </c>
      <c r="AO282" s="67">
        <f t="shared" si="158"/>
        <v>0</v>
      </c>
      <c r="AP282" s="67">
        <f t="shared" si="159"/>
        <v>737908.11089191353</v>
      </c>
      <c r="AQ282" s="67">
        <f t="shared" si="160"/>
        <v>26918.448223204326</v>
      </c>
      <c r="AR282" s="67">
        <f t="shared" si="161"/>
        <v>-120368.45747066366</v>
      </c>
      <c r="AS282" s="67">
        <f t="shared" si="162"/>
        <v>-190130.45155087623</v>
      </c>
      <c r="AT282" s="68">
        <v>18938</v>
      </c>
      <c r="AU282" s="68"/>
      <c r="AV282" s="68"/>
      <c r="AW282" s="68">
        <v>0</v>
      </c>
      <c r="AX282" s="68">
        <v>16967.147356582118</v>
      </c>
      <c r="AY282" s="68">
        <v>10224.845990895959</v>
      </c>
      <c r="AZ282" s="68">
        <v>10449.577117429108</v>
      </c>
      <c r="BA282" s="299"/>
      <c r="BB282" s="67"/>
      <c r="BC282" s="67"/>
      <c r="BD282" s="67"/>
      <c r="BE282" s="67"/>
      <c r="BF282" s="67"/>
      <c r="BG282" s="67"/>
      <c r="BH282" s="67"/>
      <c r="BN282" s="299"/>
      <c r="BO282" s="67">
        <v>111838757.58428825</v>
      </c>
      <c r="BP282" s="67">
        <v>118848288.98999996</v>
      </c>
      <c r="BQ282" s="67">
        <v>136289000</v>
      </c>
      <c r="BR282" s="67">
        <v>3099333</v>
      </c>
      <c r="BS282" s="67">
        <v>2322000</v>
      </c>
      <c r="BT282" s="428">
        <v>0.63780395239717691</v>
      </c>
      <c r="BU282" s="428">
        <v>0.33464287704132478</v>
      </c>
      <c r="BV282" s="67">
        <f t="shared" si="163"/>
        <v>19726086.97623498</v>
      </c>
      <c r="BW282" s="299"/>
      <c r="BX282" s="67">
        <v>241202191</v>
      </c>
      <c r="BY282" s="67">
        <v>111838757.58428825</v>
      </c>
      <c r="BZ282" s="67">
        <v>208550560.33794343</v>
      </c>
      <c r="CA282" s="67">
        <v>88852977.691096559</v>
      </c>
      <c r="CB282" s="67">
        <f t="shared" si="164"/>
        <v>4178231.2747867997</v>
      </c>
      <c r="CC282" s="67">
        <f t="shared" si="165"/>
        <v>-25.645043073753751</v>
      </c>
      <c r="CD282" s="67">
        <f t="shared" si="166"/>
        <v>-10.870124124163187</v>
      </c>
      <c r="CE282" s="67">
        <f t="shared" si="167"/>
        <v>14.774918949590564</v>
      </c>
      <c r="CF282" s="67">
        <f t="shared" si="168"/>
        <v>0</v>
      </c>
      <c r="CG282" s="67">
        <f t="shared" si="169"/>
        <v>0</v>
      </c>
      <c r="CH282" s="67">
        <f t="shared" si="170"/>
        <v>0</v>
      </c>
      <c r="CI282" s="67">
        <f t="shared" si="171"/>
        <v>0</v>
      </c>
      <c r="CJ282" s="67">
        <f t="shared" si="172"/>
        <v>0</v>
      </c>
      <c r="CK282" s="67">
        <f t="shared" si="173"/>
        <v>0</v>
      </c>
      <c r="CL282" s="67">
        <f t="shared" si="174"/>
        <v>0</v>
      </c>
      <c r="CM282" s="67">
        <f t="shared" si="175"/>
        <v>0</v>
      </c>
      <c r="CN282" s="299"/>
      <c r="CO282" s="430">
        <v>185646.56313427741</v>
      </c>
      <c r="CP282" s="430">
        <v>12422.864676807978</v>
      </c>
      <c r="CQ282" s="430">
        <v>14157.916999999999</v>
      </c>
      <c r="CR282" s="430">
        <v>24717932.128875185</v>
      </c>
      <c r="CS282" s="430">
        <v>18984708.044712968</v>
      </c>
      <c r="CT282" s="430">
        <v>15044079.26054896</v>
      </c>
      <c r="CU282" s="430">
        <v>4510785.5157237537</v>
      </c>
      <c r="CV282" s="430">
        <v>-3174910</v>
      </c>
      <c r="CW282" s="430">
        <v>544788.29830578191</v>
      </c>
      <c r="CX282" s="430">
        <v>-665278.18000000005</v>
      </c>
      <c r="CY282" s="430">
        <v>114481313.96470866</v>
      </c>
      <c r="CZ282" s="519"/>
      <c r="DA282" s="524">
        <v>191387.27083000002</v>
      </c>
      <c r="DB282" s="524">
        <v>12325.719416769303</v>
      </c>
      <c r="DC282" s="520">
        <f t="shared" si="176"/>
        <v>-1</v>
      </c>
      <c r="DD282" s="440">
        <v>39718</v>
      </c>
      <c r="DE282" s="450">
        <v>111838757.58428825</v>
      </c>
      <c r="DF282" s="440">
        <v>67139036.321496561</v>
      </c>
      <c r="DG282" s="440">
        <v>14277295.438999999</v>
      </c>
      <c r="DH282" s="440">
        <v>7436645.9305999996</v>
      </c>
      <c r="DI282" s="440">
        <v>18923513.492810182</v>
      </c>
      <c r="DJ282" s="440">
        <v>4474934.6451953426</v>
      </c>
      <c r="DK282" s="440">
        <v>4186990.4005118897</v>
      </c>
      <c r="DL282" s="440">
        <v>-3001162</v>
      </c>
      <c r="DM282" s="440">
        <v>-508800</v>
      </c>
      <c r="DN282" s="440">
        <v>530587.37276327377</v>
      </c>
      <c r="DO282" s="457">
        <f t="shared" si="177"/>
        <v>1620284.0180889964</v>
      </c>
      <c r="DP282" s="459">
        <f t="shared" si="178"/>
        <v>40.794703109144379</v>
      </c>
      <c r="DQ282" s="440"/>
      <c r="DR282" s="450">
        <v>241202191</v>
      </c>
      <c r="DS282" s="440">
        <v>183118296.00304341</v>
      </c>
      <c r="DT282" s="440">
        <v>11154968.8959</v>
      </c>
      <c r="DU282" s="440">
        <v>24656839.418875162</v>
      </c>
      <c r="DV282" s="440">
        <v>14924511.76262445</v>
      </c>
      <c r="DW282" s="440">
        <v>10767333.438999999</v>
      </c>
      <c r="DX282" s="457">
        <f t="shared" si="179"/>
        <v>3419758.5194430351</v>
      </c>
      <c r="DY282" s="459">
        <f t="shared" si="180"/>
        <v>86.100974858830639</v>
      </c>
      <c r="DZ282" s="440"/>
      <c r="EA282" s="457">
        <f t="shared" si="181"/>
        <v>-1799474.5013540387</v>
      </c>
      <c r="EB282" s="459">
        <f t="shared" si="182"/>
        <v>-45.306271749686253</v>
      </c>
      <c r="ED282" s="457">
        <v>1964928.3638382014</v>
      </c>
      <c r="EE282" s="458">
        <v>1317693.570739704</v>
      </c>
      <c r="EF282" s="458">
        <v>678683.90956927347</v>
      </c>
      <c r="EG282" s="458">
        <v>35639.997284798505</v>
      </c>
      <c r="EH282" s="459">
        <v>-15297.182178495483</v>
      </c>
    </row>
    <row r="283" spans="1:138" x14ac:dyDescent="0.2">
      <c r="A283" s="67">
        <v>859</v>
      </c>
      <c r="B283" s="67" t="s">
        <v>398</v>
      </c>
      <c r="C283" s="67">
        <v>17</v>
      </c>
      <c r="D283" s="67">
        <v>6562</v>
      </c>
      <c r="E283" s="82">
        <v>22637402.80768241</v>
      </c>
      <c r="F283" s="67">
        <v>8985987.170103617</v>
      </c>
      <c r="G283" s="67">
        <v>964692</v>
      </c>
      <c r="H283" s="67">
        <v>527753.14796945127</v>
      </c>
      <c r="I283" s="67">
        <v>14207660.452791508</v>
      </c>
      <c r="J283" s="67">
        <v>993307.10610691132</v>
      </c>
      <c r="K283" s="67">
        <v>-1496316.8463877013</v>
      </c>
      <c r="L283" s="67">
        <v>-1015472</v>
      </c>
      <c r="M283" s="68">
        <v>-260257.11000000002</v>
      </c>
      <c r="N283" s="68">
        <v>51234.135006988385</v>
      </c>
      <c r="O283" s="68">
        <v>-190976.2904139543</v>
      </c>
      <c r="P283" s="168">
        <f t="shared" si="148"/>
        <v>130208.95749441069</v>
      </c>
      <c r="Q283" s="169">
        <f t="shared" si="149"/>
        <v>19.842876789760847</v>
      </c>
      <c r="R283" s="67"/>
      <c r="S283" s="82">
        <v>45821763.729999997</v>
      </c>
      <c r="T283" s="67">
        <v>20246913.253223214</v>
      </c>
      <c r="U283" s="67">
        <v>793187.7930797016</v>
      </c>
      <c r="V283" s="67">
        <v>20126333.276652191</v>
      </c>
      <c r="W283" s="67">
        <v>3312813.4295565658</v>
      </c>
      <c r="X283" s="67">
        <v>-311037.11</v>
      </c>
      <c r="Y283" s="168">
        <f t="shared" si="150"/>
        <v>-1653553.0874883235</v>
      </c>
      <c r="Z283" s="169">
        <f t="shared" si="151"/>
        <v>-251.98919346057963</v>
      </c>
      <c r="AA283" s="67"/>
      <c r="AB283" s="77">
        <f t="shared" si="152"/>
        <v>1783762.0449827341</v>
      </c>
      <c r="AC283" s="123">
        <f t="shared" si="153"/>
        <v>271.83207025034045</v>
      </c>
      <c r="AE283" s="170"/>
      <c r="AF283" s="177">
        <v>-1677798.03558446</v>
      </c>
      <c r="AG283" s="177">
        <v>-1596466.8134774885</v>
      </c>
      <c r="AH283" s="177">
        <v>-1508030.7270826423</v>
      </c>
      <c r="AI283" s="178">
        <v>-1420936.360134206</v>
      </c>
      <c r="AK283" s="67">
        <f t="shared" si="154"/>
        <v>11260926.083119597</v>
      </c>
      <c r="AL283" s="67">
        <f t="shared" si="155"/>
        <v>265434.64511025033</v>
      </c>
      <c r="AM283" s="67">
        <f t="shared" si="156"/>
        <v>5918672.8238606825</v>
      </c>
      <c r="AN283" s="67">
        <f t="shared" si="157"/>
        <v>23184360.922317587</v>
      </c>
      <c r="AO283" s="67">
        <f t="shared" si="158"/>
        <v>0</v>
      </c>
      <c r="AP283" s="67">
        <f t="shared" si="159"/>
        <v>-1677798.03558446</v>
      </c>
      <c r="AQ283" s="67">
        <f t="shared" si="160"/>
        <v>-1596466.8134774885</v>
      </c>
      <c r="AR283" s="67">
        <f t="shared" si="161"/>
        <v>-1508030.7270826423</v>
      </c>
      <c r="AS283" s="67">
        <f t="shared" si="162"/>
        <v>-1420936.360134206</v>
      </c>
      <c r="AT283" s="68">
        <v>2123</v>
      </c>
      <c r="AU283" s="68"/>
      <c r="AV283" s="68"/>
      <c r="AW283" s="68">
        <v>138</v>
      </c>
      <c r="AX283" s="68">
        <v>3177.5988345594219</v>
      </c>
      <c r="AY283" s="68">
        <v>-3527.2914700255351</v>
      </c>
      <c r="AZ283" s="68">
        <v>2336.6730353434345</v>
      </c>
      <c r="BA283" s="299"/>
      <c r="BB283" s="67"/>
      <c r="BC283" s="67"/>
      <c r="BD283" s="67"/>
      <c r="BE283" s="67"/>
      <c r="BF283" s="67"/>
      <c r="BG283" s="67"/>
      <c r="BH283" s="67"/>
      <c r="BN283" s="299"/>
      <c r="BO283" s="67">
        <v>20592266.092427645</v>
      </c>
      <c r="BP283" s="67">
        <v>21827964.809999991</v>
      </c>
      <c r="BQ283" s="67">
        <v>22084000</v>
      </c>
      <c r="BR283" s="67">
        <v>468824</v>
      </c>
      <c r="BS283" s="67">
        <v>465000</v>
      </c>
      <c r="BT283" s="428">
        <v>0.55617989479590968</v>
      </c>
      <c r="BU283" s="428">
        <v>0.33464287704132478</v>
      </c>
      <c r="BV283" s="67">
        <f t="shared" si="163"/>
        <v>6741862.3009226378</v>
      </c>
      <c r="BW283" s="299"/>
      <c r="BX283" s="67">
        <v>42983121</v>
      </c>
      <c r="BY283" s="67">
        <v>20592266.092427645</v>
      </c>
      <c r="BZ283" s="67">
        <v>21758235.115241122</v>
      </c>
      <c r="CA283" s="67">
        <v>10472650.916945899</v>
      </c>
      <c r="CB283" s="67">
        <f t="shared" si="164"/>
        <v>-1270673.0593910255</v>
      </c>
      <c r="CC283" s="67">
        <f t="shared" si="165"/>
        <v>-251.98919346057991</v>
      </c>
      <c r="CD283" s="67">
        <f t="shared" si="166"/>
        <v>83.332678284827878</v>
      </c>
      <c r="CE283" s="67">
        <f t="shared" si="167"/>
        <v>335.3218717454078</v>
      </c>
      <c r="CF283" s="67">
        <f t="shared" si="168"/>
        <v>-320.3218717454078</v>
      </c>
      <c r="CG283" s="67">
        <f t="shared" si="169"/>
        <v>-305.3218717454078</v>
      </c>
      <c r="CH283" s="67">
        <f t="shared" si="170"/>
        <v>-290.3218717454078</v>
      </c>
      <c r="CI283" s="67">
        <f t="shared" si="171"/>
        <v>-275.3218717454078</v>
      </c>
      <c r="CJ283" s="67">
        <f t="shared" si="172"/>
        <v>-2101952.1223933659</v>
      </c>
      <c r="CK283" s="67">
        <f t="shared" si="173"/>
        <v>-2003522.1223933659</v>
      </c>
      <c r="CL283" s="67">
        <f t="shared" si="174"/>
        <v>-1905092.1223933659</v>
      </c>
      <c r="CM283" s="67">
        <f t="shared" si="175"/>
        <v>-1806662.1223933659</v>
      </c>
      <c r="CN283" s="299"/>
      <c r="CO283" s="430">
        <v>20246.913253223214</v>
      </c>
      <c r="CP283" s="430">
        <v>793.18779307970158</v>
      </c>
      <c r="CQ283" s="430">
        <v>964.69200000000001</v>
      </c>
      <c r="CR283" s="430">
        <v>20126333.276652191</v>
      </c>
      <c r="CS283" s="430">
        <v>14207660.452791508</v>
      </c>
      <c r="CT283" s="430">
        <v>3312813.4295565658</v>
      </c>
      <c r="CU283" s="430">
        <v>993307.10610691132</v>
      </c>
      <c r="CV283" s="430">
        <v>-1015472</v>
      </c>
      <c r="CW283" s="430">
        <v>51234.135006988385</v>
      </c>
      <c r="CX283" s="430">
        <v>-260257.11000000002</v>
      </c>
      <c r="CY283" s="430">
        <v>22637402.80768241</v>
      </c>
      <c r="CZ283" s="519"/>
      <c r="DA283" s="524">
        <v>20230.671399999999</v>
      </c>
      <c r="DB283" s="524">
        <v>786.98509233985897</v>
      </c>
      <c r="DC283" s="520">
        <f t="shared" si="176"/>
        <v>-1</v>
      </c>
      <c r="DD283" s="440">
        <v>6593</v>
      </c>
      <c r="DE283" s="450">
        <v>20592266.092427645</v>
      </c>
      <c r="DF283" s="440">
        <v>9029178.8101458978</v>
      </c>
      <c r="DG283" s="440">
        <v>968649.51740000001</v>
      </c>
      <c r="DH283" s="440">
        <v>474822.5894</v>
      </c>
      <c r="DI283" s="440">
        <v>14197107.803632421</v>
      </c>
      <c r="DJ283" s="440">
        <v>1000658.5915243896</v>
      </c>
      <c r="DK283" s="440">
        <v>-1269966.4205834512</v>
      </c>
      <c r="DL283" s="440">
        <v>-1015472</v>
      </c>
      <c r="DM283" s="440">
        <v>-310000</v>
      </c>
      <c r="DN283" s="440">
        <v>50025.976610897909</v>
      </c>
      <c r="DO283" s="457">
        <f t="shared" si="177"/>
        <v>2532738.77570251</v>
      </c>
      <c r="DP283" s="459">
        <f t="shared" si="178"/>
        <v>384.15573725201125</v>
      </c>
      <c r="DQ283" s="440"/>
      <c r="DR283" s="450">
        <v>42983121</v>
      </c>
      <c r="DS283" s="440">
        <v>20077351.71374112</v>
      </c>
      <c r="DT283" s="440">
        <v>712233.88409999991</v>
      </c>
      <c r="DU283" s="440">
        <v>20115761.316652197</v>
      </c>
      <c r="DV283" s="440">
        <v>3337331.6268678242</v>
      </c>
      <c r="DW283" s="440">
        <v>-356822.48259999999</v>
      </c>
      <c r="DX283" s="457">
        <f t="shared" si="179"/>
        <v>902735.05876114219</v>
      </c>
      <c r="DY283" s="459">
        <f t="shared" si="180"/>
        <v>136.92326084652544</v>
      </c>
      <c r="DZ283" s="440"/>
      <c r="EA283" s="457">
        <f t="shared" si="181"/>
        <v>1630003.7169413678</v>
      </c>
      <c r="EB283" s="459">
        <f t="shared" si="182"/>
        <v>247.23247640548578</v>
      </c>
      <c r="ED283" s="457">
        <v>-1602539.1589233917</v>
      </c>
      <c r="EE283" s="458">
        <v>-1512187.070975821</v>
      </c>
      <c r="EF283" s="458">
        <v>-1420469.6500607864</v>
      </c>
      <c r="EG283" s="458">
        <v>-1329421.8957350785</v>
      </c>
      <c r="EH283" s="459">
        <v>-1236962.976775771</v>
      </c>
    </row>
    <row r="284" spans="1:138" x14ac:dyDescent="0.2">
      <c r="A284" s="67">
        <v>886</v>
      </c>
      <c r="B284" s="67" t="s">
        <v>399</v>
      </c>
      <c r="C284" s="67">
        <v>4</v>
      </c>
      <c r="D284" s="67">
        <v>12599</v>
      </c>
      <c r="E284" s="82">
        <v>33232094.511986881</v>
      </c>
      <c r="F284" s="67">
        <v>20665353.287557852</v>
      </c>
      <c r="G284" s="67">
        <v>2990721</v>
      </c>
      <c r="H284" s="67">
        <v>2318077.9317708025</v>
      </c>
      <c r="I284" s="67">
        <v>7200476.8746992014</v>
      </c>
      <c r="J284" s="67">
        <v>1941637.1154251862</v>
      </c>
      <c r="K284" s="67">
        <v>-338942.07709485816</v>
      </c>
      <c r="L284" s="67">
        <v>-340114</v>
      </c>
      <c r="M284" s="68">
        <v>28567.43</v>
      </c>
      <c r="N284" s="68">
        <v>130962.6381653336</v>
      </c>
      <c r="O284" s="68">
        <v>-366673.31346013566</v>
      </c>
      <c r="P284" s="168">
        <f t="shared" si="148"/>
        <v>997972.37507650093</v>
      </c>
      <c r="Q284" s="169">
        <f t="shared" si="149"/>
        <v>79.210443295221921</v>
      </c>
      <c r="R284" s="67"/>
      <c r="S284" s="82">
        <v>81848792.890000001</v>
      </c>
      <c r="T284" s="67">
        <v>48962691.078962334</v>
      </c>
      <c r="U284" s="67">
        <v>3483960.4954748135</v>
      </c>
      <c r="V284" s="67">
        <v>20490068.215640143</v>
      </c>
      <c r="W284" s="67">
        <v>6475622.1633369755</v>
      </c>
      <c r="X284" s="67">
        <v>2679174.4300000002</v>
      </c>
      <c r="Y284" s="168">
        <f t="shared" si="150"/>
        <v>242723.4934142679</v>
      </c>
      <c r="Z284" s="169">
        <f t="shared" si="151"/>
        <v>19.265298310522098</v>
      </c>
      <c r="AA284" s="67"/>
      <c r="AB284" s="77">
        <f t="shared" si="152"/>
        <v>755248.88166223303</v>
      </c>
      <c r="AC284" s="123">
        <f t="shared" si="153"/>
        <v>59.945144984699823</v>
      </c>
      <c r="AE284" s="170"/>
      <c r="AF284" s="177">
        <v>-551798.62954259687</v>
      </c>
      <c r="AG284" s="177">
        <v>-395643.17886814824</v>
      </c>
      <c r="AH284" s="177">
        <v>-225846.43207011867</v>
      </c>
      <c r="AI284" s="178">
        <v>-59316.896768261926</v>
      </c>
      <c r="AK284" s="67">
        <f t="shared" si="154"/>
        <v>28297337.791404482</v>
      </c>
      <c r="AL284" s="67">
        <f t="shared" si="155"/>
        <v>1165882.563704011</v>
      </c>
      <c r="AM284" s="67">
        <f t="shared" si="156"/>
        <v>13289591.340940941</v>
      </c>
      <c r="AN284" s="67">
        <f t="shared" si="157"/>
        <v>48616698.378013119</v>
      </c>
      <c r="AO284" s="67">
        <f t="shared" si="158"/>
        <v>0</v>
      </c>
      <c r="AP284" s="67">
        <f t="shared" si="159"/>
        <v>-551798.62954259687</v>
      </c>
      <c r="AQ284" s="67">
        <f t="shared" si="160"/>
        <v>-395643.17886814824</v>
      </c>
      <c r="AR284" s="67">
        <f t="shared" si="161"/>
        <v>-225846.43207011867</v>
      </c>
      <c r="AS284" s="67">
        <f t="shared" si="162"/>
        <v>-59316.896768261926</v>
      </c>
      <c r="AT284" s="68">
        <v>3226</v>
      </c>
      <c r="AU284" s="68"/>
      <c r="AV284" s="68"/>
      <c r="AW284" s="68">
        <v>60</v>
      </c>
      <c r="AX284" s="68">
        <v>12433.13384842997</v>
      </c>
      <c r="AY284" s="68">
        <v>-1385.7449894433162</v>
      </c>
      <c r="AZ284" s="68">
        <v>4562.5110484115139</v>
      </c>
      <c r="BA284" s="299"/>
      <c r="BB284" s="67"/>
      <c r="BC284" s="67"/>
      <c r="BD284" s="67"/>
      <c r="BE284" s="67"/>
      <c r="BF284" s="67"/>
      <c r="BG284" s="67"/>
      <c r="BH284" s="67"/>
      <c r="BN284" s="299"/>
      <c r="BO284" s="67">
        <v>32227027.055187374</v>
      </c>
      <c r="BP284" s="67">
        <v>44050259.879999995</v>
      </c>
      <c r="BQ284" s="67">
        <v>47655000</v>
      </c>
      <c r="BR284" s="67">
        <v>1146603.9099999999</v>
      </c>
      <c r="BS284" s="67">
        <v>1187000</v>
      </c>
      <c r="BT284" s="428">
        <v>0.5779367344366193</v>
      </c>
      <c r="BU284" s="428">
        <v>0.33464287704132478</v>
      </c>
      <c r="BV284" s="67">
        <f t="shared" si="163"/>
        <v>17484634.311757874</v>
      </c>
      <c r="BW284" s="299"/>
      <c r="BX284" s="67">
        <v>80214278.020000011</v>
      </c>
      <c r="BY284" s="67">
        <v>32227027.055187374</v>
      </c>
      <c r="BZ284" s="67">
        <v>55762302.175909102</v>
      </c>
      <c r="CA284" s="67">
        <v>26255280.213061966</v>
      </c>
      <c r="CB284" s="67">
        <f t="shared" si="164"/>
        <v>-141160.7029081751</v>
      </c>
      <c r="CC284" s="67">
        <f t="shared" si="165"/>
        <v>19.265298310521985</v>
      </c>
      <c r="CD284" s="67">
        <f t="shared" si="166"/>
        <v>124.01199005661708</v>
      </c>
      <c r="CE284" s="67">
        <f t="shared" si="167"/>
        <v>104.7466917460951</v>
      </c>
      <c r="CF284" s="67">
        <f t="shared" si="168"/>
        <v>-89.746691746095095</v>
      </c>
      <c r="CG284" s="67">
        <f t="shared" si="169"/>
        <v>-74.746691746095095</v>
      </c>
      <c r="CH284" s="67">
        <f t="shared" si="170"/>
        <v>-59.746691746095095</v>
      </c>
      <c r="CI284" s="67">
        <f t="shared" si="171"/>
        <v>-44.746691746095095</v>
      </c>
      <c r="CJ284" s="67">
        <f t="shared" si="172"/>
        <v>-1130718.5693090521</v>
      </c>
      <c r="CK284" s="67">
        <f t="shared" si="173"/>
        <v>-941733.56930905208</v>
      </c>
      <c r="CL284" s="67">
        <f t="shared" si="174"/>
        <v>-752748.56930905208</v>
      </c>
      <c r="CM284" s="67">
        <f t="shared" si="175"/>
        <v>-563763.56930905208</v>
      </c>
      <c r="CN284" s="299"/>
      <c r="CO284" s="430">
        <v>48962.691078962336</v>
      </c>
      <c r="CP284" s="430">
        <v>3483.9604954748133</v>
      </c>
      <c r="CQ284" s="430">
        <v>2990.721</v>
      </c>
      <c r="CR284" s="430">
        <v>20490068.215640143</v>
      </c>
      <c r="CS284" s="430">
        <v>7200476.8746992014</v>
      </c>
      <c r="CT284" s="430">
        <v>6475622.1633369755</v>
      </c>
      <c r="CU284" s="430">
        <v>1941637.1154251862</v>
      </c>
      <c r="CV284" s="430">
        <v>-340114</v>
      </c>
      <c r="CW284" s="430">
        <v>130962.6381653336</v>
      </c>
      <c r="CX284" s="430">
        <v>28567.43</v>
      </c>
      <c r="CY284" s="430">
        <v>33232094.511986881</v>
      </c>
      <c r="CZ284" s="519"/>
      <c r="DA284" s="524">
        <v>49801.683990000005</v>
      </c>
      <c r="DB284" s="524">
        <v>3456.7181962102418</v>
      </c>
      <c r="DC284" s="520">
        <f t="shared" si="176"/>
        <v>-1</v>
      </c>
      <c r="DD284" s="440">
        <v>12669</v>
      </c>
      <c r="DE284" s="450">
        <v>32227027.055187374</v>
      </c>
      <c r="DF284" s="440">
        <v>21182987.762861967</v>
      </c>
      <c r="DG284" s="440">
        <v>2986704.1969999997</v>
      </c>
      <c r="DH284" s="440">
        <v>2085588.2531999999</v>
      </c>
      <c r="DI284" s="440">
        <v>7180410.0471108705</v>
      </c>
      <c r="DJ284" s="440">
        <v>1953853.1110095633</v>
      </c>
      <c r="DK284" s="440">
        <v>-141052.78831426238</v>
      </c>
      <c r="DL284" s="440">
        <v>-171841</v>
      </c>
      <c r="DM284" s="440">
        <v>-47000</v>
      </c>
      <c r="DN284" s="440">
        <v>130796.73720334488</v>
      </c>
      <c r="DO284" s="457">
        <f t="shared" si="177"/>
        <v>2933419.2648841143</v>
      </c>
      <c r="DP284" s="459">
        <f t="shared" si="178"/>
        <v>231.54307876581532</v>
      </c>
      <c r="DQ284" s="440"/>
      <c r="DR284" s="450">
        <v>80214278.020000011</v>
      </c>
      <c r="DS284" s="440">
        <v>49647215.599109106</v>
      </c>
      <c r="DT284" s="440">
        <v>3128382.3797999998</v>
      </c>
      <c r="DU284" s="440">
        <v>20470043.645640135</v>
      </c>
      <c r="DV284" s="440">
        <v>6516364.159421077</v>
      </c>
      <c r="DW284" s="440">
        <v>2767863.1969999997</v>
      </c>
      <c r="DX284" s="457">
        <f t="shared" si="179"/>
        <v>2315590.9609703124</v>
      </c>
      <c r="DY284" s="459">
        <f t="shared" si="180"/>
        <v>182.77614341860544</v>
      </c>
      <c r="DZ284" s="440"/>
      <c r="EA284" s="457">
        <f t="shared" si="181"/>
        <v>617828.30391380191</v>
      </c>
      <c r="EB284" s="459">
        <f t="shared" si="182"/>
        <v>48.766935347209873</v>
      </c>
      <c r="ED284" s="457">
        <v>-565052.86245624174</v>
      </c>
      <c r="EE284" s="458">
        <v>-391433.78127805708</v>
      </c>
      <c r="EF284" s="458">
        <v>-215191.09880079702</v>
      </c>
      <c r="EG284" s="458">
        <v>-40235.236590514854</v>
      </c>
      <c r="EH284" s="459">
        <v>-4879.3997940319068</v>
      </c>
    </row>
    <row r="285" spans="1:138" x14ac:dyDescent="0.2">
      <c r="A285" s="67">
        <v>887</v>
      </c>
      <c r="B285" s="67" t="s">
        <v>400</v>
      </c>
      <c r="C285" s="67">
        <v>6</v>
      </c>
      <c r="D285" s="67">
        <v>4569</v>
      </c>
      <c r="E285" s="82">
        <v>11826735.953989264</v>
      </c>
      <c r="F285" s="67">
        <v>6255689.9573281212</v>
      </c>
      <c r="G285" s="67">
        <v>1750498</v>
      </c>
      <c r="H285" s="67">
        <v>782633.69954489009</v>
      </c>
      <c r="I285" s="67">
        <v>2489677.8210657276</v>
      </c>
      <c r="J285" s="67">
        <v>1029834.920638375</v>
      </c>
      <c r="K285" s="67">
        <v>-457978.40603436116</v>
      </c>
      <c r="L285" s="67">
        <v>-289905</v>
      </c>
      <c r="M285" s="68">
        <v>-152531.85999999999</v>
      </c>
      <c r="N285" s="68">
        <v>36644.138655849587</v>
      </c>
      <c r="O285" s="68">
        <v>-132973.28114924676</v>
      </c>
      <c r="P285" s="168">
        <f t="shared" si="148"/>
        <v>-515145.96393990796</v>
      </c>
      <c r="Q285" s="169">
        <f t="shared" si="149"/>
        <v>-112.74807702777588</v>
      </c>
      <c r="R285" s="67"/>
      <c r="S285" s="82">
        <v>33912943.840000004</v>
      </c>
      <c r="T285" s="67">
        <v>14106049.906391719</v>
      </c>
      <c r="U285" s="67">
        <v>1176261.0972957131</v>
      </c>
      <c r="V285" s="67">
        <v>13126609.464165147</v>
      </c>
      <c r="W285" s="67">
        <v>3434638.6272101505</v>
      </c>
      <c r="X285" s="67">
        <v>1308061.1400000001</v>
      </c>
      <c r="Y285" s="168">
        <f t="shared" si="150"/>
        <v>-761323.60493727028</v>
      </c>
      <c r="Z285" s="169">
        <f t="shared" si="151"/>
        <v>-166.62805973676302</v>
      </c>
      <c r="AA285" s="67"/>
      <c r="AB285" s="77">
        <f t="shared" si="152"/>
        <v>246177.64099736232</v>
      </c>
      <c r="AC285" s="123">
        <f t="shared" si="153"/>
        <v>53.879982708987157</v>
      </c>
      <c r="AE285" s="170"/>
      <c r="AF285" s="177">
        <v>-172396.84871746012</v>
      </c>
      <c r="AG285" s="177">
        <v>-115767.41351374905</v>
      </c>
      <c r="AH285" s="177">
        <v>-54190.991883445298</v>
      </c>
      <c r="AI285" s="178">
        <v>-21511.14384746319</v>
      </c>
      <c r="AK285" s="67">
        <f t="shared" si="154"/>
        <v>7850359.9490635982</v>
      </c>
      <c r="AL285" s="67">
        <f t="shared" si="155"/>
        <v>393627.39775082306</v>
      </c>
      <c r="AM285" s="67">
        <f t="shared" si="156"/>
        <v>10636931.64309942</v>
      </c>
      <c r="AN285" s="67">
        <f t="shared" si="157"/>
        <v>22086207.88601074</v>
      </c>
      <c r="AO285" s="67">
        <f t="shared" si="158"/>
        <v>0</v>
      </c>
      <c r="AP285" s="67">
        <f t="shared" si="159"/>
        <v>-172396.84871746012</v>
      </c>
      <c r="AQ285" s="67">
        <f t="shared" si="160"/>
        <v>-115767.41351374905</v>
      </c>
      <c r="AR285" s="67">
        <f t="shared" si="161"/>
        <v>-54190.991883445298</v>
      </c>
      <c r="AS285" s="67">
        <f t="shared" si="162"/>
        <v>-21511.14384746319</v>
      </c>
      <c r="AT285" s="68">
        <v>1656</v>
      </c>
      <c r="AU285" s="68"/>
      <c r="AV285" s="68"/>
      <c r="AW285" s="68">
        <v>7</v>
      </c>
      <c r="AX285" s="68">
        <v>8377.959138956674</v>
      </c>
      <c r="AY285" s="68">
        <v>-2199.8312077838723</v>
      </c>
      <c r="AZ285" s="68">
        <v>2407.6993481854247</v>
      </c>
      <c r="BA285" s="299"/>
      <c r="BB285" s="67"/>
      <c r="BC285" s="67"/>
      <c r="BD285" s="67"/>
      <c r="BE285" s="67"/>
      <c r="BF285" s="67"/>
      <c r="BG285" s="67"/>
      <c r="BH285" s="67"/>
      <c r="BN285" s="299"/>
      <c r="BO285" s="67">
        <v>11588229.426084738</v>
      </c>
      <c r="BP285" s="67">
        <v>20853708.859999992</v>
      </c>
      <c r="BQ285" s="67">
        <v>21150000</v>
      </c>
      <c r="BR285" s="67">
        <v>355366.28</v>
      </c>
      <c r="BS285" s="67">
        <v>363000</v>
      </c>
      <c r="BT285" s="428">
        <v>0.55652432829593568</v>
      </c>
      <c r="BU285" s="428">
        <v>0.33464287704132473</v>
      </c>
      <c r="BV285" s="67">
        <f t="shared" si="163"/>
        <v>12583756.943636835</v>
      </c>
      <c r="BW285" s="299"/>
      <c r="BX285" s="67">
        <v>33454706.52</v>
      </c>
      <c r="BY285" s="67">
        <v>11588229.426084738</v>
      </c>
      <c r="BZ285" s="67">
        <v>17022189.741899297</v>
      </c>
      <c r="CA285" s="67">
        <v>8791099.469486434</v>
      </c>
      <c r="CB285" s="67">
        <f t="shared" si="164"/>
        <v>-413114.11731016805</v>
      </c>
      <c r="CC285" s="67">
        <f t="shared" si="165"/>
        <v>-166.62805973676416</v>
      </c>
      <c r="CD285" s="67">
        <f t="shared" si="166"/>
        <v>-73.82543096223867</v>
      </c>
      <c r="CE285" s="67">
        <f t="shared" si="167"/>
        <v>92.802628774525488</v>
      </c>
      <c r="CF285" s="67">
        <f t="shared" si="168"/>
        <v>-77.802628774525488</v>
      </c>
      <c r="CG285" s="67">
        <f t="shared" si="169"/>
        <v>-62.802628774525488</v>
      </c>
      <c r="CH285" s="67">
        <f t="shared" si="170"/>
        <v>-47.802628774525488</v>
      </c>
      <c r="CI285" s="67">
        <f t="shared" si="171"/>
        <v>-32.802628774525488</v>
      </c>
      <c r="CJ285" s="67">
        <f t="shared" si="172"/>
        <v>-355480.21087080694</v>
      </c>
      <c r="CK285" s="67">
        <f t="shared" si="173"/>
        <v>-286945.21087080694</v>
      </c>
      <c r="CL285" s="67">
        <f t="shared" si="174"/>
        <v>-218410.21087080694</v>
      </c>
      <c r="CM285" s="67">
        <f t="shared" si="175"/>
        <v>-149875.21087080694</v>
      </c>
      <c r="CN285" s="299"/>
      <c r="CO285" s="430">
        <v>14106.04990639172</v>
      </c>
      <c r="CP285" s="430">
        <v>1176.2610972957132</v>
      </c>
      <c r="CQ285" s="430">
        <v>1750.498</v>
      </c>
      <c r="CR285" s="430">
        <v>13126609.464165147</v>
      </c>
      <c r="CS285" s="430">
        <v>2489677.8210657276</v>
      </c>
      <c r="CT285" s="430">
        <v>3434638.6272101505</v>
      </c>
      <c r="CU285" s="430">
        <v>1029834.920638375</v>
      </c>
      <c r="CV285" s="430">
        <v>-289905</v>
      </c>
      <c r="CW285" s="430">
        <v>36644.138655849587</v>
      </c>
      <c r="CX285" s="430">
        <v>-152531.85999999999</v>
      </c>
      <c r="CY285" s="430">
        <v>11826735.953989264</v>
      </c>
      <c r="CZ285" s="519"/>
      <c r="DA285" s="524">
        <v>14152.14012</v>
      </c>
      <c r="DB285" s="524">
        <v>1167.0628598393564</v>
      </c>
      <c r="DC285" s="520">
        <f t="shared" si="176"/>
        <v>-1</v>
      </c>
      <c r="DD285" s="440">
        <v>4669</v>
      </c>
      <c r="DE285" s="450">
        <v>11588229.426084738</v>
      </c>
      <c r="DF285" s="440">
        <v>6392884.4792864341</v>
      </c>
      <c r="DG285" s="440">
        <v>1694074.8800000001</v>
      </c>
      <c r="DH285" s="440">
        <v>704140.1102</v>
      </c>
      <c r="DI285" s="440">
        <v>2482395.2488930831</v>
      </c>
      <c r="DJ285" s="440">
        <v>1031074.9523479268</v>
      </c>
      <c r="DK285" s="440">
        <v>-413029.62838200323</v>
      </c>
      <c r="DL285" s="440">
        <v>-287146</v>
      </c>
      <c r="DM285" s="440">
        <v>-136403.24</v>
      </c>
      <c r="DN285" s="440">
        <v>36486.221910613713</v>
      </c>
      <c r="DO285" s="457">
        <f t="shared" si="177"/>
        <v>-83752.401828683913</v>
      </c>
      <c r="DP285" s="459">
        <f t="shared" si="178"/>
        <v>-17.93797426187276</v>
      </c>
      <c r="DQ285" s="440"/>
      <c r="DR285" s="450">
        <v>33454706.52</v>
      </c>
      <c r="DS285" s="440">
        <v>14271904.696599295</v>
      </c>
      <c r="DT285" s="440">
        <v>1056210.1653</v>
      </c>
      <c r="DU285" s="440">
        <v>13119352.724165142</v>
      </c>
      <c r="DV285" s="440">
        <v>3438774.3005333515</v>
      </c>
      <c r="DW285" s="440">
        <v>1270525.6400000001</v>
      </c>
      <c r="DX285" s="457">
        <f t="shared" si="179"/>
        <v>-297938.99340220913</v>
      </c>
      <c r="DY285" s="459">
        <f t="shared" si="180"/>
        <v>-63.812163932792707</v>
      </c>
      <c r="DZ285" s="440"/>
      <c r="EA285" s="457">
        <f t="shared" si="181"/>
        <v>214186.59157352522</v>
      </c>
      <c r="EB285" s="459">
        <f t="shared" si="182"/>
        <v>45.874189670919947</v>
      </c>
      <c r="ED285" s="457">
        <v>-194736.868930433</v>
      </c>
      <c r="EE285" s="458">
        <v>-130751.74855621687</v>
      </c>
      <c r="EF285" s="458">
        <v>-65799.733046995359</v>
      </c>
      <c r="EG285" s="458">
        <v>-1321.9589006691142</v>
      </c>
      <c r="EH285" s="459">
        <v>-1798.2411901756234</v>
      </c>
    </row>
    <row r="286" spans="1:138" x14ac:dyDescent="0.2">
      <c r="A286" s="67">
        <v>889</v>
      </c>
      <c r="B286" s="67" t="s">
        <v>401</v>
      </c>
      <c r="C286" s="67">
        <v>17</v>
      </c>
      <c r="D286" s="67">
        <v>2523</v>
      </c>
      <c r="E286" s="82">
        <v>11092532.030351531</v>
      </c>
      <c r="F286" s="67">
        <v>2798537.8427863084</v>
      </c>
      <c r="G286" s="67">
        <v>2954101</v>
      </c>
      <c r="H286" s="67">
        <v>751923.52543447295</v>
      </c>
      <c r="I286" s="67">
        <v>3062648.7801706656</v>
      </c>
      <c r="J286" s="67">
        <v>542631.81963753398</v>
      </c>
      <c r="K286" s="67">
        <v>1151334.8231643967</v>
      </c>
      <c r="L286" s="67">
        <v>214252</v>
      </c>
      <c r="M286" s="68">
        <v>-53829.14</v>
      </c>
      <c r="N286" s="68">
        <v>20158.282371737281</v>
      </c>
      <c r="O286" s="68">
        <v>-73427.793464554503</v>
      </c>
      <c r="P286" s="168">
        <f t="shared" si="148"/>
        <v>275799.10974902846</v>
      </c>
      <c r="Q286" s="169">
        <f t="shared" si="149"/>
        <v>109.31395550892924</v>
      </c>
      <c r="R286" s="67"/>
      <c r="S286" s="82">
        <v>22897823.230000004</v>
      </c>
      <c r="T286" s="67">
        <v>6955450.5094355466</v>
      </c>
      <c r="U286" s="67">
        <v>1130105.1713264282</v>
      </c>
      <c r="V286" s="67">
        <v>10621788.315177545</v>
      </c>
      <c r="W286" s="67">
        <v>1809750.447115452</v>
      </c>
      <c r="X286" s="67">
        <v>3114523.86</v>
      </c>
      <c r="Y286" s="168">
        <f t="shared" si="150"/>
        <v>733795.07305496931</v>
      </c>
      <c r="Z286" s="169">
        <f t="shared" si="151"/>
        <v>290.84228024374528</v>
      </c>
      <c r="AA286" s="67"/>
      <c r="AB286" s="77">
        <f t="shared" si="152"/>
        <v>-457995.96330594085</v>
      </c>
      <c r="AC286" s="123">
        <f t="shared" si="153"/>
        <v>-181.52832473481604</v>
      </c>
      <c r="AE286" s="170"/>
      <c r="AF286" s="177">
        <v>423047.68773627392</v>
      </c>
      <c r="AG286" s="177">
        <v>378628.43954607105</v>
      </c>
      <c r="AH286" s="177">
        <v>336940.91531172139</v>
      </c>
      <c r="AI286" s="178">
        <v>294737.51814788481</v>
      </c>
      <c r="AK286" s="67">
        <f t="shared" si="154"/>
        <v>4156912.6666492382</v>
      </c>
      <c r="AL286" s="67">
        <f t="shared" si="155"/>
        <v>378181.64589195524</v>
      </c>
      <c r="AM286" s="67">
        <f t="shared" si="156"/>
        <v>7559139.5350068789</v>
      </c>
      <c r="AN286" s="67">
        <f t="shared" si="157"/>
        <v>11805291.199648473</v>
      </c>
      <c r="AO286" s="67">
        <f t="shared" si="158"/>
        <v>0</v>
      </c>
      <c r="AP286" s="67">
        <f t="shared" si="159"/>
        <v>423047.68773627392</v>
      </c>
      <c r="AQ286" s="67">
        <f t="shared" si="160"/>
        <v>378628.43954607105</v>
      </c>
      <c r="AR286" s="67">
        <f t="shared" si="161"/>
        <v>336940.91531172139</v>
      </c>
      <c r="AS286" s="67">
        <f t="shared" si="162"/>
        <v>294737.51814788481</v>
      </c>
      <c r="AT286" s="68">
        <v>1214</v>
      </c>
      <c r="AU286" s="68"/>
      <c r="AV286" s="68"/>
      <c r="AW286" s="68">
        <v>27</v>
      </c>
      <c r="AX286" s="68">
        <v>6502.7228695046315</v>
      </c>
      <c r="AY286" s="68">
        <v>-1365.9772509725783</v>
      </c>
      <c r="AZ286" s="68">
        <v>1268.5947717289803</v>
      </c>
      <c r="BA286" s="299"/>
      <c r="BB286" s="67"/>
      <c r="BC286" s="67"/>
      <c r="BD286" s="67"/>
      <c r="BE286" s="67"/>
      <c r="BF286" s="67"/>
      <c r="BG286" s="67"/>
      <c r="BH286" s="67"/>
      <c r="BN286" s="299"/>
      <c r="BO286" s="67">
        <v>11940747.154594569</v>
      </c>
      <c r="BP286" s="67">
        <v>10816130.43</v>
      </c>
      <c r="BQ286" s="67">
        <v>11616000</v>
      </c>
      <c r="BR286" s="67">
        <v>202179.65</v>
      </c>
      <c r="BS286" s="67">
        <v>201000</v>
      </c>
      <c r="BT286" s="428">
        <v>0.59764822724424538</v>
      </c>
      <c r="BU286" s="428">
        <v>0.33464287704132484</v>
      </c>
      <c r="BV286" s="67">
        <f t="shared" si="163"/>
        <v>9977592.9856491927</v>
      </c>
      <c r="BW286" s="299"/>
      <c r="BX286" s="67">
        <v>23776942.359999999</v>
      </c>
      <c r="BY286" s="67">
        <v>11940747.154594569</v>
      </c>
      <c r="BZ286" s="67">
        <v>11099050.27972455</v>
      </c>
      <c r="CA286" s="67">
        <v>6563467.1478280211</v>
      </c>
      <c r="CB286" s="67">
        <f t="shared" si="164"/>
        <v>1089257.958681972</v>
      </c>
      <c r="CC286" s="67">
        <f t="shared" si="165"/>
        <v>290.84228024374437</v>
      </c>
      <c r="CD286" s="67">
        <f t="shared" si="166"/>
        <v>113.81293647687636</v>
      </c>
      <c r="CE286" s="67">
        <f t="shared" si="167"/>
        <v>-177.02934376686801</v>
      </c>
      <c r="CF286" s="67">
        <f t="shared" si="168"/>
        <v>162.02934376686801</v>
      </c>
      <c r="CG286" s="67">
        <f t="shared" si="169"/>
        <v>147.02934376686801</v>
      </c>
      <c r="CH286" s="67">
        <f t="shared" si="170"/>
        <v>132.02934376686801</v>
      </c>
      <c r="CI286" s="67">
        <f t="shared" si="171"/>
        <v>117.02934376686801</v>
      </c>
      <c r="CJ286" s="67">
        <f t="shared" si="172"/>
        <v>408800.03432380798</v>
      </c>
      <c r="CK286" s="67">
        <f t="shared" si="173"/>
        <v>370955.03432380798</v>
      </c>
      <c r="CL286" s="67">
        <f t="shared" si="174"/>
        <v>333110.03432380798</v>
      </c>
      <c r="CM286" s="67">
        <f t="shared" si="175"/>
        <v>295265.03432380798</v>
      </c>
      <c r="CN286" s="299"/>
      <c r="CO286" s="430">
        <v>6955.4505094355463</v>
      </c>
      <c r="CP286" s="430">
        <v>1130.1051713264283</v>
      </c>
      <c r="CQ286" s="430">
        <v>2954.1010000000001</v>
      </c>
      <c r="CR286" s="430">
        <v>10621788.315177545</v>
      </c>
      <c r="CS286" s="430">
        <v>3062648.7801706656</v>
      </c>
      <c r="CT286" s="430">
        <v>1809750.447115452</v>
      </c>
      <c r="CU286" s="430">
        <v>542631.81963753398</v>
      </c>
      <c r="CV286" s="430">
        <v>214252</v>
      </c>
      <c r="CW286" s="430">
        <v>20158.282371737281</v>
      </c>
      <c r="CX286" s="430">
        <v>-53829.14</v>
      </c>
      <c r="CY286" s="430">
        <v>11092532.030351531</v>
      </c>
      <c r="CZ286" s="519"/>
      <c r="DA286" s="524">
        <v>6970.9735300000002</v>
      </c>
      <c r="DB286" s="524">
        <v>1152.304937744454</v>
      </c>
      <c r="DC286" s="520">
        <f t="shared" si="176"/>
        <v>-1</v>
      </c>
      <c r="DD286" s="440">
        <v>2568</v>
      </c>
      <c r="DE286" s="450">
        <v>11940747.154594569</v>
      </c>
      <c r="DF286" s="440">
        <v>2885454.8616280206</v>
      </c>
      <c r="DG286" s="440">
        <v>3001502.2989999996</v>
      </c>
      <c r="DH286" s="440">
        <v>676509.98720000009</v>
      </c>
      <c r="DI286" s="440">
        <v>3058530.7784247515</v>
      </c>
      <c r="DJ286" s="440">
        <v>543263.96474505053</v>
      </c>
      <c r="DK286" s="440">
        <v>1089285.4322706249</v>
      </c>
      <c r="DL286" s="440">
        <v>303421</v>
      </c>
      <c r="DM286" s="440">
        <v>-105830</v>
      </c>
      <c r="DN286" s="440">
        <v>20105.0270580865</v>
      </c>
      <c r="DO286" s="457">
        <f t="shared" si="177"/>
        <v>-468503.80426803604</v>
      </c>
      <c r="DP286" s="459">
        <f t="shared" si="178"/>
        <v>-182.43917611683645</v>
      </c>
      <c r="DQ286" s="440"/>
      <c r="DR286" s="450">
        <v>23776942.359999999</v>
      </c>
      <c r="DS286" s="440">
        <v>7082782.9999245508</v>
      </c>
      <c r="DT286" s="440">
        <v>1014764.9808</v>
      </c>
      <c r="DU286" s="440">
        <v>10617682.045177545</v>
      </c>
      <c r="DV286" s="440">
        <v>1811858.7364740309</v>
      </c>
      <c r="DW286" s="440">
        <v>3199093.2989999996</v>
      </c>
      <c r="DX286" s="457">
        <f t="shared" si="179"/>
        <v>-50760.298623871058</v>
      </c>
      <c r="DY286" s="459">
        <f t="shared" si="180"/>
        <v>-19.766471426741067</v>
      </c>
      <c r="DZ286" s="440"/>
      <c r="EA286" s="457">
        <f t="shared" si="181"/>
        <v>-417743.50564416498</v>
      </c>
      <c r="EB286" s="459">
        <f t="shared" si="182"/>
        <v>-162.6727046900954</v>
      </c>
      <c r="ED286" s="457">
        <v>428441.06138360285</v>
      </c>
      <c r="EE286" s="458">
        <v>386593.56280167674</v>
      </c>
      <c r="EF286" s="458">
        <v>345277.86689841712</v>
      </c>
      <c r="EG286" s="458">
        <v>303701.33316694695</v>
      </c>
      <c r="EH286" s="459">
        <v>262674.45373231964</v>
      </c>
    </row>
    <row r="287" spans="1:138" x14ac:dyDescent="0.2">
      <c r="A287" s="67">
        <v>890</v>
      </c>
      <c r="B287" s="67" t="s">
        <v>402</v>
      </c>
      <c r="C287" s="67">
        <v>19</v>
      </c>
      <c r="D287" s="67">
        <v>1180</v>
      </c>
      <c r="E287" s="82">
        <v>6114517.9522070922</v>
      </c>
      <c r="F287" s="67">
        <v>1734798.8360055164</v>
      </c>
      <c r="G287" s="67">
        <v>658687</v>
      </c>
      <c r="H287" s="67">
        <v>108698.5245985979</v>
      </c>
      <c r="I287" s="67">
        <v>2304198.8359019966</v>
      </c>
      <c r="J287" s="67">
        <v>232150.81747952104</v>
      </c>
      <c r="K287" s="67">
        <v>40057.496522670859</v>
      </c>
      <c r="L287" s="67">
        <v>554891</v>
      </c>
      <c r="M287" s="68">
        <v>-53467.21</v>
      </c>
      <c r="N287" s="68">
        <v>11365.198821173115</v>
      </c>
      <c r="O287" s="68">
        <v>-34341.972369470597</v>
      </c>
      <c r="P287" s="168">
        <f t="shared" si="148"/>
        <v>-557479.42524708714</v>
      </c>
      <c r="Q287" s="169">
        <f t="shared" si="149"/>
        <v>-472.44019088736201</v>
      </c>
      <c r="R287" s="67"/>
      <c r="S287" s="82">
        <v>13293037.01</v>
      </c>
      <c r="T287" s="67">
        <v>4237005.6649954598</v>
      </c>
      <c r="U287" s="67">
        <v>163368.69456697631</v>
      </c>
      <c r="V287" s="67">
        <v>6919676.3164386749</v>
      </c>
      <c r="W287" s="67">
        <v>774254.34802629496</v>
      </c>
      <c r="X287" s="67">
        <v>1160110.79</v>
      </c>
      <c r="Y287" s="168">
        <f t="shared" si="150"/>
        <v>-38621.195972593501</v>
      </c>
      <c r="Z287" s="169">
        <f t="shared" si="151"/>
        <v>-32.729827095418223</v>
      </c>
      <c r="AA287" s="67"/>
      <c r="AB287" s="77">
        <f t="shared" si="152"/>
        <v>-518858.22927449364</v>
      </c>
      <c r="AC287" s="123">
        <f t="shared" si="153"/>
        <v>-439.71036379194379</v>
      </c>
      <c r="AE287" s="170"/>
      <c r="AF287" s="177">
        <v>502513.01913885958</v>
      </c>
      <c r="AG287" s="177">
        <v>481738.26176096051</v>
      </c>
      <c r="AH287" s="177">
        <v>462241.12398984178</v>
      </c>
      <c r="AI287" s="178">
        <v>442502.71390132519</v>
      </c>
      <c r="AK287" s="67">
        <f t="shared" si="154"/>
        <v>2502206.8289899435</v>
      </c>
      <c r="AL287" s="67">
        <f t="shared" si="155"/>
        <v>54670.16996837841</v>
      </c>
      <c r="AM287" s="67">
        <f t="shared" si="156"/>
        <v>4615477.4805366788</v>
      </c>
      <c r="AN287" s="67">
        <f t="shared" si="157"/>
        <v>7178519.0577929076</v>
      </c>
      <c r="AO287" s="67">
        <f t="shared" si="158"/>
        <v>0</v>
      </c>
      <c r="AP287" s="67">
        <f t="shared" si="159"/>
        <v>502513.01913885958</v>
      </c>
      <c r="AQ287" s="67">
        <f t="shared" si="160"/>
        <v>481738.26176096051</v>
      </c>
      <c r="AR287" s="67">
        <f t="shared" si="161"/>
        <v>462241.12398984178</v>
      </c>
      <c r="AS287" s="67">
        <f t="shared" si="162"/>
        <v>442502.71390132519</v>
      </c>
      <c r="AT287" s="68">
        <v>763</v>
      </c>
      <c r="AU287" s="68"/>
      <c r="AV287" s="68"/>
      <c r="AW287" s="68">
        <v>81</v>
      </c>
      <c r="AX287" s="68">
        <v>3775.5190826858438</v>
      </c>
      <c r="AY287" s="68">
        <v>-347.80516625812334</v>
      </c>
      <c r="AZ287" s="68">
        <v>540.11786917101711</v>
      </c>
      <c r="BA287" s="299"/>
      <c r="BB287" s="67"/>
      <c r="BC287" s="67"/>
      <c r="BD287" s="67"/>
      <c r="BE287" s="67"/>
      <c r="BF287" s="67"/>
      <c r="BG287" s="67"/>
      <c r="BH287" s="67"/>
      <c r="BN287" s="299"/>
      <c r="BO287" s="67">
        <v>5594766.3228529468</v>
      </c>
      <c r="BP287" s="67">
        <v>6641046.5999999987</v>
      </c>
      <c r="BQ287" s="67">
        <v>6856000</v>
      </c>
      <c r="BR287" s="67">
        <v>184185</v>
      </c>
      <c r="BS287" s="67">
        <v>204000</v>
      </c>
      <c r="BT287" s="428">
        <v>0.59056018019098511</v>
      </c>
      <c r="BU287" s="428">
        <v>0.33464287704132484</v>
      </c>
      <c r="BV287" s="67">
        <f t="shared" si="163"/>
        <v>5197638.5076061226</v>
      </c>
      <c r="BW287" s="299"/>
      <c r="BX287" s="67">
        <v>12549363.33</v>
      </c>
      <c r="BY287" s="67">
        <v>5594766.3228529468</v>
      </c>
      <c r="BZ287" s="67">
        <v>4983458.5336180599</v>
      </c>
      <c r="CA287" s="67">
        <v>2481754.4330793843</v>
      </c>
      <c r="CB287" s="67">
        <f t="shared" si="164"/>
        <v>119203.24135134638</v>
      </c>
      <c r="CC287" s="67">
        <f t="shared" si="165"/>
        <v>-32.729827095418422</v>
      </c>
      <c r="CD287" s="67">
        <f t="shared" si="166"/>
        <v>-376.26415936350912</v>
      </c>
      <c r="CE287" s="67">
        <f t="shared" si="167"/>
        <v>-343.53433226809068</v>
      </c>
      <c r="CF287" s="67">
        <f t="shared" si="168"/>
        <v>328.53433226809068</v>
      </c>
      <c r="CG287" s="67">
        <f t="shared" si="169"/>
        <v>313.53433226809068</v>
      </c>
      <c r="CH287" s="67">
        <f t="shared" si="170"/>
        <v>298.53433226809068</v>
      </c>
      <c r="CI287" s="67">
        <f t="shared" si="171"/>
        <v>283.53433226809068</v>
      </c>
      <c r="CJ287" s="67">
        <f t="shared" si="172"/>
        <v>387670.51207634702</v>
      </c>
      <c r="CK287" s="67">
        <f t="shared" si="173"/>
        <v>369970.51207634702</v>
      </c>
      <c r="CL287" s="67">
        <f t="shared" si="174"/>
        <v>352270.51207634702</v>
      </c>
      <c r="CM287" s="67">
        <f t="shared" si="175"/>
        <v>334570.51207634702</v>
      </c>
      <c r="CN287" s="299"/>
      <c r="CO287" s="430">
        <v>4237.0056649954595</v>
      </c>
      <c r="CP287" s="430">
        <v>163.3686945669763</v>
      </c>
      <c r="CQ287" s="430">
        <v>658.68700000000001</v>
      </c>
      <c r="CR287" s="430">
        <v>6919676.3164386749</v>
      </c>
      <c r="CS287" s="430">
        <v>2304198.8359019966</v>
      </c>
      <c r="CT287" s="430">
        <v>774254.34802629496</v>
      </c>
      <c r="CU287" s="430">
        <v>232150.81747952104</v>
      </c>
      <c r="CV287" s="430">
        <v>554891</v>
      </c>
      <c r="CW287" s="430">
        <v>11365.198821173115</v>
      </c>
      <c r="CX287" s="430">
        <v>-53467.21</v>
      </c>
      <c r="CY287" s="430">
        <v>6114517.9522070922</v>
      </c>
      <c r="CZ287" s="519"/>
      <c r="DA287" s="524">
        <v>4061.64959</v>
      </c>
      <c r="DB287" s="524">
        <v>162.09123635385373</v>
      </c>
      <c r="DC287" s="520">
        <f t="shared" si="176"/>
        <v>-1</v>
      </c>
      <c r="DD287" s="440">
        <v>1176</v>
      </c>
      <c r="DE287" s="450">
        <v>5594766.3228529468</v>
      </c>
      <c r="DF287" s="440">
        <v>1719090.1486793845</v>
      </c>
      <c r="DG287" s="440">
        <v>664867.58699999994</v>
      </c>
      <c r="DH287" s="440">
        <v>97796.697400000005</v>
      </c>
      <c r="DI287" s="440">
        <v>2302287.8695589169</v>
      </c>
      <c r="DJ287" s="440">
        <v>231300.47638110735</v>
      </c>
      <c r="DK287" s="440">
        <v>119373.96570226965</v>
      </c>
      <c r="DL287" s="440">
        <v>409504</v>
      </c>
      <c r="DM287" s="440">
        <v>-74975</v>
      </c>
      <c r="DN287" s="440">
        <v>11089.385238899735</v>
      </c>
      <c r="DO287" s="457">
        <f t="shared" si="177"/>
        <v>-114431.19289236888</v>
      </c>
      <c r="DP287" s="459">
        <f t="shared" si="178"/>
        <v>-97.305436132966733</v>
      </c>
      <c r="DQ287" s="440"/>
      <c r="DR287" s="450">
        <v>12549363.33</v>
      </c>
      <c r="DS287" s="440">
        <v>4171895.9005180593</v>
      </c>
      <c r="DT287" s="440">
        <v>146695.04610000001</v>
      </c>
      <c r="DU287" s="440">
        <v>6917772.2364386749</v>
      </c>
      <c r="DV287" s="440">
        <v>771418.34555212443</v>
      </c>
      <c r="DW287" s="440">
        <v>999396.58699999982</v>
      </c>
      <c r="DX287" s="457">
        <f t="shared" si="179"/>
        <v>457814.78560885787</v>
      </c>
      <c r="DY287" s="459">
        <f t="shared" si="180"/>
        <v>389.29828708236215</v>
      </c>
      <c r="DZ287" s="440"/>
      <c r="EA287" s="457">
        <f t="shared" si="181"/>
        <v>-572245.97850122675</v>
      </c>
      <c r="EB287" s="459">
        <f t="shared" si="182"/>
        <v>-486.6037232153289</v>
      </c>
      <c r="ED287" s="457">
        <v>577144.85916695406</v>
      </c>
      <c r="EE287" s="458">
        <v>557981.05140513752</v>
      </c>
      <c r="EF287" s="458">
        <v>539060.77944943914</v>
      </c>
      <c r="EG287" s="458">
        <v>520021.05839484063</v>
      </c>
      <c r="EH287" s="459">
        <v>501233.04818645993</v>
      </c>
    </row>
    <row r="288" spans="1:138" x14ac:dyDescent="0.2">
      <c r="A288" s="67">
        <v>892</v>
      </c>
      <c r="B288" s="67" t="s">
        <v>403</v>
      </c>
      <c r="C288" s="67">
        <v>13</v>
      </c>
      <c r="D288" s="67">
        <v>3592</v>
      </c>
      <c r="E288" s="82">
        <v>12421535.411863914</v>
      </c>
      <c r="F288" s="67">
        <v>4844918.7398942802</v>
      </c>
      <c r="G288" s="67">
        <v>750021</v>
      </c>
      <c r="H288" s="67">
        <v>575764.32214555086</v>
      </c>
      <c r="I288" s="67">
        <v>5739920.8657654505</v>
      </c>
      <c r="J288" s="67">
        <v>603235.60351910163</v>
      </c>
      <c r="K288" s="67">
        <v>578990.17902250553</v>
      </c>
      <c r="L288" s="67">
        <v>-623488</v>
      </c>
      <c r="M288" s="68">
        <v>-43040.18</v>
      </c>
      <c r="N288" s="68">
        <v>30013.938734176256</v>
      </c>
      <c r="O288" s="68">
        <v>-104539.29216198169</v>
      </c>
      <c r="P288" s="168">
        <f t="shared" si="148"/>
        <v>-69738.234944830765</v>
      </c>
      <c r="Q288" s="169">
        <f t="shared" si="149"/>
        <v>-19.414876098226827</v>
      </c>
      <c r="R288" s="67"/>
      <c r="S288" s="82">
        <v>23546264.830000006</v>
      </c>
      <c r="T288" s="67">
        <v>11307699.905510452</v>
      </c>
      <c r="U288" s="67">
        <v>865346.29641488206</v>
      </c>
      <c r="V288" s="67">
        <v>9456232.0882212427</v>
      </c>
      <c r="W288" s="67">
        <v>2011872.2560610052</v>
      </c>
      <c r="X288" s="67">
        <v>83492.820000000007</v>
      </c>
      <c r="Y288" s="168">
        <f t="shared" si="150"/>
        <v>178378.53620757535</v>
      </c>
      <c r="Z288" s="169">
        <f t="shared" si="151"/>
        <v>49.659948832843916</v>
      </c>
      <c r="AA288" s="67"/>
      <c r="AB288" s="77">
        <f t="shared" si="152"/>
        <v>-248116.77115240612</v>
      </c>
      <c r="AC288" s="123">
        <f t="shared" si="153"/>
        <v>-69.074824931070751</v>
      </c>
      <c r="AE288" s="170"/>
      <c r="AF288" s="177">
        <v>198360.84334969707</v>
      </c>
      <c r="AG288" s="177">
        <v>135121.07343324492</v>
      </c>
      <c r="AH288" s="177">
        <v>75770.464218110559</v>
      </c>
      <c r="AI288" s="178">
        <v>15685.405711372152</v>
      </c>
      <c r="AK288" s="67">
        <f t="shared" si="154"/>
        <v>6462781.1656161714</v>
      </c>
      <c r="AL288" s="67">
        <f t="shared" si="155"/>
        <v>289581.9742693312</v>
      </c>
      <c r="AM288" s="67">
        <f t="shared" si="156"/>
        <v>3716311.2224557921</v>
      </c>
      <c r="AN288" s="67">
        <f t="shared" si="157"/>
        <v>11124729.418136092</v>
      </c>
      <c r="AO288" s="67">
        <f t="shared" si="158"/>
        <v>0</v>
      </c>
      <c r="AP288" s="67">
        <f t="shared" si="159"/>
        <v>198360.84334969707</v>
      </c>
      <c r="AQ288" s="67">
        <f t="shared" si="160"/>
        <v>135121.07343324492</v>
      </c>
      <c r="AR288" s="67">
        <f t="shared" si="161"/>
        <v>75770.464218110559</v>
      </c>
      <c r="AS288" s="67">
        <f t="shared" si="162"/>
        <v>15685.405711372152</v>
      </c>
      <c r="AT288" s="68">
        <v>1323</v>
      </c>
      <c r="AU288" s="68"/>
      <c r="AV288" s="68"/>
      <c r="AW288" s="68">
        <v>5</v>
      </c>
      <c r="AX288" s="68">
        <v>2085.1882917262392</v>
      </c>
      <c r="AY288" s="68">
        <v>-1768.9996122588213</v>
      </c>
      <c r="AZ288" s="68">
        <v>1416.6176639711794</v>
      </c>
      <c r="BA288" s="299"/>
      <c r="BB288" s="67"/>
      <c r="BC288" s="67"/>
      <c r="BD288" s="67"/>
      <c r="BE288" s="67"/>
      <c r="BF288" s="67"/>
      <c r="BG288" s="67"/>
      <c r="BH288" s="67"/>
      <c r="BN288" s="299"/>
      <c r="BO288" s="67">
        <v>12651996.287224749</v>
      </c>
      <c r="BP288" s="67">
        <v>9798950.6300000008</v>
      </c>
      <c r="BQ288" s="67">
        <v>11037000</v>
      </c>
      <c r="BR288" s="67">
        <v>336122.96</v>
      </c>
      <c r="BS288" s="67">
        <v>346000</v>
      </c>
      <c r="BT288" s="428">
        <v>0.57153808640311887</v>
      </c>
      <c r="BU288" s="428">
        <v>0.33464287704132484</v>
      </c>
      <c r="BV288" s="67">
        <f t="shared" si="163"/>
        <v>5703938.0540202009</v>
      </c>
      <c r="BW288" s="299"/>
      <c r="BX288" s="67">
        <v>23732150</v>
      </c>
      <c r="BY288" s="67">
        <v>12651996.287224749</v>
      </c>
      <c r="BZ288" s="67">
        <v>12520930.799147373</v>
      </c>
      <c r="CA288" s="67">
        <v>6052157.9289230052</v>
      </c>
      <c r="CB288" s="67">
        <f t="shared" si="164"/>
        <v>376711.43708269938</v>
      </c>
      <c r="CC288" s="67">
        <f t="shared" si="165"/>
        <v>49.65994883284403</v>
      </c>
      <c r="CD288" s="67">
        <f t="shared" si="166"/>
        <v>-46.625190624347226</v>
      </c>
      <c r="CE288" s="67">
        <f t="shared" si="167"/>
        <v>-96.285139457191264</v>
      </c>
      <c r="CF288" s="67">
        <f t="shared" si="168"/>
        <v>81.285139457191264</v>
      </c>
      <c r="CG288" s="67">
        <f t="shared" si="169"/>
        <v>66.285139457191264</v>
      </c>
      <c r="CH288" s="67">
        <f t="shared" si="170"/>
        <v>51.285139457191264</v>
      </c>
      <c r="CI288" s="67">
        <f t="shared" si="171"/>
        <v>36.285139457191264</v>
      </c>
      <c r="CJ288" s="67">
        <f t="shared" si="172"/>
        <v>291976.22093023104</v>
      </c>
      <c r="CK288" s="67">
        <f t="shared" si="173"/>
        <v>238096.22093023101</v>
      </c>
      <c r="CL288" s="67">
        <f t="shared" si="174"/>
        <v>184216.22093023101</v>
      </c>
      <c r="CM288" s="67">
        <f t="shared" si="175"/>
        <v>130336.22093023102</v>
      </c>
      <c r="CN288" s="299"/>
      <c r="CO288" s="430">
        <v>11307.699905510452</v>
      </c>
      <c r="CP288" s="430">
        <v>865.34629641488209</v>
      </c>
      <c r="CQ288" s="430">
        <v>750.02099999999996</v>
      </c>
      <c r="CR288" s="430">
        <v>9456232.0882212427</v>
      </c>
      <c r="CS288" s="430">
        <v>5739920.8657654505</v>
      </c>
      <c r="CT288" s="430">
        <v>2011872.2560610052</v>
      </c>
      <c r="CU288" s="430">
        <v>603235.60351910163</v>
      </c>
      <c r="CV288" s="430">
        <v>-623488</v>
      </c>
      <c r="CW288" s="430">
        <v>30013.938734176256</v>
      </c>
      <c r="CX288" s="430">
        <v>-43040.18</v>
      </c>
      <c r="CY288" s="430">
        <v>12421535.411863914</v>
      </c>
      <c r="CZ288" s="519"/>
      <c r="DA288" s="524">
        <v>11052.05235</v>
      </c>
      <c r="DB288" s="524">
        <v>858.57887523384784</v>
      </c>
      <c r="DC288" s="520">
        <f t="shared" si="176"/>
        <v>-1</v>
      </c>
      <c r="DD288" s="440">
        <v>3634</v>
      </c>
      <c r="DE288" s="450">
        <v>12651996.287224749</v>
      </c>
      <c r="DF288" s="440">
        <v>4786070.2783230059</v>
      </c>
      <c r="DG288" s="440">
        <v>748069.12740000011</v>
      </c>
      <c r="DH288" s="440">
        <v>518018.5232</v>
      </c>
      <c r="DI288" s="440">
        <v>5734125.557826967</v>
      </c>
      <c r="DJ288" s="440">
        <v>606653.39776543691</v>
      </c>
      <c r="DK288" s="440">
        <v>377503.70580947527</v>
      </c>
      <c r="DL288" s="440">
        <v>-623488</v>
      </c>
      <c r="DM288" s="440">
        <v>77300</v>
      </c>
      <c r="DN288" s="440">
        <v>28674.340168933253</v>
      </c>
      <c r="DO288" s="457">
        <f t="shared" si="177"/>
        <v>-399069.35673093051</v>
      </c>
      <c r="DP288" s="459">
        <f t="shared" si="178"/>
        <v>-109.81545314555049</v>
      </c>
      <c r="DQ288" s="440"/>
      <c r="DR288" s="450">
        <v>23732150</v>
      </c>
      <c r="DS288" s="440">
        <v>10995833.886947373</v>
      </c>
      <c r="DT288" s="440">
        <v>777027.78480000002</v>
      </c>
      <c r="DU288" s="440">
        <v>9450434.8282212391</v>
      </c>
      <c r="DV288" s="440">
        <v>2023271.0617366163</v>
      </c>
      <c r="DW288" s="440">
        <v>201881.12740000011</v>
      </c>
      <c r="DX288" s="457">
        <f t="shared" si="179"/>
        <v>-283701.31089477241</v>
      </c>
      <c r="DY288" s="459">
        <f t="shared" si="180"/>
        <v>-78.068605089370507</v>
      </c>
      <c r="DZ288" s="440"/>
      <c r="EA288" s="457">
        <f t="shared" si="181"/>
        <v>-115368.0458361581</v>
      </c>
      <c r="EB288" s="459">
        <f t="shared" si="182"/>
        <v>-31.746848056179992</v>
      </c>
      <c r="ED288" s="457">
        <v>130506.25360763176</v>
      </c>
      <c r="EE288" s="458">
        <v>71287.480302834461</v>
      </c>
      <c r="EF288" s="458">
        <v>12821.265773065974</v>
      </c>
      <c r="EG288" s="458">
        <v>2147.8914399598693</v>
      </c>
      <c r="EH288" s="459">
        <v>-1399.6162958017167</v>
      </c>
    </row>
    <row r="289" spans="1:138" x14ac:dyDescent="0.2">
      <c r="A289" s="67">
        <v>893</v>
      </c>
      <c r="B289" s="67" t="s">
        <v>404</v>
      </c>
      <c r="C289" s="67">
        <v>15</v>
      </c>
      <c r="D289" s="67">
        <v>7434</v>
      </c>
      <c r="E289" s="82">
        <v>20478116.671090066</v>
      </c>
      <c r="F289" s="67">
        <v>10206199.751783982</v>
      </c>
      <c r="G289" s="67">
        <v>2836049</v>
      </c>
      <c r="H289" s="67">
        <v>2203965.8297755737</v>
      </c>
      <c r="I289" s="67">
        <v>8113315.1270609815</v>
      </c>
      <c r="J289" s="67">
        <v>1479469.4876859388</v>
      </c>
      <c r="K289" s="67">
        <v>-170005.63056512913</v>
      </c>
      <c r="L289" s="67">
        <v>-461903</v>
      </c>
      <c r="M289" s="68">
        <v>492879.76</v>
      </c>
      <c r="N289" s="68">
        <v>66497.000924332853</v>
      </c>
      <c r="O289" s="68">
        <v>-216354.42592766476</v>
      </c>
      <c r="P289" s="168">
        <f t="shared" si="148"/>
        <v>4071996.2296479461</v>
      </c>
      <c r="Q289" s="169">
        <f t="shared" si="149"/>
        <v>547.75305752595455</v>
      </c>
      <c r="R289" s="67"/>
      <c r="S289" s="82">
        <v>50967250.290000007</v>
      </c>
      <c r="T289" s="67">
        <v>24057822.559901796</v>
      </c>
      <c r="U289" s="67">
        <v>3312455.4524570112</v>
      </c>
      <c r="V289" s="67">
        <v>19946749.416236259</v>
      </c>
      <c r="W289" s="67">
        <v>4934230.6697417554</v>
      </c>
      <c r="X289" s="67">
        <v>2867025.76</v>
      </c>
      <c r="Y289" s="168">
        <f t="shared" si="150"/>
        <v>4151033.5683368146</v>
      </c>
      <c r="Z289" s="169">
        <f t="shared" si="151"/>
        <v>558.38492982738967</v>
      </c>
      <c r="AA289" s="67"/>
      <c r="AB289" s="77">
        <f t="shared" si="152"/>
        <v>-79037.338688868564</v>
      </c>
      <c r="AC289" s="123">
        <f t="shared" si="153"/>
        <v>-10.631872301435104</v>
      </c>
      <c r="AE289" s="170"/>
      <c r="AF289" s="177">
        <v>8535.1761455053038</v>
      </c>
      <c r="AG289" s="177">
        <v>-10835.795335258963</v>
      </c>
      <c r="AH289" s="177">
        <v>-22157.763293307093</v>
      </c>
      <c r="AI289" s="178">
        <v>-34999.746850961121</v>
      </c>
      <c r="AK289" s="67">
        <f t="shared" si="154"/>
        <v>13851622.808117814</v>
      </c>
      <c r="AL289" s="67">
        <f t="shared" si="155"/>
        <v>1108489.6226814375</v>
      </c>
      <c r="AM289" s="67">
        <f t="shared" si="156"/>
        <v>11833434.289175278</v>
      </c>
      <c r="AN289" s="67">
        <f t="shared" si="157"/>
        <v>30489133.61890994</v>
      </c>
      <c r="AO289" s="67">
        <f t="shared" si="158"/>
        <v>0</v>
      </c>
      <c r="AP289" s="67">
        <f t="shared" si="159"/>
        <v>8535.1761455053038</v>
      </c>
      <c r="AQ289" s="67">
        <f t="shared" si="160"/>
        <v>-10835.795335258963</v>
      </c>
      <c r="AR289" s="67">
        <f t="shared" si="161"/>
        <v>-22157.763293307093</v>
      </c>
      <c r="AS289" s="67">
        <f t="shared" si="162"/>
        <v>-34999.746850961121</v>
      </c>
      <c r="AT289" s="68">
        <v>2969</v>
      </c>
      <c r="AU289" s="68"/>
      <c r="AV289" s="68"/>
      <c r="AW289" s="68">
        <v>0</v>
      </c>
      <c r="AX289" s="68">
        <v>9035.3586563180979</v>
      </c>
      <c r="AY289" s="68">
        <v>-2605.7012071249046</v>
      </c>
      <c r="AZ289" s="68">
        <v>3473.8161842338795</v>
      </c>
      <c r="BA289" s="299"/>
      <c r="BB289" s="67"/>
      <c r="BC289" s="67"/>
      <c r="BD289" s="67"/>
      <c r="BE289" s="67"/>
      <c r="BF289" s="67"/>
      <c r="BG289" s="67"/>
      <c r="BH289" s="67"/>
      <c r="BN289" s="299"/>
      <c r="BO289" s="67">
        <v>22284259.271624569</v>
      </c>
      <c r="BP289" s="67">
        <v>28218021.390000001</v>
      </c>
      <c r="BQ289" s="67">
        <v>29597000</v>
      </c>
      <c r="BR289" s="67">
        <v>571657.16</v>
      </c>
      <c r="BS289" s="67">
        <v>589000</v>
      </c>
      <c r="BT289" s="428">
        <v>0.57576377802390599</v>
      </c>
      <c r="BU289" s="428">
        <v>0.33464287704132478</v>
      </c>
      <c r="BV289" s="67">
        <f t="shared" si="163"/>
        <v>15118189.840665966</v>
      </c>
      <c r="BW289" s="299"/>
      <c r="BX289" s="67">
        <v>52749062.350000001</v>
      </c>
      <c r="BY289" s="67">
        <v>22284259.271624569</v>
      </c>
      <c r="BZ289" s="67">
        <v>29364843.60071405</v>
      </c>
      <c r="CA289" s="67">
        <v>15002813.316168284</v>
      </c>
      <c r="CB289" s="67">
        <f t="shared" si="164"/>
        <v>-634571.39568372839</v>
      </c>
      <c r="CC289" s="67">
        <f t="shared" si="165"/>
        <v>558.38492982738967</v>
      </c>
      <c r="CD289" s="67">
        <f t="shared" si="166"/>
        <v>514.36439204425812</v>
      </c>
      <c r="CE289" s="67">
        <f t="shared" si="167"/>
        <v>-44.020537783131545</v>
      </c>
      <c r="CF289" s="67">
        <f t="shared" si="168"/>
        <v>29.020537783131545</v>
      </c>
      <c r="CG289" s="67">
        <f t="shared" si="169"/>
        <v>14.020537783131545</v>
      </c>
      <c r="CH289" s="67">
        <f t="shared" si="170"/>
        <v>0</v>
      </c>
      <c r="CI289" s="67">
        <f t="shared" si="171"/>
        <v>0</v>
      </c>
      <c r="CJ289" s="67">
        <f t="shared" si="172"/>
        <v>215738.67787979991</v>
      </c>
      <c r="CK289" s="67">
        <f t="shared" si="173"/>
        <v>104228.6778797999</v>
      </c>
      <c r="CL289" s="67">
        <f t="shared" si="174"/>
        <v>0</v>
      </c>
      <c r="CM289" s="67">
        <f t="shared" si="175"/>
        <v>0</v>
      </c>
      <c r="CN289" s="299"/>
      <c r="CO289" s="430">
        <v>24057.822559901797</v>
      </c>
      <c r="CP289" s="430">
        <v>3312.4554524570112</v>
      </c>
      <c r="CQ289" s="430">
        <v>2836.049</v>
      </c>
      <c r="CR289" s="430">
        <v>19946749.416236259</v>
      </c>
      <c r="CS289" s="430">
        <v>8113315.1270609815</v>
      </c>
      <c r="CT289" s="430">
        <v>4934230.6697417554</v>
      </c>
      <c r="CU289" s="430">
        <v>1479469.4876859388</v>
      </c>
      <c r="CV289" s="430">
        <v>-461903</v>
      </c>
      <c r="CW289" s="430">
        <v>66497.000924332853</v>
      </c>
      <c r="CX289" s="430">
        <v>492879.76</v>
      </c>
      <c r="CY289" s="430">
        <v>20478116.671090066</v>
      </c>
      <c r="CZ289" s="519"/>
      <c r="DA289" s="524">
        <v>23972.662410000001</v>
      </c>
      <c r="DB289" s="524">
        <v>3286.5518499688114</v>
      </c>
      <c r="DC289" s="520">
        <f t="shared" si="176"/>
        <v>-1</v>
      </c>
      <c r="DD289" s="440">
        <v>7497</v>
      </c>
      <c r="DE289" s="450">
        <v>22284259.271624569</v>
      </c>
      <c r="DF289" s="440">
        <v>10103983.085568283</v>
      </c>
      <c r="DG289" s="440">
        <v>2915909.3020000001</v>
      </c>
      <c r="DH289" s="440">
        <v>1982920.9286000002</v>
      </c>
      <c r="DI289" s="440">
        <v>8101529.8510988597</v>
      </c>
      <c r="DJ289" s="440">
        <v>1487629.6159334928</v>
      </c>
      <c r="DK289" s="440">
        <v>-632871.37483209744</v>
      </c>
      <c r="DL289" s="440">
        <v>-368958</v>
      </c>
      <c r="DM289" s="440">
        <v>270000</v>
      </c>
      <c r="DN289" s="440">
        <v>63663.039367357262</v>
      </c>
      <c r="DO289" s="457">
        <f t="shared" si="177"/>
        <v>1639547.1761113256</v>
      </c>
      <c r="DP289" s="459">
        <f t="shared" si="178"/>
        <v>218.69376765523884</v>
      </c>
      <c r="DQ289" s="440"/>
      <c r="DR289" s="450">
        <v>52749062.350000001</v>
      </c>
      <c r="DS289" s="440">
        <v>23474552.905814048</v>
      </c>
      <c r="DT289" s="440">
        <v>2974381.3929000003</v>
      </c>
      <c r="DU289" s="440">
        <v>19934989.776236251</v>
      </c>
      <c r="DV289" s="440">
        <v>4961445.8001673725</v>
      </c>
      <c r="DW289" s="440">
        <v>2816951.3020000001</v>
      </c>
      <c r="DX289" s="457">
        <f t="shared" si="179"/>
        <v>1413258.8271176741</v>
      </c>
      <c r="DY289" s="459">
        <f t="shared" si="180"/>
        <v>188.50991424805576</v>
      </c>
      <c r="DZ289" s="440"/>
      <c r="EA289" s="457">
        <f t="shared" si="181"/>
        <v>226288.34899365157</v>
      </c>
      <c r="EB289" s="459">
        <f t="shared" si="182"/>
        <v>30.183853407183083</v>
      </c>
      <c r="ED289" s="457">
        <v>-195057.9847496399</v>
      </c>
      <c r="EE289" s="458">
        <v>-92317.259231220931</v>
      </c>
      <c r="EF289" s="458">
        <v>11976.007051202221</v>
      </c>
      <c r="EG289" s="458">
        <v>4431.134321788426</v>
      </c>
      <c r="EH289" s="459">
        <v>-2887.4307566388197</v>
      </c>
    </row>
    <row r="290" spans="1:138" x14ac:dyDescent="0.2">
      <c r="A290" s="67">
        <v>895</v>
      </c>
      <c r="B290" s="67" t="s">
        <v>405</v>
      </c>
      <c r="C290" s="67">
        <v>2</v>
      </c>
      <c r="D290" s="67">
        <v>15092</v>
      </c>
      <c r="E290" s="82">
        <v>41086709.614107944</v>
      </c>
      <c r="F290" s="67">
        <v>23566244.25008994</v>
      </c>
      <c r="G290" s="67">
        <v>5459517</v>
      </c>
      <c r="H290" s="67">
        <v>4342037.591120597</v>
      </c>
      <c r="I290" s="67">
        <v>3811229.5311405361</v>
      </c>
      <c r="J290" s="67">
        <v>2537519.5873276275</v>
      </c>
      <c r="K290" s="67">
        <v>625626.00493163907</v>
      </c>
      <c r="L290" s="67">
        <v>-1670436</v>
      </c>
      <c r="M290" s="68">
        <v>888895.36</v>
      </c>
      <c r="N290" s="68">
        <v>165925.65561687248</v>
      </c>
      <c r="O290" s="68">
        <v>-439228.00593224599</v>
      </c>
      <c r="P290" s="168">
        <f t="shared" si="148"/>
        <v>-1799378.6398129803</v>
      </c>
      <c r="Q290" s="169">
        <f t="shared" si="149"/>
        <v>-119.22731512145377</v>
      </c>
      <c r="R290" s="67"/>
      <c r="S290" s="82">
        <v>106081373.88999999</v>
      </c>
      <c r="T290" s="67">
        <v>58711405.308134817</v>
      </c>
      <c r="U290" s="67">
        <v>6525875.2650195612</v>
      </c>
      <c r="V290" s="67">
        <v>27231424.071499132</v>
      </c>
      <c r="W290" s="67">
        <v>8462970.7317899838</v>
      </c>
      <c r="X290" s="67">
        <v>4677976.3600000003</v>
      </c>
      <c r="Y290" s="168">
        <f t="shared" si="150"/>
        <v>-471722.1535564959</v>
      </c>
      <c r="Z290" s="169">
        <f t="shared" si="151"/>
        <v>-31.256437420918097</v>
      </c>
      <c r="AA290" s="67"/>
      <c r="AB290" s="77">
        <f t="shared" si="152"/>
        <v>-1327656.4862564844</v>
      </c>
      <c r="AC290" s="123">
        <f t="shared" si="153"/>
        <v>-87.970877700535681</v>
      </c>
      <c r="AE290" s="170"/>
      <c r="AF290" s="177">
        <v>1118604.0189963121</v>
      </c>
      <c r="AG290" s="177">
        <v>852898.39327830111</v>
      </c>
      <c r="AH290" s="177">
        <v>603533.30578531441</v>
      </c>
      <c r="AI290" s="178">
        <v>351082.38624642359</v>
      </c>
      <c r="AK290" s="67">
        <f t="shared" si="154"/>
        <v>35145161.058044881</v>
      </c>
      <c r="AL290" s="67">
        <f t="shared" si="155"/>
        <v>2183837.6738989642</v>
      </c>
      <c r="AM290" s="67">
        <f t="shared" si="156"/>
        <v>23420194.540358596</v>
      </c>
      <c r="AN290" s="67">
        <f t="shared" si="157"/>
        <v>64994664.275892042</v>
      </c>
      <c r="AO290" s="67">
        <f t="shared" si="158"/>
        <v>0</v>
      </c>
      <c r="AP290" s="67">
        <f t="shared" si="159"/>
        <v>1118604.0189963121</v>
      </c>
      <c r="AQ290" s="67">
        <f t="shared" si="160"/>
        <v>852898.39327830111</v>
      </c>
      <c r="AR290" s="67">
        <f t="shared" si="161"/>
        <v>603533.30578531441</v>
      </c>
      <c r="AS290" s="67">
        <f t="shared" si="162"/>
        <v>351082.38624642359</v>
      </c>
      <c r="AT290" s="68">
        <v>7438</v>
      </c>
      <c r="AU290" s="68"/>
      <c r="AV290" s="68"/>
      <c r="AW290" s="68">
        <v>182</v>
      </c>
      <c r="AX290" s="68">
        <v>21940.89102226562</v>
      </c>
      <c r="AY290" s="68">
        <v>-568.73103512426599</v>
      </c>
      <c r="AZ290" s="68">
        <v>5942.8240579203166</v>
      </c>
      <c r="BA290" s="299"/>
      <c r="BB290" s="67"/>
      <c r="BC290" s="67"/>
      <c r="BD290" s="67"/>
      <c r="BE290" s="67"/>
      <c r="BF290" s="67"/>
      <c r="BG290" s="67"/>
      <c r="BH290" s="67"/>
      <c r="BN290" s="299"/>
      <c r="BO290" s="67">
        <v>43077194.752900183</v>
      </c>
      <c r="BP290" s="67">
        <v>59203445.930000007</v>
      </c>
      <c r="BQ290" s="67">
        <v>64207000</v>
      </c>
      <c r="BR290" s="67">
        <v>1140337.43</v>
      </c>
      <c r="BS290" s="67">
        <v>1170000</v>
      </c>
      <c r="BT290" s="428">
        <v>0.59860875197234131</v>
      </c>
      <c r="BU290" s="428">
        <v>0.33464287704132484</v>
      </c>
      <c r="BV290" s="67">
        <f t="shared" si="163"/>
        <v>29971271.68975259</v>
      </c>
      <c r="BW290" s="299"/>
      <c r="BX290" s="67">
        <v>106511216.2</v>
      </c>
      <c r="BY290" s="67">
        <v>43077194.752900183</v>
      </c>
      <c r="BZ290" s="67">
        <v>70536401.420925319</v>
      </c>
      <c r="CA290" s="67">
        <v>33572362.439403176</v>
      </c>
      <c r="CB290" s="67">
        <f t="shared" si="164"/>
        <v>1085994.192067171</v>
      </c>
      <c r="CC290" s="67">
        <f t="shared" si="165"/>
        <v>-31.256437420918033</v>
      </c>
      <c r="CD290" s="67">
        <f t="shared" si="166"/>
        <v>-59.61982817023592</v>
      </c>
      <c r="CE290" s="67">
        <f t="shared" si="167"/>
        <v>-28.363390749317887</v>
      </c>
      <c r="CF290" s="67">
        <f t="shared" si="168"/>
        <v>13.363390749317887</v>
      </c>
      <c r="CG290" s="67">
        <f t="shared" si="169"/>
        <v>0</v>
      </c>
      <c r="CH290" s="67">
        <f t="shared" si="170"/>
        <v>0</v>
      </c>
      <c r="CI290" s="67">
        <f t="shared" si="171"/>
        <v>0</v>
      </c>
      <c r="CJ290" s="67">
        <f t="shared" si="172"/>
        <v>201680.29318870555</v>
      </c>
      <c r="CK290" s="67">
        <f t="shared" si="173"/>
        <v>0</v>
      </c>
      <c r="CL290" s="67">
        <f t="shared" si="174"/>
        <v>0</v>
      </c>
      <c r="CM290" s="67">
        <f t="shared" si="175"/>
        <v>0</v>
      </c>
      <c r="CN290" s="299"/>
      <c r="CO290" s="430">
        <v>58711.405308134817</v>
      </c>
      <c r="CP290" s="430">
        <v>6525.8752650195611</v>
      </c>
      <c r="CQ290" s="430">
        <v>5459.5169999999998</v>
      </c>
      <c r="CR290" s="430">
        <v>27231424.071499132</v>
      </c>
      <c r="CS290" s="430">
        <v>3811229.5311405361</v>
      </c>
      <c r="CT290" s="430">
        <v>8462970.7317899838</v>
      </c>
      <c r="CU290" s="430">
        <v>2537519.5873276275</v>
      </c>
      <c r="CV290" s="430">
        <v>-1670436</v>
      </c>
      <c r="CW290" s="430">
        <v>165925.65561687248</v>
      </c>
      <c r="CX290" s="430">
        <v>888895.36</v>
      </c>
      <c r="CY290" s="430">
        <v>41086709.614107944</v>
      </c>
      <c r="CZ290" s="519"/>
      <c r="DA290" s="524">
        <v>59155.94773</v>
      </c>
      <c r="DB290" s="524">
        <v>6474.8360825516602</v>
      </c>
      <c r="DC290" s="520">
        <f t="shared" si="176"/>
        <v>-1</v>
      </c>
      <c r="DD290" s="440">
        <v>15463</v>
      </c>
      <c r="DE290" s="450">
        <v>43077194.752900183</v>
      </c>
      <c r="DF290" s="440">
        <v>24199849.404703174</v>
      </c>
      <c r="DG290" s="440">
        <v>5465956.4557000007</v>
      </c>
      <c r="DH290" s="440">
        <v>3906556.5790000004</v>
      </c>
      <c r="DI290" s="440">
        <v>3787097.5432249452</v>
      </c>
      <c r="DJ290" s="440">
        <v>2544959.376655696</v>
      </c>
      <c r="DK290" s="440">
        <v>1087190.5307428802</v>
      </c>
      <c r="DL290" s="440">
        <v>-1740885</v>
      </c>
      <c r="DM290" s="440">
        <v>398493</v>
      </c>
      <c r="DN290" s="440">
        <v>163851.69939304303</v>
      </c>
      <c r="DO290" s="457">
        <f t="shared" si="177"/>
        <v>-3264125.1634804457</v>
      </c>
      <c r="DP290" s="459">
        <f t="shared" si="178"/>
        <v>-211.09261873378037</v>
      </c>
      <c r="DQ290" s="440"/>
      <c r="DR290" s="450">
        <v>106511216.2</v>
      </c>
      <c r="DS290" s="440">
        <v>59210610.096725322</v>
      </c>
      <c r="DT290" s="440">
        <v>5859834.8685000008</v>
      </c>
      <c r="DU290" s="440">
        <v>27207371.691499125</v>
      </c>
      <c r="DV290" s="440">
        <v>8487783.4345760122</v>
      </c>
      <c r="DW290" s="440">
        <v>4123564.4557000007</v>
      </c>
      <c r="DX290" s="457">
        <f t="shared" si="179"/>
        <v>-1622051.6529995352</v>
      </c>
      <c r="DY290" s="459">
        <f t="shared" si="180"/>
        <v>-104.89889756189194</v>
      </c>
      <c r="DZ290" s="440"/>
      <c r="EA290" s="457">
        <f t="shared" si="181"/>
        <v>-1642073.5104809105</v>
      </c>
      <c r="EB290" s="459">
        <f t="shared" si="182"/>
        <v>-106.19372117188841</v>
      </c>
      <c r="ED290" s="457">
        <v>1706487.95923441</v>
      </c>
      <c r="EE290" s="458">
        <v>1454506.7012233806</v>
      </c>
      <c r="EF290" s="458">
        <v>1205727.649139228</v>
      </c>
      <c r="EG290" s="458">
        <v>955377.98360584688</v>
      </c>
      <c r="EH290" s="459">
        <v>708338.01604445965</v>
      </c>
    </row>
    <row r="291" spans="1:138" x14ac:dyDescent="0.2">
      <c r="A291" s="67">
        <v>785</v>
      </c>
      <c r="B291" s="67" t="s">
        <v>406</v>
      </c>
      <c r="C291" s="67">
        <v>17</v>
      </c>
      <c r="D291" s="67">
        <v>2626</v>
      </c>
      <c r="E291" s="82">
        <v>10952176.879338346</v>
      </c>
      <c r="F291" s="67">
        <v>3047700.2000012891</v>
      </c>
      <c r="G291" s="67">
        <v>3033616</v>
      </c>
      <c r="H291" s="67">
        <v>606444.8930247667</v>
      </c>
      <c r="I291" s="67">
        <v>2515880.503755637</v>
      </c>
      <c r="J291" s="67">
        <v>587345.11619991809</v>
      </c>
      <c r="K291" s="67">
        <v>1385274.2457213565</v>
      </c>
      <c r="L291" s="67">
        <v>32547</v>
      </c>
      <c r="M291" s="68">
        <v>-12898.95</v>
      </c>
      <c r="N291" s="68">
        <v>20367.781268997871</v>
      </c>
      <c r="O291" s="68">
        <v>-76425.44020527949</v>
      </c>
      <c r="P291" s="168">
        <f t="shared" si="148"/>
        <v>187674.47042834037</v>
      </c>
      <c r="Q291" s="169">
        <f t="shared" si="149"/>
        <v>71.467810521074014</v>
      </c>
      <c r="R291" s="67"/>
      <c r="S291" s="82">
        <v>25264518.02</v>
      </c>
      <c r="T291" s="67">
        <v>7324913.5312033622</v>
      </c>
      <c r="U291" s="67">
        <v>911457.73014055868</v>
      </c>
      <c r="V291" s="67">
        <v>13237139.984262079</v>
      </c>
      <c r="W291" s="67">
        <v>1958875.3334883768</v>
      </c>
      <c r="X291" s="67">
        <v>3053264.05</v>
      </c>
      <c r="Y291" s="168">
        <f t="shared" si="150"/>
        <v>1221132.6090943776</v>
      </c>
      <c r="Z291" s="169">
        <f t="shared" si="151"/>
        <v>465.01622585467538</v>
      </c>
      <c r="AA291" s="67"/>
      <c r="AB291" s="77">
        <f t="shared" si="152"/>
        <v>-1033458.1386660372</v>
      </c>
      <c r="AC291" s="123">
        <f t="shared" si="153"/>
        <v>-393.54841533360138</v>
      </c>
      <c r="AE291" s="170"/>
      <c r="AF291" s="177">
        <v>997083.12017774966</v>
      </c>
      <c r="AG291" s="177">
        <v>950850.48214862845</v>
      </c>
      <c r="AH291" s="177">
        <v>907461.08910883381</v>
      </c>
      <c r="AI291" s="178">
        <v>863534.762928796</v>
      </c>
      <c r="AK291" s="67">
        <f t="shared" si="154"/>
        <v>4277213.331202073</v>
      </c>
      <c r="AL291" s="67">
        <f t="shared" si="155"/>
        <v>305012.83711579198</v>
      </c>
      <c r="AM291" s="67">
        <f t="shared" si="156"/>
        <v>10721259.480506442</v>
      </c>
      <c r="AN291" s="67">
        <f t="shared" si="157"/>
        <v>14312341.140661653</v>
      </c>
      <c r="AO291" s="67">
        <f t="shared" si="158"/>
        <v>0</v>
      </c>
      <c r="AP291" s="67">
        <f t="shared" si="159"/>
        <v>997083.12017774966</v>
      </c>
      <c r="AQ291" s="67">
        <f t="shared" si="160"/>
        <v>950850.48214862845</v>
      </c>
      <c r="AR291" s="67">
        <f t="shared" si="161"/>
        <v>907461.08910883381</v>
      </c>
      <c r="AS291" s="67">
        <f t="shared" si="162"/>
        <v>863534.762928796</v>
      </c>
      <c r="AT291" s="68">
        <v>1185</v>
      </c>
      <c r="AU291" s="68"/>
      <c r="AV291" s="68"/>
      <c r="AW291" s="68">
        <v>15</v>
      </c>
      <c r="AX291" s="68">
        <v>9229.306827325403</v>
      </c>
      <c r="AY291" s="68">
        <v>-1382.0106783292404</v>
      </c>
      <c r="AZ291" s="68">
        <v>1371.8481116550363</v>
      </c>
      <c r="BA291" s="299"/>
      <c r="BB291" s="67"/>
      <c r="BC291" s="67"/>
      <c r="BD291" s="67"/>
      <c r="BE291" s="67"/>
      <c r="BF291" s="67"/>
      <c r="BG291" s="67"/>
      <c r="BH291" s="67"/>
      <c r="BN291" s="299"/>
      <c r="BO291" s="67">
        <v>10899366.202690439</v>
      </c>
      <c r="BP291" s="67">
        <v>13787945.070000002</v>
      </c>
      <c r="BQ291" s="67">
        <v>13434000</v>
      </c>
      <c r="BR291" s="67">
        <v>250892.07</v>
      </c>
      <c r="BS291" s="67">
        <v>212000</v>
      </c>
      <c r="BT291" s="428">
        <v>0.58392680172695466</v>
      </c>
      <c r="BU291" s="428">
        <v>0.33464287704132478</v>
      </c>
      <c r="BV291" s="67">
        <f t="shared" si="163"/>
        <v>13478063.943516258</v>
      </c>
      <c r="BW291" s="299"/>
      <c r="BX291" s="67">
        <v>25845930</v>
      </c>
      <c r="BY291" s="67">
        <v>10899366.202690439</v>
      </c>
      <c r="BZ291" s="67">
        <v>11841207.34203922</v>
      </c>
      <c r="CA291" s="67">
        <v>6984654.7332521882</v>
      </c>
      <c r="CB291" s="67">
        <f t="shared" si="164"/>
        <v>1122988.4134273892</v>
      </c>
      <c r="CC291" s="67">
        <f t="shared" si="165"/>
        <v>465.01622585467578</v>
      </c>
      <c r="CD291" s="67">
        <f t="shared" si="166"/>
        <v>0.69081429537383854</v>
      </c>
      <c r="CE291" s="67">
        <f t="shared" si="167"/>
        <v>-464.32541155930193</v>
      </c>
      <c r="CF291" s="67">
        <f t="shared" si="168"/>
        <v>449.32541155930193</v>
      </c>
      <c r="CG291" s="67">
        <f t="shared" si="169"/>
        <v>434.32541155930193</v>
      </c>
      <c r="CH291" s="67">
        <f t="shared" si="170"/>
        <v>419.32541155930193</v>
      </c>
      <c r="CI291" s="67">
        <f t="shared" si="171"/>
        <v>404.32541155930193</v>
      </c>
      <c r="CJ291" s="67">
        <f t="shared" si="172"/>
        <v>1179928.5307547268</v>
      </c>
      <c r="CK291" s="67">
        <f t="shared" si="173"/>
        <v>1140538.5307547268</v>
      </c>
      <c r="CL291" s="67">
        <f t="shared" si="174"/>
        <v>1101148.5307547268</v>
      </c>
      <c r="CM291" s="67">
        <f t="shared" si="175"/>
        <v>1061758.5307547268</v>
      </c>
      <c r="CN291" s="299"/>
      <c r="CO291" s="430">
        <v>7324.9135312033623</v>
      </c>
      <c r="CP291" s="430">
        <v>911.45773014055862</v>
      </c>
      <c r="CQ291" s="430">
        <v>3033.616</v>
      </c>
      <c r="CR291" s="430">
        <v>13237139.984262079</v>
      </c>
      <c r="CS291" s="430">
        <v>2515880.503755637</v>
      </c>
      <c r="CT291" s="430">
        <v>1958875.3334883768</v>
      </c>
      <c r="CU291" s="430">
        <v>587345.11619991809</v>
      </c>
      <c r="CV291" s="430">
        <v>32547</v>
      </c>
      <c r="CW291" s="430">
        <v>20367.781268997871</v>
      </c>
      <c r="CX291" s="430">
        <v>-12898.95</v>
      </c>
      <c r="CY291" s="430">
        <v>10952176.879338346</v>
      </c>
      <c r="CZ291" s="519"/>
      <c r="DA291" s="524">
        <v>7663.0243300000002</v>
      </c>
      <c r="DB291" s="524">
        <v>904.32970659307114</v>
      </c>
      <c r="DC291" s="520">
        <f t="shared" si="176"/>
        <v>-1</v>
      </c>
      <c r="DD291" s="440">
        <v>2673</v>
      </c>
      <c r="DE291" s="450">
        <v>10899366.202690439</v>
      </c>
      <c r="DF291" s="440">
        <v>3257608.2477521882</v>
      </c>
      <c r="DG291" s="440">
        <v>3181424.4735000003</v>
      </c>
      <c r="DH291" s="440">
        <v>545622.01199999999</v>
      </c>
      <c r="DI291" s="440">
        <v>2511594.767862136</v>
      </c>
      <c r="DJ291" s="440">
        <v>587481.25151894032</v>
      </c>
      <c r="DK291" s="440">
        <v>1122290.4797577236</v>
      </c>
      <c r="DL291" s="440">
        <v>113631</v>
      </c>
      <c r="DM291" s="440">
        <v>-6600</v>
      </c>
      <c r="DN291" s="440">
        <v>21527.798911240716</v>
      </c>
      <c r="DO291" s="457">
        <f t="shared" si="177"/>
        <v>435213.82861178927</v>
      </c>
      <c r="DP291" s="459">
        <f t="shared" si="178"/>
        <v>162.81849181136897</v>
      </c>
      <c r="DQ291" s="440"/>
      <c r="DR291" s="450">
        <v>25845930</v>
      </c>
      <c r="DS291" s="440">
        <v>7841349.8505392205</v>
      </c>
      <c r="DT291" s="440">
        <v>818433.01800000004</v>
      </c>
      <c r="DU291" s="440">
        <v>13232871.244262075</v>
      </c>
      <c r="DV291" s="440">
        <v>1959329.3631739765</v>
      </c>
      <c r="DW291" s="440">
        <v>3288455.4735000003</v>
      </c>
      <c r="DX291" s="457">
        <f t="shared" si="179"/>
        <v>1294508.9494752735</v>
      </c>
      <c r="DY291" s="459">
        <f t="shared" si="180"/>
        <v>484.29066572213748</v>
      </c>
      <c r="DZ291" s="440"/>
      <c r="EA291" s="457">
        <f t="shared" si="181"/>
        <v>-859295.12086348422</v>
      </c>
      <c r="EB291" s="459">
        <f t="shared" si="182"/>
        <v>-321.4721739107685</v>
      </c>
      <c r="ED291" s="457">
        <v>870430.07666236954</v>
      </c>
      <c r="EE291" s="458">
        <v>826871.52381599555</v>
      </c>
      <c r="EF291" s="458">
        <v>783866.51791669149</v>
      </c>
      <c r="EG291" s="458">
        <v>740590.00909106061</v>
      </c>
      <c r="EH291" s="459">
        <v>697885.62874497077</v>
      </c>
    </row>
    <row r="292" spans="1:138" x14ac:dyDescent="0.2">
      <c r="A292" s="67">
        <v>905</v>
      </c>
      <c r="B292" s="67" t="s">
        <v>407</v>
      </c>
      <c r="C292" s="67">
        <v>15</v>
      </c>
      <c r="D292" s="67">
        <v>67988</v>
      </c>
      <c r="E292" s="82">
        <v>198225108.44516802</v>
      </c>
      <c r="F292" s="67">
        <v>109042589.5414511</v>
      </c>
      <c r="G292" s="67">
        <v>26014701</v>
      </c>
      <c r="H292" s="67">
        <v>22137643.903342824</v>
      </c>
      <c r="I292" s="67">
        <v>24850189.346318688</v>
      </c>
      <c r="J292" s="67">
        <v>10185511.302116241</v>
      </c>
      <c r="K292" s="67">
        <v>-13216209.771913279</v>
      </c>
      <c r="L292" s="67">
        <v>27838294</v>
      </c>
      <c r="M292" s="68">
        <v>9938994</v>
      </c>
      <c r="N292" s="68">
        <v>757361.11459786445</v>
      </c>
      <c r="O292" s="68">
        <v>-1978679.6758098025</v>
      </c>
      <c r="P292" s="168">
        <f t="shared" si="148"/>
        <v>17345286.314935625</v>
      </c>
      <c r="Q292" s="169">
        <f t="shared" si="149"/>
        <v>255.12276158933378</v>
      </c>
      <c r="R292" s="67"/>
      <c r="S292" s="82">
        <v>467310446.00000006</v>
      </c>
      <c r="T292" s="67">
        <v>268295154.50734881</v>
      </c>
      <c r="U292" s="67">
        <v>33271822.213163223</v>
      </c>
      <c r="V292" s="67">
        <v>78686458.762830481</v>
      </c>
      <c r="W292" s="67">
        <v>33970056.61300391</v>
      </c>
      <c r="X292" s="67">
        <v>63791989</v>
      </c>
      <c r="Y292" s="168">
        <f t="shared" si="150"/>
        <v>10705035.096346378</v>
      </c>
      <c r="Z292" s="169">
        <f t="shared" si="151"/>
        <v>157.45477284736097</v>
      </c>
      <c r="AA292" s="67"/>
      <c r="AB292" s="77">
        <f t="shared" si="152"/>
        <v>6640251.2185892463</v>
      </c>
      <c r="AC292" s="123">
        <f t="shared" si="153"/>
        <v>97.667988741972792</v>
      </c>
      <c r="AE292" s="170"/>
      <c r="AF292" s="177">
        <v>-5542372.3598616654</v>
      </c>
      <c r="AG292" s="177">
        <v>-4699710.4993604822</v>
      </c>
      <c r="AH292" s="177">
        <v>-3783436.0949391439</v>
      </c>
      <c r="AI292" s="178">
        <v>-2881063.0653612292</v>
      </c>
      <c r="AK292" s="67">
        <f t="shared" si="154"/>
        <v>159252564.96589771</v>
      </c>
      <c r="AL292" s="67">
        <f t="shared" si="155"/>
        <v>11134178.309820399</v>
      </c>
      <c r="AM292" s="67">
        <f t="shared" si="156"/>
        <v>53836269.416511789</v>
      </c>
      <c r="AN292" s="67">
        <f t="shared" si="157"/>
        <v>269085337.55483204</v>
      </c>
      <c r="AO292" s="67">
        <f t="shared" si="158"/>
        <v>0</v>
      </c>
      <c r="AP292" s="67">
        <f t="shared" si="159"/>
        <v>-5542372.3598616654</v>
      </c>
      <c r="AQ292" s="67">
        <f t="shared" si="160"/>
        <v>-4699710.4993604822</v>
      </c>
      <c r="AR292" s="67">
        <f t="shared" si="161"/>
        <v>-3783436.0949391439</v>
      </c>
      <c r="AS292" s="67">
        <f t="shared" si="162"/>
        <v>-2881063.0653612292</v>
      </c>
      <c r="AT292" s="68">
        <v>64043</v>
      </c>
      <c r="AU292" s="68"/>
      <c r="AV292" s="68"/>
      <c r="AW292" s="68">
        <v>1981</v>
      </c>
      <c r="AX292" s="68">
        <v>53302.21068883087</v>
      </c>
      <c r="AY292" s="68">
        <v>1636.4965683385644</v>
      </c>
      <c r="AZ292" s="68">
        <v>23825.291111753049</v>
      </c>
      <c r="BA292" s="299"/>
      <c r="BB292" s="67"/>
      <c r="BC292" s="67"/>
      <c r="BD292" s="67"/>
      <c r="BE292" s="67"/>
      <c r="BF292" s="67"/>
      <c r="BG292" s="67"/>
      <c r="BH292" s="67"/>
      <c r="BN292" s="299"/>
      <c r="BO292" s="67">
        <v>197275443.92836481</v>
      </c>
      <c r="BP292" s="67">
        <v>251311849.6500001</v>
      </c>
      <c r="BQ292" s="67">
        <v>257478000</v>
      </c>
      <c r="BR292" s="67">
        <v>6840855</v>
      </c>
      <c r="BS292" s="67">
        <v>4862000</v>
      </c>
      <c r="BT292" s="428">
        <v>0.59357227400666923</v>
      </c>
      <c r="BU292" s="428">
        <v>0.33464287704132478</v>
      </c>
      <c r="BV292" s="67">
        <f t="shared" si="163"/>
        <v>64404604.955486193</v>
      </c>
      <c r="BW292" s="299"/>
      <c r="BX292" s="67">
        <v>454866900</v>
      </c>
      <c r="BY292" s="67">
        <v>197275443.92836481</v>
      </c>
      <c r="BZ292" s="67">
        <v>322023005.95473301</v>
      </c>
      <c r="CA292" s="67">
        <v>155794228.77344137</v>
      </c>
      <c r="CB292" s="67">
        <f t="shared" si="164"/>
        <v>-9995118.8463964667</v>
      </c>
      <c r="CC292" s="67">
        <f t="shared" si="165"/>
        <v>157.45477284736077</v>
      </c>
      <c r="CD292" s="67">
        <f t="shared" si="166"/>
        <v>331.60347291084059</v>
      </c>
      <c r="CE292" s="67">
        <f t="shared" si="167"/>
        <v>174.14870006347982</v>
      </c>
      <c r="CF292" s="67">
        <f t="shared" si="168"/>
        <v>-159.14870006347982</v>
      </c>
      <c r="CG292" s="67">
        <f t="shared" si="169"/>
        <v>-144.14870006347982</v>
      </c>
      <c r="CH292" s="67">
        <f t="shared" si="170"/>
        <v>-129.14870006347982</v>
      </c>
      <c r="CI292" s="67">
        <f t="shared" si="171"/>
        <v>-114.14870006347982</v>
      </c>
      <c r="CJ292" s="67">
        <f t="shared" si="172"/>
        <v>-10820201.819915866</v>
      </c>
      <c r="CK292" s="67">
        <f t="shared" si="173"/>
        <v>-9800381.8199158665</v>
      </c>
      <c r="CL292" s="67">
        <f t="shared" si="174"/>
        <v>-8780561.8199158665</v>
      </c>
      <c r="CM292" s="67">
        <f t="shared" si="175"/>
        <v>-7760741.8199158665</v>
      </c>
      <c r="CN292" s="299"/>
      <c r="CO292" s="430">
        <v>268295.15450734878</v>
      </c>
      <c r="CP292" s="430">
        <v>33271.822213163221</v>
      </c>
      <c r="CQ292" s="430">
        <v>26014.701000000001</v>
      </c>
      <c r="CR292" s="430">
        <v>78686458.762830481</v>
      </c>
      <c r="CS292" s="430">
        <v>24850189.346318688</v>
      </c>
      <c r="CT292" s="430">
        <v>33970056.61300391</v>
      </c>
      <c r="CU292" s="430">
        <v>10185511.302116241</v>
      </c>
      <c r="CV292" s="430">
        <v>27838294</v>
      </c>
      <c r="CW292" s="430">
        <v>757361.11459786445</v>
      </c>
      <c r="CX292" s="430">
        <v>9938994</v>
      </c>
      <c r="CY292" s="430">
        <v>198225108.44516802</v>
      </c>
      <c r="CZ292" s="519"/>
      <c r="DA292" s="524">
        <v>270610.86661999999</v>
      </c>
      <c r="DB292" s="524">
        <v>33011.629051055344</v>
      </c>
      <c r="DC292" s="520">
        <f t="shared" si="176"/>
        <v>-1</v>
      </c>
      <c r="DD292" s="440">
        <v>67615</v>
      </c>
      <c r="DE292" s="450">
        <v>197275443.92836481</v>
      </c>
      <c r="DF292" s="440">
        <v>108979450.51484138</v>
      </c>
      <c r="DG292" s="440">
        <v>26897410.751000002</v>
      </c>
      <c r="DH292" s="440">
        <v>19917367.507599998</v>
      </c>
      <c r="DI292" s="440">
        <v>24744048.598899622</v>
      </c>
      <c r="DJ292" s="440">
        <v>10202960.31406093</v>
      </c>
      <c r="DK292" s="440">
        <v>-9982524.3593746722</v>
      </c>
      <c r="DL292" s="440">
        <v>26585586</v>
      </c>
      <c r="DM292" s="440">
        <v>10331000</v>
      </c>
      <c r="DN292" s="440">
        <v>736847.71414718754</v>
      </c>
      <c r="DO292" s="457">
        <f t="shared" si="177"/>
        <v>21136703.112809628</v>
      </c>
      <c r="DP292" s="459">
        <f t="shared" si="178"/>
        <v>312.60375823130414</v>
      </c>
      <c r="DQ292" s="440"/>
      <c r="DR292" s="450">
        <v>454866900</v>
      </c>
      <c r="DS292" s="440">
        <v>265249543.94233301</v>
      </c>
      <c r="DT292" s="440">
        <v>29876051.261399999</v>
      </c>
      <c r="DU292" s="440">
        <v>78580626.972830459</v>
      </c>
      <c r="DV292" s="440">
        <v>34028251.42581398</v>
      </c>
      <c r="DW292" s="440">
        <v>63813996.751000002</v>
      </c>
      <c r="DX292" s="457">
        <f t="shared" si="179"/>
        <v>16681570.353377461</v>
      </c>
      <c r="DY292" s="459">
        <f t="shared" si="180"/>
        <v>246.71404796831268</v>
      </c>
      <c r="DZ292" s="440"/>
      <c r="EA292" s="457">
        <f t="shared" si="181"/>
        <v>4455132.7594321668</v>
      </c>
      <c r="EB292" s="459">
        <f t="shared" si="182"/>
        <v>65.889710262991443</v>
      </c>
      <c r="ED292" s="457">
        <v>-4173467.9497271059</v>
      </c>
      <c r="EE292" s="458">
        <v>-3246855.4172570645</v>
      </c>
      <c r="EF292" s="458">
        <v>-2306240.6113765733</v>
      </c>
      <c r="EG292" s="458">
        <v>-1372493.6208210262</v>
      </c>
      <c r="EH292" s="459">
        <v>-424274.32680713519</v>
      </c>
    </row>
    <row r="293" spans="1:138" x14ac:dyDescent="0.2">
      <c r="A293" s="67">
        <v>908</v>
      </c>
      <c r="B293" s="67" t="s">
        <v>408</v>
      </c>
      <c r="C293" s="67">
        <v>6</v>
      </c>
      <c r="D293" s="67">
        <v>20703</v>
      </c>
      <c r="E293" s="82">
        <v>58059002.691196188</v>
      </c>
      <c r="F293" s="67">
        <v>30068561.966673587</v>
      </c>
      <c r="G293" s="67">
        <v>5999329</v>
      </c>
      <c r="H293" s="67">
        <v>4520648.4141517738</v>
      </c>
      <c r="I293" s="67">
        <v>8214278.7896325123</v>
      </c>
      <c r="J293" s="67">
        <v>2874843.08198837</v>
      </c>
      <c r="K293" s="67">
        <v>-2350835.1894477196</v>
      </c>
      <c r="L293" s="67">
        <v>867643</v>
      </c>
      <c r="M293" s="68">
        <v>2146348.73</v>
      </c>
      <c r="N293" s="68">
        <v>225170.68689540387</v>
      </c>
      <c r="O293" s="68">
        <v>-602526.9948857202</v>
      </c>
      <c r="P293" s="168">
        <f t="shared" si="148"/>
        <v>-6095541.2061879858</v>
      </c>
      <c r="Q293" s="169">
        <f t="shared" si="149"/>
        <v>-294.42791895802475</v>
      </c>
      <c r="R293" s="67"/>
      <c r="S293" s="82">
        <v>147436614.24999997</v>
      </c>
      <c r="T293" s="67">
        <v>78452496.356369555</v>
      </c>
      <c r="U293" s="67">
        <v>6794318.8073941274</v>
      </c>
      <c r="V293" s="67">
        <v>36222669.449767619</v>
      </c>
      <c r="W293" s="67">
        <v>9587990.1707395967</v>
      </c>
      <c r="X293" s="67">
        <v>9013320.7300000004</v>
      </c>
      <c r="Y293" s="168">
        <f t="shared" si="150"/>
        <v>-7365818.7357290685</v>
      </c>
      <c r="Z293" s="169">
        <f t="shared" si="151"/>
        <v>-355.78509084331102</v>
      </c>
      <c r="AA293" s="67"/>
      <c r="AB293" s="77">
        <f t="shared" si="152"/>
        <v>1270277.5295410827</v>
      </c>
      <c r="AC293" s="123">
        <f t="shared" si="153"/>
        <v>61.35717188528632</v>
      </c>
      <c r="AE293" s="170"/>
      <c r="AF293" s="177">
        <v>-935962.856183475</v>
      </c>
      <c r="AG293" s="177">
        <v>-679364.21380605537</v>
      </c>
      <c r="AH293" s="177">
        <v>-400349.84370052279</v>
      </c>
      <c r="AI293" s="178">
        <v>-125568.57595692731</v>
      </c>
      <c r="AK293" s="67">
        <f t="shared" si="154"/>
        <v>48383934.389695972</v>
      </c>
      <c r="AL293" s="67">
        <f t="shared" si="155"/>
        <v>2273670.3932423536</v>
      </c>
      <c r="AM293" s="67">
        <f t="shared" si="156"/>
        <v>28008390.660135105</v>
      </c>
      <c r="AN293" s="67">
        <f t="shared" si="157"/>
        <v>89377611.558803782</v>
      </c>
      <c r="AO293" s="67">
        <f t="shared" si="158"/>
        <v>0</v>
      </c>
      <c r="AP293" s="67">
        <f t="shared" si="159"/>
        <v>-935962.856183475</v>
      </c>
      <c r="AQ293" s="67">
        <f t="shared" si="160"/>
        <v>-679364.21380605537</v>
      </c>
      <c r="AR293" s="67">
        <f t="shared" si="161"/>
        <v>-400349.84370052279</v>
      </c>
      <c r="AS293" s="67">
        <f t="shared" si="162"/>
        <v>-125568.57595692731</v>
      </c>
      <c r="AT293" s="68">
        <v>9178</v>
      </c>
      <c r="AU293" s="68"/>
      <c r="AV293" s="68"/>
      <c r="AW293" s="68">
        <v>60</v>
      </c>
      <c r="AX293" s="68">
        <v>27408.83495623192</v>
      </c>
      <c r="AY293" s="68">
        <v>-302.60977381248796</v>
      </c>
      <c r="AZ293" s="68">
        <v>6707.9483673347095</v>
      </c>
      <c r="BA293" s="299"/>
      <c r="BB293" s="67"/>
      <c r="BC293" s="67"/>
      <c r="BD293" s="67"/>
      <c r="BE293" s="67"/>
      <c r="BF293" s="67"/>
      <c r="BG293" s="67"/>
      <c r="BH293" s="67"/>
      <c r="BN293" s="299"/>
      <c r="BO293" s="67">
        <v>52047589.75822188</v>
      </c>
      <c r="BP293" s="67">
        <v>80792897.64000003</v>
      </c>
      <c r="BQ293" s="67">
        <v>88907000</v>
      </c>
      <c r="BR293" s="67">
        <v>1631400.25</v>
      </c>
      <c r="BS293" s="67">
        <v>1554000</v>
      </c>
      <c r="BT293" s="428">
        <v>0.61672906072883282</v>
      </c>
      <c r="BU293" s="428">
        <v>0.33464287704132478</v>
      </c>
      <c r="BV293" s="67">
        <f t="shared" si="163"/>
        <v>32370702.559438612</v>
      </c>
      <c r="BW293" s="299"/>
      <c r="BX293" s="67">
        <v>137074113</v>
      </c>
      <c r="BY293" s="67">
        <v>52047589.75822188</v>
      </c>
      <c r="BZ293" s="67">
        <v>91196391.458371609</v>
      </c>
      <c r="CA293" s="67">
        <v>40683410.131595708</v>
      </c>
      <c r="CB293" s="67">
        <f t="shared" si="164"/>
        <v>-196980.90871025334</v>
      </c>
      <c r="CC293" s="67">
        <f t="shared" si="165"/>
        <v>-355.78509084331131</v>
      </c>
      <c r="CD293" s="67">
        <f t="shared" si="166"/>
        <v>-161.28869876659402</v>
      </c>
      <c r="CE293" s="67">
        <f t="shared" si="167"/>
        <v>194.49639207671729</v>
      </c>
      <c r="CF293" s="67">
        <f t="shared" si="168"/>
        <v>-179.49639207671729</v>
      </c>
      <c r="CG293" s="67">
        <f t="shared" si="169"/>
        <v>-164.49639207671729</v>
      </c>
      <c r="CH293" s="67">
        <f t="shared" si="170"/>
        <v>-149.49639207671729</v>
      </c>
      <c r="CI293" s="67">
        <f t="shared" si="171"/>
        <v>-134.49639207671729</v>
      </c>
      <c r="CJ293" s="67">
        <f t="shared" si="172"/>
        <v>-3716113.805164278</v>
      </c>
      <c r="CK293" s="67">
        <f t="shared" si="173"/>
        <v>-3405568.805164278</v>
      </c>
      <c r="CL293" s="67">
        <f t="shared" si="174"/>
        <v>-3095023.805164278</v>
      </c>
      <c r="CM293" s="67">
        <f t="shared" si="175"/>
        <v>-2784478.805164278</v>
      </c>
      <c r="CN293" s="299"/>
      <c r="CO293" s="430">
        <v>78452.496356369549</v>
      </c>
      <c r="CP293" s="430">
        <v>6794.3188073941274</v>
      </c>
      <c r="CQ293" s="430">
        <v>5999.3289999999997</v>
      </c>
      <c r="CR293" s="430">
        <v>36222669.449767619</v>
      </c>
      <c r="CS293" s="430">
        <v>8214278.7896325123</v>
      </c>
      <c r="CT293" s="430">
        <v>9587990.1707395967</v>
      </c>
      <c r="CU293" s="430">
        <v>2874843.08198837</v>
      </c>
      <c r="CV293" s="430">
        <v>867643</v>
      </c>
      <c r="CW293" s="430">
        <v>225170.68689540387</v>
      </c>
      <c r="CX293" s="430">
        <v>2146348.73</v>
      </c>
      <c r="CY293" s="430">
        <v>58059002.691196188</v>
      </c>
      <c r="CZ293" s="519"/>
      <c r="DA293" s="524">
        <v>78949.172290000002</v>
      </c>
      <c r="DB293" s="524">
        <v>6741.1890472731884</v>
      </c>
      <c r="DC293" s="520">
        <f t="shared" si="176"/>
        <v>-1</v>
      </c>
      <c r="DD293" s="440">
        <v>20695</v>
      </c>
      <c r="DE293" s="450">
        <v>52047589.75822188</v>
      </c>
      <c r="DF293" s="440">
        <v>30634175.60199571</v>
      </c>
      <c r="DG293" s="440">
        <v>5981980.7499999991</v>
      </c>
      <c r="DH293" s="440">
        <v>4067253.7796000005</v>
      </c>
      <c r="DI293" s="440">
        <v>8181597.7160029821</v>
      </c>
      <c r="DJ293" s="440">
        <v>2872616.7776780641</v>
      </c>
      <c r="DK293" s="440">
        <v>-196172.36368123142</v>
      </c>
      <c r="DL293" s="440">
        <v>883573</v>
      </c>
      <c r="DM293" s="440">
        <v>2102511</v>
      </c>
      <c r="DN293" s="440">
        <v>223910.53737224621</v>
      </c>
      <c r="DO293" s="457">
        <f t="shared" si="177"/>
        <v>2703857.0407458916</v>
      </c>
      <c r="DP293" s="459">
        <f t="shared" si="178"/>
        <v>130.65267169586332</v>
      </c>
      <c r="DQ293" s="440"/>
      <c r="DR293" s="450">
        <v>137074113</v>
      </c>
      <c r="DS293" s="440">
        <v>79113530.038971603</v>
      </c>
      <c r="DT293" s="440">
        <v>6100880.6694</v>
      </c>
      <c r="DU293" s="440">
        <v>36190069.359767623</v>
      </c>
      <c r="DV293" s="440">
        <v>9580565.1450127736</v>
      </c>
      <c r="DW293" s="440">
        <v>8968064.75</v>
      </c>
      <c r="DX293" s="457">
        <f t="shared" si="179"/>
        <v>2878996.9631519914</v>
      </c>
      <c r="DY293" s="459">
        <f t="shared" si="180"/>
        <v>139.11558169374203</v>
      </c>
      <c r="DZ293" s="440"/>
      <c r="EA293" s="457">
        <f t="shared" si="181"/>
        <v>-175139.92240609974</v>
      </c>
      <c r="EB293" s="459">
        <f t="shared" si="182"/>
        <v>-8.4629099978787021</v>
      </c>
      <c r="ED293" s="457">
        <v>261349.39126429305</v>
      </c>
      <c r="EE293" s="458">
        <v>59393.821212952076</v>
      </c>
      <c r="EF293" s="458">
        <v>36863.865325896855</v>
      </c>
      <c r="EG293" s="458">
        <v>12231.869386342734</v>
      </c>
      <c r="EH293" s="459">
        <v>-7970.5721633507237</v>
      </c>
    </row>
    <row r="294" spans="1:138" x14ac:dyDescent="0.2">
      <c r="A294" s="67">
        <v>92</v>
      </c>
      <c r="B294" s="67" t="s">
        <v>410</v>
      </c>
      <c r="C294" s="67">
        <v>32</v>
      </c>
      <c r="D294" s="67">
        <v>242819</v>
      </c>
      <c r="E294" s="82">
        <v>710307804.7895745</v>
      </c>
      <c r="F294" s="67">
        <v>335911657.27757967</v>
      </c>
      <c r="G294" s="67">
        <v>106694403</v>
      </c>
      <c r="H294" s="67">
        <v>83914429.920264944</v>
      </c>
      <c r="I294" s="67">
        <v>150312862.34131712</v>
      </c>
      <c r="J294" s="67">
        <v>28872187.284070745</v>
      </c>
      <c r="K294" s="67">
        <v>-20551117.572364569</v>
      </c>
      <c r="L294" s="67">
        <v>24812577</v>
      </c>
      <c r="M294" s="68">
        <v>26357390.059999999</v>
      </c>
      <c r="N294" s="68">
        <v>3075633.230254313</v>
      </c>
      <c r="O294" s="68">
        <v>-7066850.3294766787</v>
      </c>
      <c r="P294" s="168">
        <f t="shared" si="148"/>
        <v>22025367.422071017</v>
      </c>
      <c r="Q294" s="169">
        <f t="shared" si="149"/>
        <v>90.70693570960681</v>
      </c>
      <c r="R294" s="67"/>
      <c r="S294" s="82">
        <v>1511036270.6599998</v>
      </c>
      <c r="T294" s="67">
        <v>985644961.12860966</v>
      </c>
      <c r="U294" s="67">
        <v>126119383.14738205</v>
      </c>
      <c r="V294" s="67">
        <v>167708529.18003136</v>
      </c>
      <c r="W294" s="67">
        <v>96292646.239306241</v>
      </c>
      <c r="X294" s="67">
        <v>157864370.06</v>
      </c>
      <c r="Y294" s="168">
        <f t="shared" si="150"/>
        <v>22593619.095329285</v>
      </c>
      <c r="Z294" s="169">
        <f t="shared" si="151"/>
        <v>93.047163094030054</v>
      </c>
      <c r="AA294" s="67"/>
      <c r="AB294" s="77">
        <f t="shared" si="152"/>
        <v>-568251.67325826734</v>
      </c>
      <c r="AC294" s="123">
        <f t="shared" si="153"/>
        <v>-2.3402273844232426</v>
      </c>
      <c r="AE294" s="170"/>
      <c r="AF294" s="177">
        <v>278787.05091141409</v>
      </c>
      <c r="AG294" s="177">
        <v>-353932.87429543259</v>
      </c>
      <c r="AH294" s="177">
        <v>-723745.75263889355</v>
      </c>
      <c r="AI294" s="178">
        <v>-1143207.362201174</v>
      </c>
      <c r="AK294" s="67">
        <f t="shared" si="154"/>
        <v>649733303.85102999</v>
      </c>
      <c r="AL294" s="67">
        <f t="shared" si="155"/>
        <v>42204953.227117106</v>
      </c>
      <c r="AM294" s="67">
        <f t="shared" si="156"/>
        <v>17395666.838714242</v>
      </c>
      <c r="AN294" s="67">
        <f t="shared" si="157"/>
        <v>800728465.87042534</v>
      </c>
      <c r="AO294" s="67">
        <f t="shared" si="158"/>
        <v>0</v>
      </c>
      <c r="AP294" s="67">
        <f t="shared" si="159"/>
        <v>278787.05091141409</v>
      </c>
      <c r="AQ294" s="67">
        <f t="shared" si="160"/>
        <v>-353932.87429543259</v>
      </c>
      <c r="AR294" s="67">
        <f t="shared" si="161"/>
        <v>-723745.75263889355</v>
      </c>
      <c r="AS294" s="67">
        <f t="shared" si="162"/>
        <v>-1143207.362201174</v>
      </c>
      <c r="AT294" s="68">
        <v>105248</v>
      </c>
      <c r="AU294" s="68"/>
      <c r="AV294" s="68"/>
      <c r="AW294" s="68">
        <v>1594</v>
      </c>
      <c r="AX294" s="68">
        <v>42237.774074004054</v>
      </c>
      <c r="AY294" s="68">
        <v>39111.103956790961</v>
      </c>
      <c r="AZ294" s="68">
        <v>67229.665281306647</v>
      </c>
      <c r="BA294" s="299"/>
      <c r="BB294" s="67"/>
      <c r="BC294" s="67"/>
      <c r="BD294" s="67"/>
      <c r="BE294" s="67"/>
      <c r="BF294" s="67"/>
      <c r="BG294" s="67"/>
      <c r="BH294" s="67"/>
      <c r="BN294" s="299"/>
      <c r="BO294" s="67">
        <v>716465139.13395536</v>
      </c>
      <c r="BP294" s="67">
        <v>722466642.8599999</v>
      </c>
      <c r="BQ294" s="67">
        <v>804146000</v>
      </c>
      <c r="BR294" s="67">
        <v>9918714.5800000019</v>
      </c>
      <c r="BS294" s="67">
        <v>12354000</v>
      </c>
      <c r="BT294" s="428">
        <v>0.65919608933733598</v>
      </c>
      <c r="BU294" s="428">
        <v>0.33464287704132484</v>
      </c>
      <c r="BV294" s="67">
        <f t="shared" si="163"/>
        <v>64265008.221585184</v>
      </c>
      <c r="BW294" s="299"/>
      <c r="BX294" s="67">
        <v>1488417077</v>
      </c>
      <c r="BY294" s="67">
        <v>716465139.13395536</v>
      </c>
      <c r="BZ294" s="67">
        <v>1170513928.176796</v>
      </c>
      <c r="CA294" s="67">
        <v>512054388.6746664</v>
      </c>
      <c r="CB294" s="67">
        <f t="shared" si="164"/>
        <v>-27790226.025920331</v>
      </c>
      <c r="CC294" s="67">
        <f t="shared" si="165"/>
        <v>93.047163094030665</v>
      </c>
      <c r="CD294" s="67">
        <f t="shared" si="166"/>
        <v>89.997526132600669</v>
      </c>
      <c r="CE294" s="67">
        <f t="shared" si="167"/>
        <v>-3.0496369614299965</v>
      </c>
      <c r="CF294" s="67">
        <f t="shared" si="168"/>
        <v>0</v>
      </c>
      <c r="CG294" s="67">
        <f t="shared" si="169"/>
        <v>0</v>
      </c>
      <c r="CH294" s="67">
        <f t="shared" si="170"/>
        <v>0</v>
      </c>
      <c r="CI294" s="67">
        <f t="shared" si="171"/>
        <v>0</v>
      </c>
      <c r="CJ294" s="67">
        <f t="shared" si="172"/>
        <v>0</v>
      </c>
      <c r="CK294" s="67">
        <f t="shared" si="173"/>
        <v>0</v>
      </c>
      <c r="CL294" s="67">
        <f t="shared" si="174"/>
        <v>0</v>
      </c>
      <c r="CM294" s="67">
        <f t="shared" si="175"/>
        <v>0</v>
      </c>
      <c r="CN294" s="299"/>
      <c r="CO294" s="430">
        <v>985644.9611286096</v>
      </c>
      <c r="CP294" s="430">
        <v>126119.38314738205</v>
      </c>
      <c r="CQ294" s="430">
        <v>106694.40300000001</v>
      </c>
      <c r="CR294" s="430">
        <v>167708529.18003136</v>
      </c>
      <c r="CS294" s="430">
        <v>150312862.34131712</v>
      </c>
      <c r="CT294" s="430">
        <v>96292646.239306241</v>
      </c>
      <c r="CU294" s="430">
        <v>28872187.284070745</v>
      </c>
      <c r="CV294" s="430">
        <v>24812577</v>
      </c>
      <c r="CW294" s="430">
        <v>3075633.230254313</v>
      </c>
      <c r="CX294" s="430">
        <v>26357390.059999999</v>
      </c>
      <c r="CY294" s="430">
        <v>710307804.7895745</v>
      </c>
      <c r="CZ294" s="519"/>
      <c r="DA294" s="524">
        <v>972217.7453200001</v>
      </c>
      <c r="DB294" s="524">
        <v>125133.19572376495</v>
      </c>
      <c r="DC294" s="520">
        <f t="shared" si="176"/>
        <v>-1</v>
      </c>
      <c r="DD294" s="440">
        <v>239206</v>
      </c>
      <c r="DE294" s="450">
        <v>716465139.13395536</v>
      </c>
      <c r="DF294" s="440">
        <v>328116016.65886641</v>
      </c>
      <c r="DG294" s="440">
        <v>108440069.34140001</v>
      </c>
      <c r="DH294" s="440">
        <v>75498302.674400002</v>
      </c>
      <c r="DI294" s="440">
        <v>149939597.98822013</v>
      </c>
      <c r="DJ294" s="440">
        <v>28790481.659818873</v>
      </c>
      <c r="DK294" s="440">
        <v>-27694606.953011636</v>
      </c>
      <c r="DL294" s="440">
        <v>21742057</v>
      </c>
      <c r="DM294" s="440">
        <v>23219326</v>
      </c>
      <c r="DN294" s="440">
        <v>2918775.0446567046</v>
      </c>
      <c r="DO294" s="457">
        <f t="shared" si="177"/>
        <v>-5495119.7196048498</v>
      </c>
      <c r="DP294" s="459">
        <f t="shared" si="178"/>
        <v>-22.972332297705115</v>
      </c>
      <c r="DQ294" s="440"/>
      <c r="DR294" s="450">
        <v>1488417077</v>
      </c>
      <c r="DS294" s="440">
        <v>948826404.82379591</v>
      </c>
      <c r="DT294" s="440">
        <v>113247454.01159999</v>
      </c>
      <c r="DU294" s="440">
        <v>167336174.54003114</v>
      </c>
      <c r="DV294" s="440">
        <v>96020146.941125512</v>
      </c>
      <c r="DW294" s="440">
        <v>153401452.34140003</v>
      </c>
      <c r="DX294" s="457">
        <f t="shared" si="179"/>
        <v>-9585444.3420474529</v>
      </c>
      <c r="DY294" s="459">
        <f t="shared" si="180"/>
        <v>-40.07192270280617</v>
      </c>
      <c r="DZ294" s="440"/>
      <c r="EA294" s="457">
        <f t="shared" si="181"/>
        <v>4090324.6224426031</v>
      </c>
      <c r="EB294" s="459">
        <f t="shared" si="182"/>
        <v>17.099590405101054</v>
      </c>
      <c r="ED294" s="457">
        <v>-3093860.6356005548</v>
      </c>
      <c r="EE294" s="458">
        <v>184277.01790870618</v>
      </c>
      <c r="EF294" s="458">
        <v>426096.05069565028</v>
      </c>
      <c r="EG294" s="458">
        <v>141383.74237397921</v>
      </c>
      <c r="EH294" s="459">
        <v>-92128.953124255771</v>
      </c>
    </row>
    <row r="295" spans="1:138" x14ac:dyDescent="0.2">
      <c r="A295" s="67">
        <v>915</v>
      </c>
      <c r="B295" s="67" t="s">
        <v>411</v>
      </c>
      <c r="C295" s="67">
        <v>11</v>
      </c>
      <c r="D295" s="67">
        <v>19759</v>
      </c>
      <c r="E295" s="82">
        <v>51946771.73839204</v>
      </c>
      <c r="F295" s="67">
        <v>29523033.565522742</v>
      </c>
      <c r="G295" s="67">
        <v>6748900</v>
      </c>
      <c r="H295" s="67">
        <v>3794513.6618516739</v>
      </c>
      <c r="I295" s="67">
        <v>3823800.4783983133</v>
      </c>
      <c r="J295" s="67">
        <v>3287250.6487636585</v>
      </c>
      <c r="K295" s="67">
        <v>-944917.03626756347</v>
      </c>
      <c r="L295" s="67">
        <v>-2359100</v>
      </c>
      <c r="M295" s="68">
        <v>2569508.66</v>
      </c>
      <c r="N295" s="68">
        <v>199377.80080578095</v>
      </c>
      <c r="O295" s="68">
        <v>-575053.41699014371</v>
      </c>
      <c r="P295" s="168">
        <f t="shared" si="148"/>
        <v>-5879457.376307575</v>
      </c>
      <c r="Q295" s="169">
        <f t="shared" si="149"/>
        <v>-297.55844811516653</v>
      </c>
      <c r="R295" s="67"/>
      <c r="S295" s="82">
        <v>152869955.53999999</v>
      </c>
      <c r="T295" s="67">
        <v>72469444.061659023</v>
      </c>
      <c r="U295" s="67">
        <v>5702972.9312559692</v>
      </c>
      <c r="V295" s="67">
        <v>50691194.182217486</v>
      </c>
      <c r="W295" s="67">
        <v>10963425.13668745</v>
      </c>
      <c r="X295" s="67">
        <v>6959308.6600000001</v>
      </c>
      <c r="Y295" s="168">
        <f t="shared" si="150"/>
        <v>-6083610.5681800544</v>
      </c>
      <c r="Z295" s="169">
        <f t="shared" si="151"/>
        <v>-307.89061026266785</v>
      </c>
      <c r="AA295" s="67"/>
      <c r="AB295" s="77">
        <f t="shared" si="152"/>
        <v>204153.19187247939</v>
      </c>
      <c r="AC295" s="123">
        <f t="shared" si="153"/>
        <v>10.332162147501361</v>
      </c>
      <c r="AE295" s="170"/>
      <c r="AF295" s="177">
        <v>22685.84146610698</v>
      </c>
      <c r="AG295" s="177">
        <v>-28800.710254154135</v>
      </c>
      <c r="AH295" s="177">
        <v>-58893.629931726507</v>
      </c>
      <c r="AI295" s="178">
        <v>-93026.634117317837</v>
      </c>
      <c r="AK295" s="67">
        <f t="shared" si="154"/>
        <v>42946410.496136278</v>
      </c>
      <c r="AL295" s="67">
        <f t="shared" si="155"/>
        <v>1908459.2694042954</v>
      </c>
      <c r="AM295" s="67">
        <f t="shared" si="156"/>
        <v>46867393.703819171</v>
      </c>
      <c r="AN295" s="67">
        <f t="shared" si="157"/>
        <v>100923183.80160795</v>
      </c>
      <c r="AO295" s="67">
        <f t="shared" si="158"/>
        <v>0</v>
      </c>
      <c r="AP295" s="67">
        <f t="shared" si="159"/>
        <v>22685.84146610698</v>
      </c>
      <c r="AQ295" s="67">
        <f t="shared" si="160"/>
        <v>-28800.710254154135</v>
      </c>
      <c r="AR295" s="67">
        <f t="shared" si="161"/>
        <v>-58893.629931726507</v>
      </c>
      <c r="AS295" s="67">
        <f t="shared" si="162"/>
        <v>-93026.634117317837</v>
      </c>
      <c r="AT295" s="68">
        <v>10427</v>
      </c>
      <c r="AU295" s="68"/>
      <c r="AV295" s="68"/>
      <c r="AW295" s="68">
        <v>107</v>
      </c>
      <c r="AX295" s="68">
        <v>43649.453984031992</v>
      </c>
      <c r="AY295" s="68">
        <v>-2792.148220814664</v>
      </c>
      <c r="AZ295" s="68">
        <v>7679.7494584001952</v>
      </c>
      <c r="BA295" s="299"/>
      <c r="BB295" s="67"/>
      <c r="BC295" s="67"/>
      <c r="BD295" s="67"/>
      <c r="BE295" s="67"/>
      <c r="BF295" s="67"/>
      <c r="BG295" s="67"/>
      <c r="BH295" s="67"/>
      <c r="BN295" s="299"/>
      <c r="BO295" s="67">
        <v>50707864.480620921</v>
      </c>
      <c r="BP295" s="67">
        <v>90147666.799999967</v>
      </c>
      <c r="BQ295" s="67">
        <v>99476000</v>
      </c>
      <c r="BR295" s="67">
        <v>2780196.29</v>
      </c>
      <c r="BS295" s="67">
        <v>2809000</v>
      </c>
      <c r="BT295" s="428">
        <v>0.59261404654348215</v>
      </c>
      <c r="BU295" s="428">
        <v>0.33464287704132489</v>
      </c>
      <c r="BV295" s="67">
        <f t="shared" si="163"/>
        <v>53598651.1554754</v>
      </c>
      <c r="BW295" s="299"/>
      <c r="BX295" s="67">
        <v>148891704</v>
      </c>
      <c r="BY295" s="67">
        <v>50707864.480620921</v>
      </c>
      <c r="BZ295" s="67">
        <v>86226285.856256247</v>
      </c>
      <c r="CA295" s="67">
        <v>40663893.206803679</v>
      </c>
      <c r="CB295" s="67">
        <f t="shared" si="164"/>
        <v>775172.72251751611</v>
      </c>
      <c r="CC295" s="67">
        <f t="shared" si="165"/>
        <v>-307.89061026266842</v>
      </c>
      <c r="CD295" s="67">
        <f t="shared" si="166"/>
        <v>-181.40159929816056</v>
      </c>
      <c r="CE295" s="67">
        <f t="shared" si="167"/>
        <v>126.48901096450786</v>
      </c>
      <c r="CF295" s="67">
        <f t="shared" si="168"/>
        <v>-111.48901096450786</v>
      </c>
      <c r="CG295" s="67">
        <f t="shared" si="169"/>
        <v>-96.489010964507855</v>
      </c>
      <c r="CH295" s="67">
        <f t="shared" si="170"/>
        <v>-81.489010964507855</v>
      </c>
      <c r="CI295" s="67">
        <f t="shared" si="171"/>
        <v>-66.489010964507855</v>
      </c>
      <c r="CJ295" s="67">
        <f t="shared" si="172"/>
        <v>-2202911.3676477107</v>
      </c>
      <c r="CK295" s="67">
        <f t="shared" si="173"/>
        <v>-1906526.3676477107</v>
      </c>
      <c r="CL295" s="67">
        <f t="shared" si="174"/>
        <v>-1610141.3676477107</v>
      </c>
      <c r="CM295" s="67">
        <f t="shared" si="175"/>
        <v>-1313756.3676477107</v>
      </c>
      <c r="CN295" s="299"/>
      <c r="CO295" s="430">
        <v>72469.444061659029</v>
      </c>
      <c r="CP295" s="430">
        <v>5702.9729312559693</v>
      </c>
      <c r="CQ295" s="430">
        <v>6748.9</v>
      </c>
      <c r="CR295" s="430">
        <v>50691194.182217486</v>
      </c>
      <c r="CS295" s="430">
        <v>3823800.4783983133</v>
      </c>
      <c r="CT295" s="430">
        <v>10963425.13668745</v>
      </c>
      <c r="CU295" s="430">
        <v>3287250.6487636585</v>
      </c>
      <c r="CV295" s="430">
        <v>-2359100</v>
      </c>
      <c r="CW295" s="430">
        <v>199377.80080578095</v>
      </c>
      <c r="CX295" s="430">
        <v>2569508.66</v>
      </c>
      <c r="CY295" s="430">
        <v>51946771.73839204</v>
      </c>
      <c r="CZ295" s="519"/>
      <c r="DA295" s="524">
        <v>73159.729500000001</v>
      </c>
      <c r="DB295" s="524">
        <v>5658.3801025314142</v>
      </c>
      <c r="DC295" s="520">
        <f t="shared" si="176"/>
        <v>-1</v>
      </c>
      <c r="DD295" s="440">
        <v>19973</v>
      </c>
      <c r="DE295" s="450">
        <v>50707864.480620921</v>
      </c>
      <c r="DF295" s="440">
        <v>30634451.297603678</v>
      </c>
      <c r="DG295" s="440">
        <v>6615495.807</v>
      </c>
      <c r="DH295" s="440">
        <v>3413946.1021999996</v>
      </c>
      <c r="DI295" s="440">
        <v>3792008.9129902511</v>
      </c>
      <c r="DJ295" s="440">
        <v>3288781.5967686083</v>
      </c>
      <c r="DK295" s="440">
        <v>773633.93252304895</v>
      </c>
      <c r="DL295" s="440">
        <v>-2392541</v>
      </c>
      <c r="DM295" s="440">
        <v>2000000</v>
      </c>
      <c r="DN295" s="440">
        <v>201965.90171755292</v>
      </c>
      <c r="DO295" s="457">
        <f t="shared" si="177"/>
        <v>-2380121.9298177809</v>
      </c>
      <c r="DP295" s="459">
        <f t="shared" si="178"/>
        <v>-119.16697190295804</v>
      </c>
      <c r="DQ295" s="440"/>
      <c r="DR295" s="450">
        <v>148891704</v>
      </c>
      <c r="DS295" s="440">
        <v>74489870.895956248</v>
      </c>
      <c r="DT295" s="440">
        <v>5120919.1532999994</v>
      </c>
      <c r="DU295" s="440">
        <v>50659517.332217485</v>
      </c>
      <c r="DV295" s="440">
        <v>10968531.055168804</v>
      </c>
      <c r="DW295" s="440">
        <v>6222954.807</v>
      </c>
      <c r="DX295" s="457">
        <f t="shared" si="179"/>
        <v>-1429910.7563574612</v>
      </c>
      <c r="DY295" s="459">
        <f t="shared" si="180"/>
        <v>-71.592187270688484</v>
      </c>
      <c r="DZ295" s="440"/>
      <c r="EA295" s="457">
        <f t="shared" si="181"/>
        <v>-950211.17346031964</v>
      </c>
      <c r="EB295" s="459">
        <f t="shared" si="182"/>
        <v>-47.574784632269548</v>
      </c>
      <c r="ED295" s="457">
        <v>1033412.9961954998</v>
      </c>
      <c r="EE295" s="458">
        <v>707937.88358770765</v>
      </c>
      <c r="EF295" s="458">
        <v>386598.94500678696</v>
      </c>
      <c r="EG295" s="458">
        <v>63231.301619460843</v>
      </c>
      <c r="EH295" s="459">
        <v>-7692.4975993526941</v>
      </c>
    </row>
    <row r="296" spans="1:138" x14ac:dyDescent="0.2">
      <c r="A296" s="67">
        <v>918</v>
      </c>
      <c r="B296" s="67" t="s">
        <v>412</v>
      </c>
      <c r="C296" s="67">
        <v>2</v>
      </c>
      <c r="D296" s="67">
        <v>2228</v>
      </c>
      <c r="E296" s="82">
        <v>5284457.516720999</v>
      </c>
      <c r="F296" s="67">
        <v>3455356.6692700419</v>
      </c>
      <c r="G296" s="67">
        <v>957041</v>
      </c>
      <c r="H296" s="67">
        <v>514974.7225257128</v>
      </c>
      <c r="I296" s="67">
        <v>924810.06894124614</v>
      </c>
      <c r="J296" s="67">
        <v>506631.30124287377</v>
      </c>
      <c r="K296" s="67">
        <v>29344.92073757375</v>
      </c>
      <c r="L296" s="67">
        <v>-498641</v>
      </c>
      <c r="M296" s="68">
        <v>-206181.24</v>
      </c>
      <c r="N296" s="68">
        <v>19723.396128279328</v>
      </c>
      <c r="O296" s="68">
        <v>-64842.300372186859</v>
      </c>
      <c r="P296" s="168">
        <f t="shared" si="148"/>
        <v>353760.02175254206</v>
      </c>
      <c r="Q296" s="169">
        <f t="shared" si="149"/>
        <v>158.77918391047669</v>
      </c>
      <c r="R296" s="67"/>
      <c r="S296" s="82">
        <v>15249542.940000001</v>
      </c>
      <c r="T296" s="67">
        <v>7633605.071495356</v>
      </c>
      <c r="U296" s="67">
        <v>773982.42951957916</v>
      </c>
      <c r="V296" s="67">
        <v>5283029.3399936585</v>
      </c>
      <c r="W296" s="67">
        <v>1689683.8533343424</v>
      </c>
      <c r="X296" s="67">
        <v>252218.76</v>
      </c>
      <c r="Y296" s="168">
        <f t="shared" si="150"/>
        <v>382976.51434293389</v>
      </c>
      <c r="Z296" s="169">
        <f t="shared" si="151"/>
        <v>171.89251092591289</v>
      </c>
      <c r="AA296" s="67"/>
      <c r="AB296" s="77">
        <f t="shared" si="152"/>
        <v>-29216.492590391834</v>
      </c>
      <c r="AC296" s="123">
        <f t="shared" si="153"/>
        <v>-13.113327015436191</v>
      </c>
      <c r="AE296" s="170"/>
      <c r="AF296" s="177">
        <v>2558.0269642434509</v>
      </c>
      <c r="AG296" s="177">
        <v>-3247.531881484661</v>
      </c>
      <c r="AH296" s="177">
        <v>-6640.7716730546408</v>
      </c>
      <c r="AI296" s="178">
        <v>-10489.566314762089</v>
      </c>
      <c r="AK296" s="67">
        <f t="shared" si="154"/>
        <v>4178248.4022253142</v>
      </c>
      <c r="AL296" s="67">
        <f t="shared" si="155"/>
        <v>259007.70699386636</v>
      </c>
      <c r="AM296" s="67">
        <f t="shared" si="156"/>
        <v>4358219.2710524127</v>
      </c>
      <c r="AN296" s="67">
        <f t="shared" si="157"/>
        <v>9965085.4232790023</v>
      </c>
      <c r="AO296" s="67">
        <f t="shared" si="158"/>
        <v>0</v>
      </c>
      <c r="AP296" s="67">
        <f t="shared" si="159"/>
        <v>2558.0269642434509</v>
      </c>
      <c r="AQ296" s="67">
        <f t="shared" si="160"/>
        <v>-3247.531881484661</v>
      </c>
      <c r="AR296" s="67">
        <f t="shared" si="161"/>
        <v>-6640.7716730546408</v>
      </c>
      <c r="AS296" s="67">
        <f t="shared" si="162"/>
        <v>-10489.566314762089</v>
      </c>
      <c r="AT296" s="68">
        <v>718</v>
      </c>
      <c r="AU296" s="68"/>
      <c r="AV296" s="68"/>
      <c r="AW296" s="68">
        <v>13</v>
      </c>
      <c r="AX296" s="68">
        <v>3645.8398666867083</v>
      </c>
      <c r="AY296" s="68">
        <v>-702.72619226703148</v>
      </c>
      <c r="AZ296" s="68">
        <v>1190.6290820513555</v>
      </c>
      <c r="BA296" s="299"/>
      <c r="BB296" s="67"/>
      <c r="BC296" s="67"/>
      <c r="BD296" s="67"/>
      <c r="BE296" s="67"/>
      <c r="BF296" s="67"/>
      <c r="BG296" s="67"/>
      <c r="BH296" s="67"/>
      <c r="BN296" s="299"/>
      <c r="BO296" s="67">
        <v>5573984.0734606907</v>
      </c>
      <c r="BP296" s="67">
        <v>9252658.540000001</v>
      </c>
      <c r="BQ296" s="67">
        <v>9697000</v>
      </c>
      <c r="BR296" s="67">
        <v>161127.15000000002</v>
      </c>
      <c r="BS296" s="67">
        <v>165000</v>
      </c>
      <c r="BT296" s="428">
        <v>0.54734930129242754</v>
      </c>
      <c r="BU296" s="428">
        <v>0.33464287704132478</v>
      </c>
      <c r="BV296" s="67">
        <f t="shared" si="163"/>
        <v>5570616.7438814547</v>
      </c>
      <c r="BW296" s="299"/>
      <c r="BX296" s="67">
        <v>15564909</v>
      </c>
      <c r="BY296" s="67">
        <v>5573984.0734606907</v>
      </c>
      <c r="BZ296" s="67">
        <v>9294147.2899197992</v>
      </c>
      <c r="CA296" s="67">
        <v>4922544.1938273245</v>
      </c>
      <c r="CB296" s="67">
        <f t="shared" si="164"/>
        <v>-60490.022890391592</v>
      </c>
      <c r="CC296" s="67">
        <f t="shared" si="165"/>
        <v>171.89251092591309</v>
      </c>
      <c r="CD296" s="67">
        <f t="shared" si="166"/>
        <v>147.56166000752398</v>
      </c>
      <c r="CE296" s="67">
        <f t="shared" si="167"/>
        <v>-24.330850918389103</v>
      </c>
      <c r="CF296" s="67">
        <f t="shared" si="168"/>
        <v>9.3308509183891033</v>
      </c>
      <c r="CG296" s="67">
        <f t="shared" si="169"/>
        <v>0</v>
      </c>
      <c r="CH296" s="67">
        <f t="shared" si="170"/>
        <v>0</v>
      </c>
      <c r="CI296" s="67">
        <f t="shared" si="171"/>
        <v>0</v>
      </c>
      <c r="CJ296" s="67">
        <f t="shared" si="172"/>
        <v>20789.135846170921</v>
      </c>
      <c r="CK296" s="67">
        <f t="shared" si="173"/>
        <v>0</v>
      </c>
      <c r="CL296" s="67">
        <f t="shared" si="174"/>
        <v>0</v>
      </c>
      <c r="CM296" s="67">
        <f t="shared" si="175"/>
        <v>0</v>
      </c>
      <c r="CN296" s="299"/>
      <c r="CO296" s="430">
        <v>7633.6050714953562</v>
      </c>
      <c r="CP296" s="430">
        <v>773.98242951957911</v>
      </c>
      <c r="CQ296" s="430">
        <v>957.04100000000005</v>
      </c>
      <c r="CR296" s="430">
        <v>5283029.3399936585</v>
      </c>
      <c r="CS296" s="430">
        <v>924810.06894124614</v>
      </c>
      <c r="CT296" s="430">
        <v>1689683.8533343424</v>
      </c>
      <c r="CU296" s="430">
        <v>506631.30124287377</v>
      </c>
      <c r="CV296" s="430">
        <v>-498641</v>
      </c>
      <c r="CW296" s="430">
        <v>19723.396128279328</v>
      </c>
      <c r="CX296" s="430">
        <v>-206181.24</v>
      </c>
      <c r="CY296" s="430">
        <v>5284457.516720999</v>
      </c>
      <c r="CZ296" s="519"/>
      <c r="DA296" s="524">
        <v>7608.1655799999999</v>
      </c>
      <c r="DB296" s="524">
        <v>767.92921961558932</v>
      </c>
      <c r="DC296" s="520">
        <f t="shared" si="176"/>
        <v>-1</v>
      </c>
      <c r="DD296" s="440">
        <v>2271</v>
      </c>
      <c r="DE296" s="450">
        <v>5573984.0734606907</v>
      </c>
      <c r="DF296" s="440">
        <v>3509616.6644273247</v>
      </c>
      <c r="DG296" s="440">
        <v>949601.76399999997</v>
      </c>
      <c r="DH296" s="440">
        <v>463325.76540000003</v>
      </c>
      <c r="DI296" s="440">
        <v>921209.52431897994</v>
      </c>
      <c r="DJ296" s="440">
        <v>509875.88004514156</v>
      </c>
      <c r="DK296" s="440">
        <v>-60287.279328028912</v>
      </c>
      <c r="DL296" s="440">
        <v>-498641</v>
      </c>
      <c r="DM296" s="440">
        <v>-96436</v>
      </c>
      <c r="DN296" s="440">
        <v>19378.147413076451</v>
      </c>
      <c r="DO296" s="457">
        <f t="shared" si="177"/>
        <v>143659.39281580318</v>
      </c>
      <c r="DP296" s="459">
        <f t="shared" si="178"/>
        <v>63.25820907785257</v>
      </c>
      <c r="DQ296" s="440"/>
      <c r="DR296" s="450">
        <v>15564909</v>
      </c>
      <c r="DS296" s="440">
        <v>7649556.8778197998</v>
      </c>
      <c r="DT296" s="440">
        <v>694988.64809999999</v>
      </c>
      <c r="DU296" s="440">
        <v>5279439.819993658</v>
      </c>
      <c r="DV296" s="440">
        <v>1700504.962096497</v>
      </c>
      <c r="DW296" s="440">
        <v>354524.76399999997</v>
      </c>
      <c r="DX296" s="457">
        <f t="shared" si="179"/>
        <v>114106.0720099546</v>
      </c>
      <c r="DY296" s="459">
        <f t="shared" si="180"/>
        <v>50.244857776290004</v>
      </c>
      <c r="DZ296" s="440"/>
      <c r="EA296" s="457">
        <f t="shared" si="181"/>
        <v>29553.320805848576</v>
      </c>
      <c r="EB296" s="459">
        <f t="shared" si="182"/>
        <v>13.013351301562562</v>
      </c>
      <c r="ED296" s="457">
        <v>-20092.982377388606</v>
      </c>
      <c r="EE296" s="458">
        <v>6517.6790516846659</v>
      </c>
      <c r="EF296" s="458">
        <v>4045.3171372366155</v>
      </c>
      <c r="EG296" s="458">
        <v>1342.2843863920923</v>
      </c>
      <c r="EH296" s="459">
        <v>-874.66389866970246</v>
      </c>
    </row>
    <row r="297" spans="1:138" x14ac:dyDescent="0.2">
      <c r="A297" s="67">
        <v>921</v>
      </c>
      <c r="B297" s="67" t="s">
        <v>413</v>
      </c>
      <c r="C297" s="67">
        <v>11</v>
      </c>
      <c r="D297" s="67">
        <v>1894</v>
      </c>
      <c r="E297" s="82">
        <v>5398235.1934544947</v>
      </c>
      <c r="F297" s="67">
        <v>2235263.5930267298</v>
      </c>
      <c r="G297" s="67">
        <v>800250</v>
      </c>
      <c r="H297" s="67">
        <v>523876.03275664669</v>
      </c>
      <c r="I297" s="67">
        <v>1133078.7824396209</v>
      </c>
      <c r="J297" s="67">
        <v>480885.13142659329</v>
      </c>
      <c r="K297" s="67">
        <v>583976.54199179157</v>
      </c>
      <c r="L297" s="67">
        <v>147597</v>
      </c>
      <c r="M297" s="68">
        <v>236642.15</v>
      </c>
      <c r="N297" s="68">
        <v>13889.361970280943</v>
      </c>
      <c r="O297" s="68">
        <v>-55121.775989641792</v>
      </c>
      <c r="P297" s="168">
        <f t="shared" si="148"/>
        <v>702101.62416752672</v>
      </c>
      <c r="Q297" s="169">
        <f t="shared" si="149"/>
        <v>370.69779523100669</v>
      </c>
      <c r="R297" s="67"/>
      <c r="S297" s="82">
        <v>17496192.289999999</v>
      </c>
      <c r="T297" s="67">
        <v>5096527.6439325046</v>
      </c>
      <c r="U297" s="67">
        <v>787360.67395972589</v>
      </c>
      <c r="V297" s="67">
        <v>9521307.6915020607</v>
      </c>
      <c r="W297" s="67">
        <v>1603816.8977849092</v>
      </c>
      <c r="X297" s="67">
        <v>1184489.1499999999</v>
      </c>
      <c r="Y297" s="168">
        <f t="shared" si="150"/>
        <v>697309.76717920229</v>
      </c>
      <c r="Z297" s="169">
        <f t="shared" si="151"/>
        <v>368.16777570179636</v>
      </c>
      <c r="AA297" s="67"/>
      <c r="AB297" s="77">
        <f t="shared" si="152"/>
        <v>4791.8569883244345</v>
      </c>
      <c r="AC297" s="123">
        <f t="shared" si="153"/>
        <v>2.5300195292103669</v>
      </c>
      <c r="AE297" s="170"/>
      <c r="AF297" s="177">
        <v>2174.5525450076734</v>
      </c>
      <c r="AG297" s="177">
        <v>-2760.6936191795098</v>
      </c>
      <c r="AH297" s="177">
        <v>-5645.2520416362167</v>
      </c>
      <c r="AI297" s="178">
        <v>-8917.0729803228896</v>
      </c>
      <c r="AK297" s="67">
        <f t="shared" si="154"/>
        <v>2861264.0509057748</v>
      </c>
      <c r="AL297" s="67">
        <f t="shared" si="155"/>
        <v>263484.6412030792</v>
      </c>
      <c r="AM297" s="67">
        <f t="shared" si="156"/>
        <v>8388228.9090624396</v>
      </c>
      <c r="AN297" s="67">
        <f t="shared" si="157"/>
        <v>12097957.096545504</v>
      </c>
      <c r="AO297" s="67">
        <f t="shared" si="158"/>
        <v>0</v>
      </c>
      <c r="AP297" s="67">
        <f t="shared" si="159"/>
        <v>2174.5525450076734</v>
      </c>
      <c r="AQ297" s="67">
        <f t="shared" si="160"/>
        <v>-2760.6936191795098</v>
      </c>
      <c r="AR297" s="67">
        <f t="shared" si="161"/>
        <v>-5645.2520416362167</v>
      </c>
      <c r="AS297" s="67">
        <f t="shared" si="162"/>
        <v>-8917.0729803228896</v>
      </c>
      <c r="AT297" s="68">
        <v>725</v>
      </c>
      <c r="AU297" s="68"/>
      <c r="AV297" s="68"/>
      <c r="AW297" s="68">
        <v>197</v>
      </c>
      <c r="AX297" s="68">
        <v>7637.2913658867719</v>
      </c>
      <c r="AY297" s="68">
        <v>-1145.0470948251893</v>
      </c>
      <c r="AZ297" s="68">
        <v>1124.1327832885172</v>
      </c>
      <c r="BA297" s="299"/>
      <c r="BB297" s="67"/>
      <c r="BC297" s="67"/>
      <c r="BD297" s="67"/>
      <c r="BE297" s="67"/>
      <c r="BF297" s="67"/>
      <c r="BG297" s="67"/>
      <c r="BH297" s="67"/>
      <c r="BN297" s="299"/>
      <c r="BO297" s="67">
        <v>6018332.0564791542</v>
      </c>
      <c r="BP297" s="67">
        <v>10810945.599999998</v>
      </c>
      <c r="BQ297" s="67">
        <v>12080000</v>
      </c>
      <c r="BR297" s="67">
        <v>253217.44</v>
      </c>
      <c r="BS297" s="67">
        <v>257000</v>
      </c>
      <c r="BT297" s="428">
        <v>0.56141440816320387</v>
      </c>
      <c r="BU297" s="428">
        <v>0.33464287704132484</v>
      </c>
      <c r="BV297" s="67">
        <f t="shared" si="163"/>
        <v>10095137.217412546</v>
      </c>
      <c r="BW297" s="299"/>
      <c r="BX297" s="67">
        <v>17932080</v>
      </c>
      <c r="BY297" s="67">
        <v>6018332.0564791542</v>
      </c>
      <c r="BZ297" s="67">
        <v>6973463.0022582393</v>
      </c>
      <c r="CA297" s="67">
        <v>3700793.4946982749</v>
      </c>
      <c r="CB297" s="67">
        <f t="shared" si="164"/>
        <v>750409.03976338869</v>
      </c>
      <c r="CC297" s="67">
        <f t="shared" si="165"/>
        <v>368.16777570179613</v>
      </c>
      <c r="CD297" s="67">
        <f t="shared" si="166"/>
        <v>487.67470851571574</v>
      </c>
      <c r="CE297" s="67">
        <f t="shared" si="167"/>
        <v>119.5069328139196</v>
      </c>
      <c r="CF297" s="67">
        <f t="shared" si="168"/>
        <v>-104.5069328139196</v>
      </c>
      <c r="CG297" s="67">
        <f t="shared" si="169"/>
        <v>-89.506932813919605</v>
      </c>
      <c r="CH297" s="67">
        <f t="shared" si="170"/>
        <v>-74.506932813919605</v>
      </c>
      <c r="CI297" s="67">
        <f t="shared" si="171"/>
        <v>-59.506932813919605</v>
      </c>
      <c r="CJ297" s="67">
        <f t="shared" si="172"/>
        <v>-197936.13074956374</v>
      </c>
      <c r="CK297" s="67">
        <f t="shared" si="173"/>
        <v>-169526.13074956374</v>
      </c>
      <c r="CL297" s="67">
        <f t="shared" si="174"/>
        <v>-141116.13074956374</v>
      </c>
      <c r="CM297" s="67">
        <f t="shared" si="175"/>
        <v>-112706.13074956373</v>
      </c>
      <c r="CN297" s="299"/>
      <c r="CO297" s="430">
        <v>5096.5276439325044</v>
      </c>
      <c r="CP297" s="430">
        <v>787.36067395972589</v>
      </c>
      <c r="CQ297" s="430">
        <v>800.25</v>
      </c>
      <c r="CR297" s="430">
        <v>9521307.6915020607</v>
      </c>
      <c r="CS297" s="430">
        <v>1133078.7824396209</v>
      </c>
      <c r="CT297" s="430">
        <v>1603816.8977849092</v>
      </c>
      <c r="CU297" s="430">
        <v>480885.13142659329</v>
      </c>
      <c r="CV297" s="430">
        <v>147597</v>
      </c>
      <c r="CW297" s="430">
        <v>13889.361970280943</v>
      </c>
      <c r="CX297" s="430">
        <v>236642.15</v>
      </c>
      <c r="CY297" s="430">
        <v>5398235.1934544947</v>
      </c>
      <c r="CZ297" s="519"/>
      <c r="DA297" s="524">
        <v>5273.0113899999997</v>
      </c>
      <c r="DB297" s="524">
        <v>781.20330607732842</v>
      </c>
      <c r="DC297" s="520">
        <f t="shared" si="176"/>
        <v>-1</v>
      </c>
      <c r="DD297" s="440">
        <v>1941</v>
      </c>
      <c r="DE297" s="450">
        <v>6018332.0564791542</v>
      </c>
      <c r="DF297" s="440">
        <v>2429974.6189982747</v>
      </c>
      <c r="DG297" s="440">
        <v>799484.54950000008</v>
      </c>
      <c r="DH297" s="440">
        <v>471334.32620000001</v>
      </c>
      <c r="DI297" s="440">
        <v>1129994.0387829703</v>
      </c>
      <c r="DJ297" s="440">
        <v>481399.45580642624</v>
      </c>
      <c r="DK297" s="440">
        <v>750034.47577336105</v>
      </c>
      <c r="DL297" s="440">
        <v>291320</v>
      </c>
      <c r="DM297" s="440">
        <v>140050</v>
      </c>
      <c r="DN297" s="440">
        <v>14506.868706462226</v>
      </c>
      <c r="DO297" s="457">
        <f t="shared" si="177"/>
        <v>489766.27728834003</v>
      </c>
      <c r="DP297" s="459">
        <f t="shared" si="178"/>
        <v>252.32677861326121</v>
      </c>
      <c r="DQ297" s="440"/>
      <c r="DR297" s="450">
        <v>17932080</v>
      </c>
      <c r="DS297" s="440">
        <v>5466976.9634582391</v>
      </c>
      <c r="DT297" s="440">
        <v>707001.48930000002</v>
      </c>
      <c r="DU297" s="440">
        <v>9518236.4415020589</v>
      </c>
      <c r="DV297" s="440">
        <v>1605532.2390949435</v>
      </c>
      <c r="DW297" s="440">
        <v>1230854.5495000002</v>
      </c>
      <c r="DX297" s="457">
        <f t="shared" si="179"/>
        <v>596521.682855241</v>
      </c>
      <c r="DY297" s="459">
        <f t="shared" si="180"/>
        <v>307.32698756065997</v>
      </c>
      <c r="DZ297" s="440"/>
      <c r="EA297" s="457">
        <f t="shared" si="181"/>
        <v>-106755.40556690097</v>
      </c>
      <c r="EB297" s="459">
        <f t="shared" si="182"/>
        <v>-55.000208947398747</v>
      </c>
      <c r="ED297" s="457">
        <v>114841.05809426309</v>
      </c>
      <c r="EE297" s="458">
        <v>83210.997834325943</v>
      </c>
      <c r="EF297" s="458">
        <v>51982.895907446306</v>
      </c>
      <c r="EG297" s="458">
        <v>20557.642023963603</v>
      </c>
      <c r="EH297" s="459">
        <v>-747.56610626063082</v>
      </c>
    </row>
    <row r="298" spans="1:138" x14ac:dyDescent="0.2">
      <c r="A298" s="67">
        <v>922</v>
      </c>
      <c r="B298" s="67" t="s">
        <v>414</v>
      </c>
      <c r="C298" s="67">
        <v>6</v>
      </c>
      <c r="D298" s="67">
        <v>4501</v>
      </c>
      <c r="E298" s="82">
        <v>12519499.898468066</v>
      </c>
      <c r="F298" s="67">
        <v>7781906.6522024656</v>
      </c>
      <c r="G298" s="67">
        <v>1357797</v>
      </c>
      <c r="H298" s="67">
        <v>532314.04333853314</v>
      </c>
      <c r="I298" s="67">
        <v>3897643.950650021</v>
      </c>
      <c r="J298" s="67">
        <v>731276.59880695282</v>
      </c>
      <c r="K298" s="67">
        <v>-174630.07460100195</v>
      </c>
      <c r="L298" s="67">
        <v>-1009067</v>
      </c>
      <c r="M298" s="68">
        <v>707142.22</v>
      </c>
      <c r="N298" s="68">
        <v>45975.601243584351</v>
      </c>
      <c r="O298" s="68">
        <v>-130994.25223303997</v>
      </c>
      <c r="P298" s="168">
        <f t="shared" si="148"/>
        <v>1219864.8409394505</v>
      </c>
      <c r="Q298" s="169">
        <f t="shared" si="149"/>
        <v>271.0208489090092</v>
      </c>
      <c r="R298" s="67"/>
      <c r="S298" s="82">
        <v>27720021.080000002</v>
      </c>
      <c r="T298" s="67">
        <v>17857504.17102062</v>
      </c>
      <c r="U298" s="67">
        <v>800042.60113947082</v>
      </c>
      <c r="V298" s="67">
        <v>6526377.8443413228</v>
      </c>
      <c r="W298" s="67">
        <v>2438906.2781831902</v>
      </c>
      <c r="X298" s="67">
        <v>1055872.22</v>
      </c>
      <c r="Y298" s="168">
        <f t="shared" si="150"/>
        <v>958682.03468460217</v>
      </c>
      <c r="Z298" s="169">
        <f t="shared" si="151"/>
        <v>212.99312034761212</v>
      </c>
      <c r="AA298" s="67"/>
      <c r="AB298" s="77">
        <f t="shared" si="152"/>
        <v>261182.80625484837</v>
      </c>
      <c r="AC298" s="123">
        <f t="shared" si="153"/>
        <v>58.027728561397105</v>
      </c>
      <c r="AE298" s="170"/>
      <c r="AF298" s="177">
        <v>-188500.0866111936</v>
      </c>
      <c r="AG298" s="177">
        <v>-132713.4619992646</v>
      </c>
      <c r="AH298" s="177">
        <v>-72053.476497404859</v>
      </c>
      <c r="AI298" s="178">
        <v>-21190.995503924671</v>
      </c>
      <c r="AK298" s="67">
        <f t="shared" si="154"/>
        <v>10075597.518818155</v>
      </c>
      <c r="AL298" s="67">
        <f t="shared" si="155"/>
        <v>267728.55780093768</v>
      </c>
      <c r="AM298" s="67">
        <f t="shared" si="156"/>
        <v>2628733.8936913018</v>
      </c>
      <c r="AN298" s="67">
        <f t="shared" si="157"/>
        <v>15200521.181531936</v>
      </c>
      <c r="AO298" s="67">
        <f t="shared" si="158"/>
        <v>0</v>
      </c>
      <c r="AP298" s="67">
        <f t="shared" si="159"/>
        <v>-188500.0866111936</v>
      </c>
      <c r="AQ298" s="67">
        <f t="shared" si="160"/>
        <v>-132713.4619992646</v>
      </c>
      <c r="AR298" s="67">
        <f t="shared" si="161"/>
        <v>-72053.476497404859</v>
      </c>
      <c r="AS298" s="67">
        <f t="shared" si="162"/>
        <v>-21190.995503924671</v>
      </c>
      <c r="AT298" s="68">
        <v>1481</v>
      </c>
      <c r="AU298" s="68"/>
      <c r="AV298" s="68"/>
      <c r="AW298" s="68">
        <v>0</v>
      </c>
      <c r="AX298" s="68">
        <v>2266.4999215089892</v>
      </c>
      <c r="AY298" s="68">
        <v>-506.99672870316408</v>
      </c>
      <c r="AZ298" s="68">
        <v>1708.8162007618744</v>
      </c>
      <c r="BA298" s="299"/>
      <c r="BB298" s="67"/>
      <c r="BC298" s="67"/>
      <c r="BD298" s="67"/>
      <c r="BE298" s="67"/>
      <c r="BF298" s="67"/>
      <c r="BG298" s="67"/>
      <c r="BH298" s="67"/>
      <c r="BN298" s="299"/>
      <c r="BO298" s="67">
        <v>13471180.303802265</v>
      </c>
      <c r="BP298" s="67">
        <v>13698854.449999997</v>
      </c>
      <c r="BQ298" s="67">
        <v>15043000</v>
      </c>
      <c r="BR298" s="67">
        <v>327567.95</v>
      </c>
      <c r="BS298" s="67">
        <v>333000</v>
      </c>
      <c r="BT298" s="428">
        <v>0.56422204482354033</v>
      </c>
      <c r="BU298" s="428">
        <v>0.33464287704132489</v>
      </c>
      <c r="BV298" s="67">
        <f t="shared" si="163"/>
        <v>4161733.4984665373</v>
      </c>
      <c r="BW298" s="299"/>
      <c r="BX298" s="67">
        <v>28321535</v>
      </c>
      <c r="BY298" s="67">
        <v>13471180.303802265</v>
      </c>
      <c r="BZ298" s="67">
        <v>19292569.23460852</v>
      </c>
      <c r="CA298" s="67">
        <v>9408540.9756789859</v>
      </c>
      <c r="CB298" s="67">
        <f t="shared" si="164"/>
        <v>-319165.16958695301</v>
      </c>
      <c r="CC298" s="67">
        <f t="shared" si="165"/>
        <v>212.99312034761198</v>
      </c>
      <c r="CD298" s="67">
        <f t="shared" si="166"/>
        <v>268.0124412767247</v>
      </c>
      <c r="CE298" s="67">
        <f t="shared" si="167"/>
        <v>55.019320929112723</v>
      </c>
      <c r="CF298" s="67">
        <f t="shared" si="168"/>
        <v>-40.019320929112723</v>
      </c>
      <c r="CG298" s="67">
        <f t="shared" si="169"/>
        <v>-25.019320929112723</v>
      </c>
      <c r="CH298" s="67">
        <f t="shared" si="170"/>
        <v>-10.019320929112723</v>
      </c>
      <c r="CI298" s="67">
        <f t="shared" si="171"/>
        <v>0</v>
      </c>
      <c r="CJ298" s="67">
        <f t="shared" si="172"/>
        <v>-180126.96350193638</v>
      </c>
      <c r="CK298" s="67">
        <f t="shared" si="173"/>
        <v>-112611.96350193636</v>
      </c>
      <c r="CL298" s="67">
        <f t="shared" si="174"/>
        <v>-45096.96350193637</v>
      </c>
      <c r="CM298" s="67">
        <f t="shared" si="175"/>
        <v>0</v>
      </c>
      <c r="CN298" s="299"/>
      <c r="CO298" s="430">
        <v>17857.504171020621</v>
      </c>
      <c r="CP298" s="430">
        <v>800.04260113947078</v>
      </c>
      <c r="CQ298" s="430">
        <v>1357.797</v>
      </c>
      <c r="CR298" s="430">
        <v>6526377.8443413228</v>
      </c>
      <c r="CS298" s="430">
        <v>3897643.950650021</v>
      </c>
      <c r="CT298" s="430">
        <v>2438906.2781831902</v>
      </c>
      <c r="CU298" s="430">
        <v>731276.59880695282</v>
      </c>
      <c r="CV298" s="430">
        <v>-1009067</v>
      </c>
      <c r="CW298" s="430">
        <v>45975.601243584351</v>
      </c>
      <c r="CX298" s="430">
        <v>707142.22</v>
      </c>
      <c r="CY298" s="430">
        <v>12519499.898468066</v>
      </c>
      <c r="CZ298" s="519"/>
      <c r="DA298" s="524">
        <v>18404.156500000001</v>
      </c>
      <c r="DB298" s="524">
        <v>793.78625391234141</v>
      </c>
      <c r="DC298" s="520">
        <f t="shared" si="176"/>
        <v>-1</v>
      </c>
      <c r="DD298" s="440">
        <v>4444</v>
      </c>
      <c r="DE298" s="450">
        <v>13471180.303802265</v>
      </c>
      <c r="DF298" s="440">
        <v>7572065.6925789854</v>
      </c>
      <c r="DG298" s="440">
        <v>1357549.2295000001</v>
      </c>
      <c r="DH298" s="440">
        <v>478926.05359999998</v>
      </c>
      <c r="DI298" s="440">
        <v>3890735.7296556365</v>
      </c>
      <c r="DJ298" s="440">
        <v>731784.71560404473</v>
      </c>
      <c r="DK298" s="440">
        <v>-317848.16307317681</v>
      </c>
      <c r="DL298" s="440">
        <v>-1009067</v>
      </c>
      <c r="DM298" s="440">
        <v>-102216</v>
      </c>
      <c r="DN298" s="440">
        <v>43813.253954310545</v>
      </c>
      <c r="DO298" s="457">
        <f t="shared" si="177"/>
        <v>-825436.79198246449</v>
      </c>
      <c r="DP298" s="459">
        <f t="shared" si="178"/>
        <v>-185.74185238129263</v>
      </c>
      <c r="DQ298" s="440"/>
      <c r="DR298" s="450">
        <v>28321535</v>
      </c>
      <c r="DS298" s="440">
        <v>17216630.924708519</v>
      </c>
      <c r="DT298" s="440">
        <v>718389.08039999998</v>
      </c>
      <c r="DU298" s="440">
        <v>6519476.5543413125</v>
      </c>
      <c r="DV298" s="440">
        <v>2440600.9163659192</v>
      </c>
      <c r="DW298" s="440">
        <v>246266.22950000013</v>
      </c>
      <c r="DX298" s="457">
        <f t="shared" si="179"/>
        <v>-1180171.2946842499</v>
      </c>
      <c r="DY298" s="459">
        <f t="shared" si="180"/>
        <v>-265.56509781373762</v>
      </c>
      <c r="DZ298" s="440"/>
      <c r="EA298" s="457">
        <f t="shared" si="181"/>
        <v>354734.50270178542</v>
      </c>
      <c r="EB298" s="459">
        <f t="shared" si="182"/>
        <v>79.823245432444963</v>
      </c>
      <c r="ED298" s="457">
        <v>-336222.06590034661</v>
      </c>
      <c r="EE298" s="458">
        <v>-275320.40067374212</v>
      </c>
      <c r="EF298" s="458">
        <v>-213498.43517299669</v>
      </c>
      <c r="EG298" s="458">
        <v>-152127.85725346918</v>
      </c>
      <c r="EH298" s="459">
        <v>-89806.08630622772</v>
      </c>
    </row>
    <row r="299" spans="1:138" x14ac:dyDescent="0.2">
      <c r="A299" s="67">
        <v>924</v>
      </c>
      <c r="B299" s="67" t="s">
        <v>415</v>
      </c>
      <c r="C299" s="67">
        <v>16</v>
      </c>
      <c r="D299" s="67">
        <v>2946</v>
      </c>
      <c r="E299" s="82">
        <v>8389158.7598611731</v>
      </c>
      <c r="F299" s="67">
        <v>4322986.5022419309</v>
      </c>
      <c r="G299" s="67">
        <v>793517</v>
      </c>
      <c r="H299" s="67">
        <v>611546.27438191802</v>
      </c>
      <c r="I299" s="67">
        <v>2629059.662792156</v>
      </c>
      <c r="J299" s="67">
        <v>699066.93696101569</v>
      </c>
      <c r="K299" s="67">
        <v>46484.702558594545</v>
      </c>
      <c r="L299" s="67">
        <v>196459</v>
      </c>
      <c r="M299" s="68">
        <v>327028.46999999997</v>
      </c>
      <c r="N299" s="68">
        <v>23618.168998880465</v>
      </c>
      <c r="O299" s="68">
        <v>-85738.517458017275</v>
      </c>
      <c r="P299" s="168">
        <f t="shared" si="148"/>
        <v>1174869.4406153064</v>
      </c>
      <c r="Q299" s="169">
        <f t="shared" si="149"/>
        <v>398.8015752258338</v>
      </c>
      <c r="R299" s="67"/>
      <c r="S299" s="82">
        <v>22673442.73</v>
      </c>
      <c r="T299" s="67">
        <v>9328887.6004036162</v>
      </c>
      <c r="U299" s="67">
        <v>919124.8628443717</v>
      </c>
      <c r="V299" s="67">
        <v>9736932.2717573345</v>
      </c>
      <c r="W299" s="67">
        <v>2331482.7032699832</v>
      </c>
      <c r="X299" s="67">
        <v>1317004.47</v>
      </c>
      <c r="Y299" s="168">
        <f t="shared" si="150"/>
        <v>959989.17827530578</v>
      </c>
      <c r="Z299" s="169">
        <f t="shared" si="151"/>
        <v>325.86190708598298</v>
      </c>
      <c r="AA299" s="67"/>
      <c r="AB299" s="77">
        <f t="shared" si="152"/>
        <v>214880.2623400006</v>
      </c>
      <c r="AC299" s="123">
        <f t="shared" si="153"/>
        <v>72.939668139850852</v>
      </c>
      <c r="AE299" s="170"/>
      <c r="AF299" s="177">
        <v>-167307.88018709802</v>
      </c>
      <c r="AG299" s="177">
        <v>-130794.35072547996</v>
      </c>
      <c r="AH299" s="177">
        <v>-91091.103160832383</v>
      </c>
      <c r="AI299" s="178">
        <v>-51990.218517416826</v>
      </c>
      <c r="AK299" s="67">
        <f t="shared" si="154"/>
        <v>5005901.0981616853</v>
      </c>
      <c r="AL299" s="67">
        <f t="shared" si="155"/>
        <v>307578.58846245368</v>
      </c>
      <c r="AM299" s="67">
        <f t="shared" si="156"/>
        <v>7107872.608965179</v>
      </c>
      <c r="AN299" s="67">
        <f t="shared" si="157"/>
        <v>14284283.970138827</v>
      </c>
      <c r="AO299" s="67">
        <f t="shared" si="158"/>
        <v>0</v>
      </c>
      <c r="AP299" s="67">
        <f t="shared" si="159"/>
        <v>-167307.88018709802</v>
      </c>
      <c r="AQ299" s="67">
        <f t="shared" si="160"/>
        <v>-130794.35072547996</v>
      </c>
      <c r="AR299" s="67">
        <f t="shared" si="161"/>
        <v>-91091.103160832383</v>
      </c>
      <c r="AS299" s="67">
        <f t="shared" si="162"/>
        <v>-51990.218517416826</v>
      </c>
      <c r="AT299" s="68">
        <v>1019</v>
      </c>
      <c r="AU299" s="68"/>
      <c r="AV299" s="68"/>
      <c r="AW299" s="68">
        <v>17</v>
      </c>
      <c r="AX299" s="68">
        <v>5845.4956381079883</v>
      </c>
      <c r="AY299" s="68">
        <v>-1508.2470349029236</v>
      </c>
      <c r="AZ299" s="68">
        <v>1637.7408575048159</v>
      </c>
      <c r="BA299" s="299"/>
      <c r="BB299" s="67"/>
      <c r="BC299" s="67"/>
      <c r="BD299" s="67"/>
      <c r="BE299" s="67"/>
      <c r="BF299" s="67"/>
      <c r="BG299" s="67"/>
      <c r="BH299" s="67"/>
      <c r="BN299" s="299"/>
      <c r="BO299" s="67">
        <v>8965165.6015256457</v>
      </c>
      <c r="BP299" s="67">
        <v>13419057.41</v>
      </c>
      <c r="BQ299" s="67">
        <v>13510000</v>
      </c>
      <c r="BR299" s="67">
        <v>338870.25</v>
      </c>
      <c r="BS299" s="67">
        <v>362000</v>
      </c>
      <c r="BT299" s="428">
        <v>0.53660214514162485</v>
      </c>
      <c r="BU299" s="428">
        <v>0.33464287704132489</v>
      </c>
      <c r="BV299" s="67">
        <f t="shared" si="163"/>
        <v>8786773.0778327398</v>
      </c>
      <c r="BW299" s="299"/>
      <c r="BX299" s="67">
        <v>23502368</v>
      </c>
      <c r="BY299" s="67">
        <v>8965165.6015256457</v>
      </c>
      <c r="BZ299" s="67">
        <v>11241628.189193254</v>
      </c>
      <c r="CA299" s="67">
        <v>5857830.1636991231</v>
      </c>
      <c r="CB299" s="67">
        <f t="shared" si="164"/>
        <v>-112090.2812862518</v>
      </c>
      <c r="CC299" s="67">
        <f t="shared" si="165"/>
        <v>325.86190708598286</v>
      </c>
      <c r="CD299" s="67">
        <f t="shared" si="166"/>
        <v>374.0777237706979</v>
      </c>
      <c r="CE299" s="67">
        <f t="shared" si="167"/>
        <v>48.215816684715037</v>
      </c>
      <c r="CF299" s="67">
        <f t="shared" si="168"/>
        <v>-33.215816684715037</v>
      </c>
      <c r="CG299" s="67">
        <f t="shared" si="169"/>
        <v>-18.215816684715037</v>
      </c>
      <c r="CH299" s="67">
        <f t="shared" si="170"/>
        <v>-3.2158166847150369</v>
      </c>
      <c r="CI299" s="67">
        <f t="shared" si="171"/>
        <v>0</v>
      </c>
      <c r="CJ299" s="67">
        <f t="shared" si="172"/>
        <v>-97853.795953170498</v>
      </c>
      <c r="CK299" s="67">
        <f t="shared" si="173"/>
        <v>-53663.795953170498</v>
      </c>
      <c r="CL299" s="67">
        <f t="shared" si="174"/>
        <v>-9473.7959531704983</v>
      </c>
      <c r="CM299" s="67">
        <f t="shared" si="175"/>
        <v>0</v>
      </c>
      <c r="CN299" s="299"/>
      <c r="CO299" s="430">
        <v>9328.8876004036156</v>
      </c>
      <c r="CP299" s="430">
        <v>919.12486284437171</v>
      </c>
      <c r="CQ299" s="430">
        <v>793.51700000000005</v>
      </c>
      <c r="CR299" s="430">
        <v>9736932.2717573345</v>
      </c>
      <c r="CS299" s="430">
        <v>2629059.662792156</v>
      </c>
      <c r="CT299" s="430">
        <v>2331482.7032699832</v>
      </c>
      <c r="CU299" s="430">
        <v>699066.93696101569</v>
      </c>
      <c r="CV299" s="430">
        <v>196459</v>
      </c>
      <c r="CW299" s="430">
        <v>23618.168998880465</v>
      </c>
      <c r="CX299" s="430">
        <v>327028.46999999997</v>
      </c>
      <c r="CY299" s="430">
        <v>8389158.7598611731</v>
      </c>
      <c r="CZ299" s="519"/>
      <c r="DA299" s="524">
        <v>9423.7281600000006</v>
      </c>
      <c r="DB299" s="524">
        <v>911.93737711163146</v>
      </c>
      <c r="DC299" s="520">
        <f t="shared" si="176"/>
        <v>-1</v>
      </c>
      <c r="DD299" s="440">
        <v>3004</v>
      </c>
      <c r="DE299" s="450">
        <v>8965165.6015256457</v>
      </c>
      <c r="DF299" s="440">
        <v>4498400.5695991237</v>
      </c>
      <c r="DG299" s="440">
        <v>809217.83949999989</v>
      </c>
      <c r="DH299" s="440">
        <v>550211.75459999999</v>
      </c>
      <c r="DI299" s="440">
        <v>2624229.8943772856</v>
      </c>
      <c r="DJ299" s="440">
        <v>701347.35795923951</v>
      </c>
      <c r="DK299" s="440">
        <v>-112246.7554178655</v>
      </c>
      <c r="DL299" s="440">
        <v>51531</v>
      </c>
      <c r="DM299" s="440">
        <v>153569</v>
      </c>
      <c r="DN299" s="440">
        <v>23864.936840562681</v>
      </c>
      <c r="DO299" s="457">
        <f t="shared" si="177"/>
        <v>334959.99593270011</v>
      </c>
      <c r="DP299" s="459">
        <f t="shared" si="178"/>
        <v>111.50465909876834</v>
      </c>
      <c r="DQ299" s="440"/>
      <c r="DR299" s="450">
        <v>23502368</v>
      </c>
      <c r="DS299" s="440">
        <v>9607092.7177932542</v>
      </c>
      <c r="DT299" s="440">
        <v>825317.63190000004</v>
      </c>
      <c r="DU299" s="440">
        <v>9732113.1617573351</v>
      </c>
      <c r="DV299" s="440">
        <v>2339088.2154640555</v>
      </c>
      <c r="DW299" s="440">
        <v>1014317.8394999999</v>
      </c>
      <c r="DX299" s="457">
        <f t="shared" si="179"/>
        <v>15561.566414643079</v>
      </c>
      <c r="DY299" s="459">
        <f t="shared" si="180"/>
        <v>5.1802817625309849</v>
      </c>
      <c r="DZ299" s="440"/>
      <c r="EA299" s="457">
        <f t="shared" si="181"/>
        <v>319398.42951805703</v>
      </c>
      <c r="EB299" s="459">
        <f t="shared" si="182"/>
        <v>106.32437733623736</v>
      </c>
      <c r="ED299" s="457">
        <v>-306884.62210322113</v>
      </c>
      <c r="EE299" s="458">
        <v>-265717.06982133095</v>
      </c>
      <c r="EF299" s="458">
        <v>-223927.42437483248</v>
      </c>
      <c r="EG299" s="458">
        <v>-182442.90230681704</v>
      </c>
      <c r="EH299" s="459">
        <v>-140315.40457380324</v>
      </c>
    </row>
    <row r="300" spans="1:138" x14ac:dyDescent="0.2">
      <c r="A300" s="67">
        <v>925</v>
      </c>
      <c r="B300" s="67" t="s">
        <v>416</v>
      </c>
      <c r="C300" s="67">
        <v>11</v>
      </c>
      <c r="D300" s="67">
        <v>3427</v>
      </c>
      <c r="E300" s="82">
        <v>10347893.094253937</v>
      </c>
      <c r="F300" s="67">
        <v>4279934.0144559816</v>
      </c>
      <c r="G300" s="67">
        <v>1113453</v>
      </c>
      <c r="H300" s="67">
        <v>2686380.6302780709</v>
      </c>
      <c r="I300" s="67">
        <v>1331027.0854831098</v>
      </c>
      <c r="J300" s="67">
        <v>775878.15613195556</v>
      </c>
      <c r="K300" s="67">
        <v>1158784.1948983213</v>
      </c>
      <c r="L300" s="67">
        <v>57085</v>
      </c>
      <c r="M300" s="68">
        <v>444257.22</v>
      </c>
      <c r="N300" s="68">
        <v>32290.736859622826</v>
      </c>
      <c r="O300" s="68">
        <v>-99737.236703538758</v>
      </c>
      <c r="P300" s="168">
        <f t="shared" si="148"/>
        <v>1431459.7071495862</v>
      </c>
      <c r="Q300" s="169">
        <f t="shared" si="149"/>
        <v>417.70052732698753</v>
      </c>
      <c r="R300" s="67"/>
      <c r="S300" s="82">
        <v>24888441.940000005</v>
      </c>
      <c r="T300" s="67">
        <v>10193396.845700869</v>
      </c>
      <c r="U300" s="67">
        <v>4037501.8731781431</v>
      </c>
      <c r="V300" s="67">
        <v>8756228.8940404616</v>
      </c>
      <c r="W300" s="67">
        <v>2587658.4990995508</v>
      </c>
      <c r="X300" s="67">
        <v>1614795.22</v>
      </c>
      <c r="Y300" s="168">
        <f t="shared" si="150"/>
        <v>2301139.3920190185</v>
      </c>
      <c r="Z300" s="169">
        <f t="shared" si="151"/>
        <v>671.47341465393015</v>
      </c>
      <c r="AA300" s="67"/>
      <c r="AB300" s="77">
        <f t="shared" si="152"/>
        <v>-869679.68486943236</v>
      </c>
      <c r="AC300" s="123">
        <f t="shared" si="153"/>
        <v>-253.77288732694262</v>
      </c>
      <c r="AE300" s="170"/>
      <c r="AF300" s="177">
        <v>822209.3161111126</v>
      </c>
      <c r="AG300" s="177">
        <v>761874.49108224805</v>
      </c>
      <c r="AH300" s="177">
        <v>705250.1765554481</v>
      </c>
      <c r="AI300" s="178">
        <v>647925.14996786672</v>
      </c>
      <c r="AK300" s="67">
        <f t="shared" si="154"/>
        <v>5913462.8312448878</v>
      </c>
      <c r="AL300" s="67">
        <f t="shared" si="155"/>
        <v>1351121.2429000721</v>
      </c>
      <c r="AM300" s="67">
        <f t="shared" si="156"/>
        <v>7425201.8085573521</v>
      </c>
      <c r="AN300" s="67">
        <f t="shared" si="157"/>
        <v>14540548.845746068</v>
      </c>
      <c r="AO300" s="67">
        <f t="shared" si="158"/>
        <v>0</v>
      </c>
      <c r="AP300" s="67">
        <f t="shared" si="159"/>
        <v>822209.3161111126</v>
      </c>
      <c r="AQ300" s="67">
        <f t="shared" si="160"/>
        <v>761874.49108224805</v>
      </c>
      <c r="AR300" s="67">
        <f t="shared" si="161"/>
        <v>705250.1765554481</v>
      </c>
      <c r="AS300" s="67">
        <f t="shared" si="162"/>
        <v>647925.14996786672</v>
      </c>
      <c r="AT300" s="68">
        <v>1061</v>
      </c>
      <c r="AU300" s="68"/>
      <c r="AV300" s="68"/>
      <c r="AW300" s="68">
        <v>0</v>
      </c>
      <c r="AX300" s="68">
        <v>6682.2678937852497</v>
      </c>
      <c r="AY300" s="68">
        <v>-645.77702650155436</v>
      </c>
      <c r="AZ300" s="68">
        <v>1819.0899908363929</v>
      </c>
      <c r="BA300" s="299"/>
      <c r="BB300" s="67"/>
      <c r="BC300" s="67"/>
      <c r="BD300" s="67"/>
      <c r="BE300" s="67"/>
      <c r="BF300" s="67"/>
      <c r="BG300" s="67"/>
      <c r="BH300" s="67"/>
      <c r="BN300" s="299"/>
      <c r="BO300" s="67">
        <v>12010806.808826569</v>
      </c>
      <c r="BP300" s="67">
        <v>12943641.399999997</v>
      </c>
      <c r="BQ300" s="67">
        <v>14312000</v>
      </c>
      <c r="BR300" s="67">
        <v>486559.83</v>
      </c>
      <c r="BS300" s="67">
        <v>383000</v>
      </c>
      <c r="BT300" s="428">
        <v>0.58012681353997597</v>
      </c>
      <c r="BU300" s="428">
        <v>0.33464287704132484</v>
      </c>
      <c r="BV300" s="67">
        <f t="shared" si="163"/>
        <v>10395766.346423268</v>
      </c>
      <c r="BW300" s="299"/>
      <c r="BX300" s="67">
        <v>26222735.739999998</v>
      </c>
      <c r="BY300" s="67">
        <v>12010806.808826569</v>
      </c>
      <c r="BZ300" s="67">
        <v>14929048.397067949</v>
      </c>
      <c r="CA300" s="67">
        <v>7866361.8867359534</v>
      </c>
      <c r="CB300" s="67">
        <f t="shared" si="164"/>
        <v>1178468.9683475851</v>
      </c>
      <c r="CC300" s="67">
        <f t="shared" si="165"/>
        <v>671.47341465393038</v>
      </c>
      <c r="CD300" s="67">
        <f t="shared" si="166"/>
        <v>452.54791867592326</v>
      </c>
      <c r="CE300" s="67">
        <f t="shared" si="167"/>
        <v>-218.92549597800712</v>
      </c>
      <c r="CF300" s="67">
        <f t="shared" si="168"/>
        <v>203.92549597800712</v>
      </c>
      <c r="CG300" s="67">
        <f t="shared" si="169"/>
        <v>188.92549597800712</v>
      </c>
      <c r="CH300" s="67">
        <f t="shared" si="170"/>
        <v>173.92549597800712</v>
      </c>
      <c r="CI300" s="67">
        <f t="shared" si="171"/>
        <v>158.92549597800712</v>
      </c>
      <c r="CJ300" s="67">
        <f t="shared" si="172"/>
        <v>698852.67471663037</v>
      </c>
      <c r="CK300" s="67">
        <f t="shared" si="173"/>
        <v>647447.67471663037</v>
      </c>
      <c r="CL300" s="67">
        <f t="shared" si="174"/>
        <v>596042.67471663037</v>
      </c>
      <c r="CM300" s="67">
        <f t="shared" si="175"/>
        <v>544637.67471663037</v>
      </c>
      <c r="CN300" s="299"/>
      <c r="CO300" s="430">
        <v>10193.396845700869</v>
      </c>
      <c r="CP300" s="430">
        <v>4037.5018731781429</v>
      </c>
      <c r="CQ300" s="430">
        <v>1113.453</v>
      </c>
      <c r="CR300" s="430">
        <v>8756228.8940404616</v>
      </c>
      <c r="CS300" s="430">
        <v>1331027.0854831098</v>
      </c>
      <c r="CT300" s="430">
        <v>2587658.4990995508</v>
      </c>
      <c r="CU300" s="430">
        <v>775878.15613195556</v>
      </c>
      <c r="CV300" s="430">
        <v>57085</v>
      </c>
      <c r="CW300" s="430">
        <v>32290.736859622826</v>
      </c>
      <c r="CX300" s="430">
        <v>444257.22</v>
      </c>
      <c r="CY300" s="430">
        <v>10347893.094253937</v>
      </c>
      <c r="CZ300" s="519"/>
      <c r="DA300" s="524">
        <v>10550.081759999999</v>
      </c>
      <c r="DB300" s="524">
        <v>4005.9212688535458</v>
      </c>
      <c r="DC300" s="520">
        <f t="shared" si="176"/>
        <v>-1</v>
      </c>
      <c r="DD300" s="440">
        <v>3490</v>
      </c>
      <c r="DE300" s="450">
        <v>12010806.808826569</v>
      </c>
      <c r="DF300" s="440">
        <v>4341593.9641359542</v>
      </c>
      <c r="DG300" s="440">
        <v>1107815.5806</v>
      </c>
      <c r="DH300" s="440">
        <v>2416952.3419999997</v>
      </c>
      <c r="DI300" s="440">
        <v>1325486.1878372126</v>
      </c>
      <c r="DJ300" s="440">
        <v>779008.44514984568</v>
      </c>
      <c r="DK300" s="440">
        <v>1179051.7818548291</v>
      </c>
      <c r="DL300" s="440">
        <v>61098</v>
      </c>
      <c r="DM300" s="440">
        <v>260000</v>
      </c>
      <c r="DN300" s="440">
        <v>31307.000503291987</v>
      </c>
      <c r="DO300" s="457">
        <f t="shared" si="177"/>
        <v>-508493.5067454353</v>
      </c>
      <c r="DP300" s="459">
        <f t="shared" si="178"/>
        <v>-145.70014519926514</v>
      </c>
      <c r="DQ300" s="440"/>
      <c r="DR300" s="450">
        <v>26222735.739999998</v>
      </c>
      <c r="DS300" s="440">
        <v>10195804.30346795</v>
      </c>
      <c r="DT300" s="440">
        <v>3625428.5129999998</v>
      </c>
      <c r="DU300" s="440">
        <v>8750702.5840404592</v>
      </c>
      <c r="DV300" s="440">
        <v>2598098.4359862385</v>
      </c>
      <c r="DW300" s="440">
        <v>1428913.5806</v>
      </c>
      <c r="DX300" s="457">
        <f t="shared" si="179"/>
        <v>376211.67709464952</v>
      </c>
      <c r="DY300" s="459">
        <f t="shared" si="180"/>
        <v>107.79704214746404</v>
      </c>
      <c r="DZ300" s="440"/>
      <c r="EA300" s="457">
        <f t="shared" si="181"/>
        <v>-884705.18384008482</v>
      </c>
      <c r="EB300" s="459">
        <f t="shared" si="182"/>
        <v>-253.49718734672916</v>
      </c>
      <c r="ED300" s="457">
        <v>899243.5286729018</v>
      </c>
      <c r="EE300" s="458">
        <v>842371.34407363308</v>
      </c>
      <c r="EF300" s="458">
        <v>786221.89753843984</v>
      </c>
      <c r="EG300" s="458">
        <v>729717.9634563406</v>
      </c>
      <c r="EH300" s="459">
        <v>673961.02839915629</v>
      </c>
    </row>
    <row r="301" spans="1:138" x14ac:dyDescent="0.2">
      <c r="A301" s="67">
        <v>927</v>
      </c>
      <c r="B301" s="67" t="s">
        <v>417</v>
      </c>
      <c r="C301" s="67">
        <v>33</v>
      </c>
      <c r="D301" s="67">
        <v>28913</v>
      </c>
      <c r="E301" s="82">
        <v>73797928.750250071</v>
      </c>
      <c r="F301" s="67">
        <v>50115669.626080699</v>
      </c>
      <c r="G301" s="67">
        <v>7467749</v>
      </c>
      <c r="H301" s="67">
        <v>3619242.5554987933</v>
      </c>
      <c r="I301" s="67">
        <v>16169370.467643324</v>
      </c>
      <c r="J301" s="67">
        <v>4126509.6138846353</v>
      </c>
      <c r="K301" s="67">
        <v>886438.78491498926</v>
      </c>
      <c r="L301" s="67">
        <v>-3251789</v>
      </c>
      <c r="M301" s="68">
        <v>-77039.95</v>
      </c>
      <c r="N301" s="68">
        <v>357890.14178606524</v>
      </c>
      <c r="O301" s="68">
        <v>-841465.63315127406</v>
      </c>
      <c r="P301" s="168">
        <f t="shared" si="148"/>
        <v>4774646.8564071544</v>
      </c>
      <c r="Q301" s="169">
        <f t="shared" si="149"/>
        <v>165.13841027936064</v>
      </c>
      <c r="R301" s="67"/>
      <c r="S301" s="82">
        <v>171721236.66</v>
      </c>
      <c r="T301" s="67">
        <v>128811427.00847614</v>
      </c>
      <c r="U301" s="67">
        <v>5439548.82365268</v>
      </c>
      <c r="V301" s="67">
        <v>25692545.338957321</v>
      </c>
      <c r="W301" s="67">
        <v>13762467.198739575</v>
      </c>
      <c r="X301" s="67">
        <v>4138920.05</v>
      </c>
      <c r="Y301" s="168">
        <f t="shared" si="150"/>
        <v>6123671.7598257065</v>
      </c>
      <c r="Z301" s="169">
        <f t="shared" si="151"/>
        <v>211.79648462026447</v>
      </c>
      <c r="AA301" s="67"/>
      <c r="AB301" s="77">
        <f t="shared" si="152"/>
        <v>-1349024.9034185521</v>
      </c>
      <c r="AC301" s="123">
        <f t="shared" si="153"/>
        <v>-46.658074340903816</v>
      </c>
      <c r="AE301" s="170"/>
      <c r="AF301" s="177">
        <v>948525.69947656128</v>
      </c>
      <c r="AG301" s="177">
        <v>439491.32653825922</v>
      </c>
      <c r="AH301" s="177">
        <v>-38238.117848483482</v>
      </c>
      <c r="AI301" s="178">
        <v>-136124.25083425327</v>
      </c>
      <c r="AK301" s="67">
        <f t="shared" si="154"/>
        <v>78695757.382395446</v>
      </c>
      <c r="AL301" s="67">
        <f t="shared" si="155"/>
        <v>1820306.2681538868</v>
      </c>
      <c r="AM301" s="67">
        <f t="shared" si="156"/>
        <v>9523174.8713139966</v>
      </c>
      <c r="AN301" s="67">
        <f t="shared" si="157"/>
        <v>97923307.909749925</v>
      </c>
      <c r="AO301" s="67">
        <f t="shared" si="158"/>
        <v>0</v>
      </c>
      <c r="AP301" s="67">
        <f t="shared" si="159"/>
        <v>948525.69947656128</v>
      </c>
      <c r="AQ301" s="67">
        <f t="shared" si="160"/>
        <v>439491.32653825922</v>
      </c>
      <c r="AR301" s="67">
        <f t="shared" si="161"/>
        <v>-38238.117848483482</v>
      </c>
      <c r="AS301" s="67">
        <f t="shared" si="162"/>
        <v>-136124.25083425327</v>
      </c>
      <c r="AT301" s="68">
        <v>11809</v>
      </c>
      <c r="AU301" s="68"/>
      <c r="AV301" s="68"/>
      <c r="AW301" s="68">
        <v>8</v>
      </c>
      <c r="AX301" s="68">
        <v>13109.661695141991</v>
      </c>
      <c r="AY301" s="68">
        <v>4344.5525373031896</v>
      </c>
      <c r="AZ301" s="68">
        <v>9505.857775642613</v>
      </c>
      <c r="BA301" s="299"/>
      <c r="BB301" s="67"/>
      <c r="BC301" s="67"/>
      <c r="BD301" s="67"/>
      <c r="BE301" s="67"/>
      <c r="BF301" s="67"/>
      <c r="BG301" s="67"/>
      <c r="BH301" s="67"/>
      <c r="BN301" s="299"/>
      <c r="BO301" s="67">
        <v>76839733.500607997</v>
      </c>
      <c r="BP301" s="67">
        <v>90062436</v>
      </c>
      <c r="BQ301" s="67">
        <v>95196000</v>
      </c>
      <c r="BR301" s="67">
        <v>2041235.61</v>
      </c>
      <c r="BS301" s="67">
        <v>2114000</v>
      </c>
      <c r="BT301" s="428">
        <v>0.6109377033546648</v>
      </c>
      <c r="BU301" s="428">
        <v>0.33464287704132478</v>
      </c>
      <c r="BV301" s="67">
        <f t="shared" si="163"/>
        <v>20045571.241083927</v>
      </c>
      <c r="BW301" s="299"/>
      <c r="BX301" s="67">
        <v>173221659.74000001</v>
      </c>
      <c r="BY301" s="67">
        <v>76839733.500607997</v>
      </c>
      <c r="BZ301" s="67">
        <v>139174323.90879273</v>
      </c>
      <c r="CA301" s="67">
        <v>60712222.112172954</v>
      </c>
      <c r="CB301" s="67">
        <f t="shared" si="164"/>
        <v>-11574.944945196556</v>
      </c>
      <c r="CC301" s="67">
        <f t="shared" si="165"/>
        <v>211.79648462026475</v>
      </c>
      <c r="CD301" s="67">
        <f t="shared" si="166"/>
        <v>163.18260850476426</v>
      </c>
      <c r="CE301" s="67">
        <f t="shared" si="167"/>
        <v>-48.613876115500489</v>
      </c>
      <c r="CF301" s="67">
        <f t="shared" si="168"/>
        <v>33.613876115500489</v>
      </c>
      <c r="CG301" s="67">
        <f t="shared" si="169"/>
        <v>18.613876115500489</v>
      </c>
      <c r="CH301" s="67">
        <f t="shared" si="170"/>
        <v>3.6138761155004886</v>
      </c>
      <c r="CI301" s="67">
        <f t="shared" si="171"/>
        <v>0</v>
      </c>
      <c r="CJ301" s="67">
        <f t="shared" si="172"/>
        <v>971878.00012746558</v>
      </c>
      <c r="CK301" s="67">
        <f t="shared" si="173"/>
        <v>538183.00012746558</v>
      </c>
      <c r="CL301" s="67">
        <f t="shared" si="174"/>
        <v>104488.00012746562</v>
      </c>
      <c r="CM301" s="67">
        <f t="shared" si="175"/>
        <v>0</v>
      </c>
      <c r="CN301" s="299"/>
      <c r="CO301" s="430">
        <v>128811.42700847614</v>
      </c>
      <c r="CP301" s="430">
        <v>5439.5488236526799</v>
      </c>
      <c r="CQ301" s="430">
        <v>7467.7489999999998</v>
      </c>
      <c r="CR301" s="430">
        <v>25692545.338957321</v>
      </c>
      <c r="CS301" s="430">
        <v>16169370.467643324</v>
      </c>
      <c r="CT301" s="430">
        <v>13762467.198739575</v>
      </c>
      <c r="CU301" s="430">
        <v>4126509.6138846353</v>
      </c>
      <c r="CV301" s="430">
        <v>-3251789</v>
      </c>
      <c r="CW301" s="430">
        <v>357890.14178606524</v>
      </c>
      <c r="CX301" s="430">
        <v>-77039.95</v>
      </c>
      <c r="CY301" s="430">
        <v>73797928.750250071</v>
      </c>
      <c r="CZ301" s="519"/>
      <c r="DA301" s="524">
        <v>129012.44204000001</v>
      </c>
      <c r="DB301" s="524">
        <v>5397.0129771978281</v>
      </c>
      <c r="DC301" s="520">
        <f t="shared" si="176"/>
        <v>-1</v>
      </c>
      <c r="DD301" s="440">
        <v>29239</v>
      </c>
      <c r="DE301" s="450">
        <v>76839733.500607997</v>
      </c>
      <c r="DF301" s="440">
        <v>49980519.350972958</v>
      </c>
      <c r="DG301" s="440">
        <v>7475449.0969999991</v>
      </c>
      <c r="DH301" s="440">
        <v>3256253.6641999995</v>
      </c>
      <c r="DI301" s="440">
        <v>16123361.298877839</v>
      </c>
      <c r="DJ301" s="440">
        <v>4070795.5752173308</v>
      </c>
      <c r="DK301" s="440">
        <v>-5557.1046756499763</v>
      </c>
      <c r="DL301" s="440">
        <v>-3174515</v>
      </c>
      <c r="DM301" s="440">
        <v>-282174</v>
      </c>
      <c r="DN301" s="440">
        <v>347801.51389172359</v>
      </c>
      <c r="DO301" s="457">
        <f t="shared" si="177"/>
        <v>952200.89487621188</v>
      </c>
      <c r="DP301" s="459">
        <f t="shared" si="178"/>
        <v>32.566123837210981</v>
      </c>
      <c r="DQ301" s="440"/>
      <c r="DR301" s="450">
        <v>173221659.74000001</v>
      </c>
      <c r="DS301" s="440">
        <v>126814494.31549273</v>
      </c>
      <c r="DT301" s="440">
        <v>4884380.4962999998</v>
      </c>
      <c r="DU301" s="440">
        <v>25646613.24895731</v>
      </c>
      <c r="DV301" s="440">
        <v>13576653.350859944</v>
      </c>
      <c r="DW301" s="440">
        <v>4018760.0969999991</v>
      </c>
      <c r="DX301" s="457">
        <f t="shared" si="179"/>
        <v>1719241.7686099708</v>
      </c>
      <c r="DY301" s="459">
        <f t="shared" si="180"/>
        <v>58.799609036217753</v>
      </c>
      <c r="DZ301" s="440"/>
      <c r="EA301" s="457">
        <f t="shared" si="181"/>
        <v>-767040.87373375893</v>
      </c>
      <c r="EB301" s="459">
        <f t="shared" si="182"/>
        <v>-26.233485199006768</v>
      </c>
      <c r="ED301" s="457">
        <v>888842.21028580063</v>
      </c>
      <c r="EE301" s="458">
        <v>412370.63277920504</v>
      </c>
      <c r="EF301" s="458">
        <v>52083.235480256008</v>
      </c>
      <c r="EG301" s="458">
        <v>17281.837593006774</v>
      </c>
      <c r="EH301" s="459">
        <v>-11261.249552269233</v>
      </c>
    </row>
    <row r="302" spans="1:138" x14ac:dyDescent="0.2">
      <c r="A302" s="67">
        <v>931</v>
      </c>
      <c r="B302" s="67" t="s">
        <v>418</v>
      </c>
      <c r="C302" s="67">
        <v>13</v>
      </c>
      <c r="D302" s="67">
        <v>5951</v>
      </c>
      <c r="E302" s="82">
        <v>20405448.628111437</v>
      </c>
      <c r="F302" s="67">
        <v>7198044.3204709021</v>
      </c>
      <c r="G302" s="67">
        <v>1888507</v>
      </c>
      <c r="H302" s="67">
        <v>2033587.0660122812</v>
      </c>
      <c r="I302" s="67">
        <v>2648488.6662933729</v>
      </c>
      <c r="J302" s="67">
        <v>1305106.2896109242</v>
      </c>
      <c r="K302" s="67">
        <v>2510690.0279714623</v>
      </c>
      <c r="L302" s="67">
        <v>25848</v>
      </c>
      <c r="M302" s="68">
        <v>278031.93</v>
      </c>
      <c r="N302" s="68">
        <v>48806.875731492808</v>
      </c>
      <c r="O302" s="68">
        <v>-173194.13353450809</v>
      </c>
      <c r="P302" s="168">
        <f t="shared" si="148"/>
        <v>-2641532.5855555073</v>
      </c>
      <c r="Q302" s="169">
        <f t="shared" si="149"/>
        <v>-443.88045463880144</v>
      </c>
      <c r="R302" s="67"/>
      <c r="S302" s="82">
        <v>51039926.199999996</v>
      </c>
      <c r="T302" s="67">
        <v>17155536.994885117</v>
      </c>
      <c r="U302" s="67">
        <v>3056384.302266778</v>
      </c>
      <c r="V302" s="67">
        <v>23379226.368685968</v>
      </c>
      <c r="W302" s="67">
        <v>4352705.8415672462</v>
      </c>
      <c r="X302" s="67">
        <v>2192386.9300000002</v>
      </c>
      <c r="Y302" s="168">
        <f t="shared" si="150"/>
        <v>-903685.76259488612</v>
      </c>
      <c r="Z302" s="169">
        <f t="shared" si="151"/>
        <v>-151.85443834563705</v>
      </c>
      <c r="AA302" s="67"/>
      <c r="AB302" s="77">
        <f t="shared" si="152"/>
        <v>-1737846.8229606212</v>
      </c>
      <c r="AC302" s="123">
        <f t="shared" si="153"/>
        <v>-292.02601629316439</v>
      </c>
      <c r="AE302" s="170"/>
      <c r="AF302" s="177">
        <v>1655414.3267596408</v>
      </c>
      <c r="AG302" s="177">
        <v>1550642.6478139819</v>
      </c>
      <c r="AH302" s="177">
        <v>1452314.2860547213</v>
      </c>
      <c r="AI302" s="178">
        <v>1352769.1348371266</v>
      </c>
      <c r="AK302" s="67">
        <f t="shared" si="154"/>
        <v>9957492.6744142137</v>
      </c>
      <c r="AL302" s="67">
        <f t="shared" si="155"/>
        <v>1022797.2362544967</v>
      </c>
      <c r="AM302" s="67">
        <f t="shared" si="156"/>
        <v>20730737.702392597</v>
      </c>
      <c r="AN302" s="67">
        <f t="shared" si="157"/>
        <v>30634477.571888559</v>
      </c>
      <c r="AO302" s="67">
        <f t="shared" si="158"/>
        <v>0</v>
      </c>
      <c r="AP302" s="67">
        <f t="shared" si="159"/>
        <v>1655414.3267596408</v>
      </c>
      <c r="AQ302" s="67">
        <f t="shared" si="160"/>
        <v>1550642.6478139819</v>
      </c>
      <c r="AR302" s="67">
        <f t="shared" si="161"/>
        <v>1452314.2860547213</v>
      </c>
      <c r="AS302" s="67">
        <f t="shared" si="162"/>
        <v>1352769.1348371266</v>
      </c>
      <c r="AT302" s="68">
        <v>2644</v>
      </c>
      <c r="AU302" s="68"/>
      <c r="AV302" s="68"/>
      <c r="AW302" s="68">
        <v>69</v>
      </c>
      <c r="AX302" s="68">
        <v>17930.252930994036</v>
      </c>
      <c r="AY302" s="68">
        <v>-2736.431300418923</v>
      </c>
      <c r="AZ302" s="68">
        <v>3051.3283125147809</v>
      </c>
      <c r="BA302" s="299"/>
      <c r="BB302" s="67"/>
      <c r="BC302" s="67"/>
      <c r="BD302" s="67"/>
      <c r="BE302" s="67"/>
      <c r="BF302" s="67"/>
      <c r="BG302" s="67"/>
      <c r="BH302" s="67"/>
      <c r="BN302" s="299"/>
      <c r="BO302" s="67">
        <v>20719738.749699775</v>
      </c>
      <c r="BP302" s="67">
        <v>25224205.469999995</v>
      </c>
      <c r="BQ302" s="67">
        <v>32906000</v>
      </c>
      <c r="BR302" s="67">
        <v>604719.84</v>
      </c>
      <c r="BS302" s="67">
        <v>522000</v>
      </c>
      <c r="BT302" s="428">
        <v>0.5804244237521109</v>
      </c>
      <c r="BU302" s="428">
        <v>0.33464287704132484</v>
      </c>
      <c r="BV302" s="67">
        <f t="shared" si="163"/>
        <v>26289027.28232038</v>
      </c>
      <c r="BW302" s="299"/>
      <c r="BX302" s="67">
        <v>49664956</v>
      </c>
      <c r="BY302" s="67">
        <v>20719738.749699775</v>
      </c>
      <c r="BZ302" s="67">
        <v>22298436.518538676</v>
      </c>
      <c r="CA302" s="67">
        <v>11210270.678145524</v>
      </c>
      <c r="CB302" s="67">
        <f t="shared" si="164"/>
        <v>3485743.4478440578</v>
      </c>
      <c r="CC302" s="67">
        <f t="shared" si="165"/>
        <v>-151.85443834563731</v>
      </c>
      <c r="CD302" s="67">
        <f t="shared" si="166"/>
        <v>-250.93010118440662</v>
      </c>
      <c r="CE302" s="67">
        <f t="shared" si="167"/>
        <v>-99.075662838769318</v>
      </c>
      <c r="CF302" s="67">
        <f t="shared" si="168"/>
        <v>84.075662838769318</v>
      </c>
      <c r="CG302" s="67">
        <f t="shared" si="169"/>
        <v>69.075662838769318</v>
      </c>
      <c r="CH302" s="67">
        <f t="shared" si="170"/>
        <v>54.075662838769318</v>
      </c>
      <c r="CI302" s="67">
        <f t="shared" si="171"/>
        <v>39.075662838769318</v>
      </c>
      <c r="CJ302" s="67">
        <f t="shared" si="172"/>
        <v>500334.26955351623</v>
      </c>
      <c r="CK302" s="67">
        <f t="shared" si="173"/>
        <v>411069.26955351623</v>
      </c>
      <c r="CL302" s="67">
        <f t="shared" si="174"/>
        <v>321804.26955351623</v>
      </c>
      <c r="CM302" s="67">
        <f t="shared" si="175"/>
        <v>232539.26955351621</v>
      </c>
      <c r="CN302" s="299"/>
      <c r="CO302" s="430">
        <v>17155.536994885118</v>
      </c>
      <c r="CP302" s="430">
        <v>3056.3843022667779</v>
      </c>
      <c r="CQ302" s="430">
        <v>1888.5070000000001</v>
      </c>
      <c r="CR302" s="430">
        <v>23379226.368685968</v>
      </c>
      <c r="CS302" s="430">
        <v>2648488.6662933729</v>
      </c>
      <c r="CT302" s="430">
        <v>4352705.8415672462</v>
      </c>
      <c r="CU302" s="430">
        <v>1305106.2896109242</v>
      </c>
      <c r="CV302" s="430">
        <v>25848</v>
      </c>
      <c r="CW302" s="430">
        <v>48806.875731492808</v>
      </c>
      <c r="CX302" s="430">
        <v>278031.93</v>
      </c>
      <c r="CY302" s="430">
        <v>20405448.628111437</v>
      </c>
      <c r="CZ302" s="519"/>
      <c r="DA302" s="524">
        <v>17569.283670000001</v>
      </c>
      <c r="DB302" s="524">
        <v>3032.4823035677341</v>
      </c>
      <c r="DC302" s="520">
        <f t="shared" si="176"/>
        <v>-1</v>
      </c>
      <c r="DD302" s="440">
        <v>6070</v>
      </c>
      <c r="DE302" s="450">
        <v>20719738.749699775</v>
      </c>
      <c r="DF302" s="440">
        <v>7476247.8216455225</v>
      </c>
      <c r="DG302" s="440">
        <v>1904392.6967000002</v>
      </c>
      <c r="DH302" s="440">
        <v>1829630.1597999998</v>
      </c>
      <c r="DI302" s="440">
        <v>2638935.6445645662</v>
      </c>
      <c r="DJ302" s="440">
        <v>1306703.096794527</v>
      </c>
      <c r="DK302" s="440">
        <v>3485528.4450906515</v>
      </c>
      <c r="DL302" s="440">
        <v>25026</v>
      </c>
      <c r="DM302" s="440">
        <v>59310</v>
      </c>
      <c r="DN302" s="440">
        <v>49150.873826545583</v>
      </c>
      <c r="DO302" s="457">
        <f t="shared" si="177"/>
        <v>-1944814.0112779625</v>
      </c>
      <c r="DP302" s="459">
        <f t="shared" si="178"/>
        <v>-320.39769543294273</v>
      </c>
      <c r="DQ302" s="440"/>
      <c r="DR302" s="450">
        <v>49664956</v>
      </c>
      <c r="DS302" s="440">
        <v>17649598.582138676</v>
      </c>
      <c r="DT302" s="440">
        <v>2744445.2396999998</v>
      </c>
      <c r="DU302" s="440">
        <v>23369710.188685969</v>
      </c>
      <c r="DV302" s="440">
        <v>4358031.409309308</v>
      </c>
      <c r="DW302" s="440">
        <v>1988728.6967000002</v>
      </c>
      <c r="DX302" s="457">
        <f t="shared" si="179"/>
        <v>445558.11653394997</v>
      </c>
      <c r="DY302" s="459">
        <f t="shared" si="180"/>
        <v>73.403314091260299</v>
      </c>
      <c r="DZ302" s="440"/>
      <c r="EA302" s="457">
        <f t="shared" si="181"/>
        <v>-2390372.1278119124</v>
      </c>
      <c r="EB302" s="459">
        <f t="shared" si="182"/>
        <v>-393.80100952420304</v>
      </c>
      <c r="ED302" s="457">
        <v>2415658.0169623927</v>
      </c>
      <c r="EE302" s="458">
        <v>2316742.7847224036</v>
      </c>
      <c r="EF302" s="458">
        <v>2219084.5782844033</v>
      </c>
      <c r="EG302" s="458">
        <v>2120809.8276029294</v>
      </c>
      <c r="EH302" s="459">
        <v>2023834.2987212364</v>
      </c>
    </row>
    <row r="303" spans="1:138" x14ac:dyDescent="0.2">
      <c r="A303" s="67">
        <v>934</v>
      </c>
      <c r="B303" s="67" t="s">
        <v>419</v>
      </c>
      <c r="C303" s="67">
        <v>14</v>
      </c>
      <c r="D303" s="67">
        <v>2671</v>
      </c>
      <c r="E303" s="82">
        <v>6658551.285212012</v>
      </c>
      <c r="F303" s="67">
        <v>4013505.961517957</v>
      </c>
      <c r="G303" s="67">
        <v>831510</v>
      </c>
      <c r="H303" s="67">
        <v>577155.85562693118</v>
      </c>
      <c r="I303" s="67">
        <v>1794706.1165877422</v>
      </c>
      <c r="J303" s="67">
        <v>547954.72105108434</v>
      </c>
      <c r="K303" s="67">
        <v>124228.86366705655</v>
      </c>
      <c r="L303" s="67">
        <v>-757153</v>
      </c>
      <c r="M303" s="68">
        <v>-9057.17</v>
      </c>
      <c r="N303" s="68">
        <v>23021.811407562003</v>
      </c>
      <c r="O303" s="68">
        <v>-77735.091693945738</v>
      </c>
      <c r="P303" s="168">
        <f t="shared" si="148"/>
        <v>409586.78295237519</v>
      </c>
      <c r="Q303" s="169">
        <f t="shared" si="149"/>
        <v>153.34585659018165</v>
      </c>
      <c r="R303" s="67"/>
      <c r="S303" s="82">
        <v>19423586.32</v>
      </c>
      <c r="T303" s="67">
        <v>8902538.70140668</v>
      </c>
      <c r="U303" s="67">
        <v>867437.70482303516</v>
      </c>
      <c r="V303" s="67">
        <v>8058272.4897256438</v>
      </c>
      <c r="W303" s="67">
        <v>1827503.0426406444</v>
      </c>
      <c r="X303" s="67">
        <v>65299.83</v>
      </c>
      <c r="Y303" s="168">
        <f t="shared" si="150"/>
        <v>297465.4485960044</v>
      </c>
      <c r="Z303" s="169">
        <f t="shared" si="151"/>
        <v>111.36856929839176</v>
      </c>
      <c r="AA303" s="67"/>
      <c r="AB303" s="77">
        <f t="shared" si="152"/>
        <v>112121.33435637079</v>
      </c>
      <c r="AC303" s="123">
        <f t="shared" si="153"/>
        <v>41.977287291789885</v>
      </c>
      <c r="AE303" s="170"/>
      <c r="AF303" s="177">
        <v>-68989.687129488811</v>
      </c>
      <c r="AG303" s="177">
        <v>-35884.582855224806</v>
      </c>
      <c r="AH303" s="177">
        <v>-7961.1764536485398</v>
      </c>
      <c r="AI303" s="178">
        <v>-12575.238611638035</v>
      </c>
      <c r="AK303" s="67">
        <f t="shared" si="154"/>
        <v>4889032.739888723</v>
      </c>
      <c r="AL303" s="67">
        <f t="shared" si="155"/>
        <v>290281.84919610398</v>
      </c>
      <c r="AM303" s="67">
        <f t="shared" si="156"/>
        <v>6263566.3731379015</v>
      </c>
      <c r="AN303" s="67">
        <f t="shared" si="157"/>
        <v>12765035.034787988</v>
      </c>
      <c r="AO303" s="67">
        <f t="shared" si="158"/>
        <v>0</v>
      </c>
      <c r="AP303" s="67">
        <f t="shared" si="159"/>
        <v>-68989.687129488811</v>
      </c>
      <c r="AQ303" s="67">
        <f t="shared" si="160"/>
        <v>-35884.582855224806</v>
      </c>
      <c r="AR303" s="67">
        <f t="shared" si="161"/>
        <v>-7961.1764536485398</v>
      </c>
      <c r="AS303" s="67">
        <f t="shared" si="162"/>
        <v>-12575.238611638035</v>
      </c>
      <c r="AT303" s="68">
        <v>1068</v>
      </c>
      <c r="AU303" s="68"/>
      <c r="AV303" s="68"/>
      <c r="AW303" s="68">
        <v>0</v>
      </c>
      <c r="AX303" s="68">
        <v>5419.0812394180803</v>
      </c>
      <c r="AY303" s="68">
        <v>-1039.4257105209024</v>
      </c>
      <c r="AZ303" s="68">
        <v>1285.6431591544795</v>
      </c>
      <c r="BA303" s="299"/>
      <c r="BB303" s="67"/>
      <c r="BC303" s="67"/>
      <c r="BD303" s="67"/>
      <c r="BE303" s="67"/>
      <c r="BF303" s="67"/>
      <c r="BG303" s="67"/>
      <c r="BH303" s="67"/>
      <c r="BN303" s="299"/>
      <c r="BO303" s="67">
        <v>6604661.008358743</v>
      </c>
      <c r="BP303" s="67">
        <v>12203690.49</v>
      </c>
      <c r="BQ303" s="67">
        <v>11910000</v>
      </c>
      <c r="BR303" s="67">
        <v>283701.05</v>
      </c>
      <c r="BS303" s="67">
        <v>294000</v>
      </c>
      <c r="BT303" s="428">
        <v>0.54917287123011471</v>
      </c>
      <c r="BU303" s="428">
        <v>0.33464287704132484</v>
      </c>
      <c r="BV303" s="67">
        <f t="shared" si="163"/>
        <v>7667343.5583945187</v>
      </c>
      <c r="BW303" s="299"/>
      <c r="BX303" s="67">
        <v>19201609</v>
      </c>
      <c r="BY303" s="67">
        <v>6604661.008358743</v>
      </c>
      <c r="BZ303" s="67">
        <v>11042513.1335066</v>
      </c>
      <c r="CA303" s="67">
        <v>5603908.2717882441</v>
      </c>
      <c r="CB303" s="67">
        <f t="shared" si="164"/>
        <v>336975.81160675647</v>
      </c>
      <c r="CC303" s="67">
        <f t="shared" si="165"/>
        <v>111.36856929839148</v>
      </c>
      <c r="CD303" s="67">
        <f t="shared" si="166"/>
        <v>262.09989613853281</v>
      </c>
      <c r="CE303" s="67">
        <f t="shared" si="167"/>
        <v>150.73132684014132</v>
      </c>
      <c r="CF303" s="67">
        <f t="shared" si="168"/>
        <v>-135.73132684014132</v>
      </c>
      <c r="CG303" s="67">
        <f t="shared" si="169"/>
        <v>-120.73132684014132</v>
      </c>
      <c r="CH303" s="67">
        <f t="shared" si="170"/>
        <v>-105.73132684014132</v>
      </c>
      <c r="CI303" s="67">
        <f t="shared" si="171"/>
        <v>-90.731326840141321</v>
      </c>
      <c r="CJ303" s="67">
        <f t="shared" si="172"/>
        <v>-362538.37399001746</v>
      </c>
      <c r="CK303" s="67">
        <f t="shared" si="173"/>
        <v>-322473.37399001746</v>
      </c>
      <c r="CL303" s="67">
        <f t="shared" si="174"/>
        <v>-282408.37399001746</v>
      </c>
      <c r="CM303" s="67">
        <f t="shared" si="175"/>
        <v>-242343.37399001746</v>
      </c>
      <c r="CN303" s="299"/>
      <c r="CO303" s="430">
        <v>8902.53870140668</v>
      </c>
      <c r="CP303" s="430">
        <v>867.43770482303512</v>
      </c>
      <c r="CQ303" s="430">
        <v>831.51</v>
      </c>
      <c r="CR303" s="430">
        <v>8058272.4897256438</v>
      </c>
      <c r="CS303" s="430">
        <v>1794706.1165877422</v>
      </c>
      <c r="CT303" s="430">
        <v>1827503.0426406444</v>
      </c>
      <c r="CU303" s="430">
        <v>547954.72105108434</v>
      </c>
      <c r="CV303" s="430">
        <v>-757153</v>
      </c>
      <c r="CW303" s="430">
        <v>23021.811407562003</v>
      </c>
      <c r="CX303" s="430">
        <v>-9057.17</v>
      </c>
      <c r="CY303" s="430">
        <v>6658551.285212012</v>
      </c>
      <c r="CZ303" s="519"/>
      <c r="DA303" s="524">
        <v>9288.296980000001</v>
      </c>
      <c r="DB303" s="524">
        <v>860.65472851513948</v>
      </c>
      <c r="DC303" s="520">
        <f t="shared" si="176"/>
        <v>-1</v>
      </c>
      <c r="DD303" s="440">
        <v>2756</v>
      </c>
      <c r="DE303" s="450">
        <v>6604661.008358743</v>
      </c>
      <c r="DF303" s="440">
        <v>4259298.8782882439</v>
      </c>
      <c r="DG303" s="440">
        <v>825338.89950000006</v>
      </c>
      <c r="DH303" s="440">
        <v>519270.49400000001</v>
      </c>
      <c r="DI303" s="440">
        <v>1790329.7281282251</v>
      </c>
      <c r="DJ303" s="440">
        <v>550564.77880458138</v>
      </c>
      <c r="DK303" s="440">
        <v>336309.764575137</v>
      </c>
      <c r="DL303" s="440">
        <v>-757153</v>
      </c>
      <c r="DM303" s="440">
        <v>-36224</v>
      </c>
      <c r="DN303" s="440">
        <v>24107.880888375876</v>
      </c>
      <c r="DO303" s="457">
        <f t="shared" si="177"/>
        <v>907182.41582582053</v>
      </c>
      <c r="DP303" s="459">
        <f t="shared" si="178"/>
        <v>329.16633375392615</v>
      </c>
      <c r="DQ303" s="440"/>
      <c r="DR303" s="450">
        <v>19201609</v>
      </c>
      <c r="DS303" s="440">
        <v>9438268.4930066001</v>
      </c>
      <c r="DT303" s="440">
        <v>778905.74100000004</v>
      </c>
      <c r="DU303" s="440">
        <v>8053908.6197256371</v>
      </c>
      <c r="DV303" s="440">
        <v>1836207.9379590608</v>
      </c>
      <c r="DW303" s="440">
        <v>31961.899500000058</v>
      </c>
      <c r="DX303" s="457">
        <f t="shared" si="179"/>
        <v>937643.69119130075</v>
      </c>
      <c r="DY303" s="459">
        <f t="shared" si="180"/>
        <v>340.21904615068968</v>
      </c>
      <c r="DZ303" s="440"/>
      <c r="EA303" s="457">
        <f t="shared" si="181"/>
        <v>-30461.275365480222</v>
      </c>
      <c r="EB303" s="459">
        <f t="shared" si="182"/>
        <v>-11.052712396763505</v>
      </c>
      <c r="ED303" s="457">
        <v>41941.985497061964</v>
      </c>
      <c r="EE303" s="458">
        <v>7909.6096285525928</v>
      </c>
      <c r="EF303" s="458">
        <v>4909.2443990418815</v>
      </c>
      <c r="EG303" s="458">
        <v>1628.9457370746834</v>
      </c>
      <c r="EH303" s="459">
        <v>-1061.4591390284897</v>
      </c>
    </row>
    <row r="304" spans="1:138" x14ac:dyDescent="0.2">
      <c r="A304" s="67">
        <v>935</v>
      </c>
      <c r="B304" s="67" t="s">
        <v>420</v>
      </c>
      <c r="C304" s="67">
        <v>8</v>
      </c>
      <c r="D304" s="67">
        <v>2985</v>
      </c>
      <c r="E304" s="82">
        <v>11274001.530064855</v>
      </c>
      <c r="F304" s="67">
        <v>3954008.6084434115</v>
      </c>
      <c r="G304" s="67">
        <v>1537473</v>
      </c>
      <c r="H304" s="67">
        <v>747735.48548659612</v>
      </c>
      <c r="I304" s="67">
        <v>1044712.5247062525</v>
      </c>
      <c r="J304" s="67">
        <v>624431.31486589718</v>
      </c>
      <c r="K304" s="67">
        <v>17877.643615835099</v>
      </c>
      <c r="L304" s="67">
        <v>23811</v>
      </c>
      <c r="M304" s="68">
        <v>-80387.259999999995</v>
      </c>
      <c r="N304" s="68">
        <v>25159.301973132071</v>
      </c>
      <c r="O304" s="68">
        <v>-86873.548748194691</v>
      </c>
      <c r="P304" s="168">
        <f t="shared" si="148"/>
        <v>-3466053.4597219243</v>
      </c>
      <c r="Q304" s="169">
        <f t="shared" si="149"/>
        <v>-1161.156937930293</v>
      </c>
      <c r="R304" s="67"/>
      <c r="S304" s="82">
        <v>25505770.82</v>
      </c>
      <c r="T304" s="67">
        <v>9238128.2573067769</v>
      </c>
      <c r="U304" s="67">
        <v>1123810.7471692872</v>
      </c>
      <c r="V304" s="67">
        <v>8254430.9626605688</v>
      </c>
      <c r="W304" s="67">
        <v>2082562.8176878851</v>
      </c>
      <c r="X304" s="67">
        <v>1480896.74</v>
      </c>
      <c r="Y304" s="168">
        <f t="shared" si="150"/>
        <v>-3325941.2951754816</v>
      </c>
      <c r="Z304" s="169">
        <f t="shared" si="151"/>
        <v>-1114.2181893385198</v>
      </c>
      <c r="AA304" s="67"/>
      <c r="AB304" s="77">
        <f t="shared" si="152"/>
        <v>-140112.16454644268</v>
      </c>
      <c r="AC304" s="123">
        <f t="shared" si="153"/>
        <v>-46.938748591773091</v>
      </c>
      <c r="AE304" s="170"/>
      <c r="AF304" s="177">
        <v>98764.323652482606</v>
      </c>
      <c r="AG304" s="177">
        <v>46211.229777034489</v>
      </c>
      <c r="AH304" s="177">
        <v>-3109.9195846515049</v>
      </c>
      <c r="AI304" s="178">
        <v>-14053.570668565906</v>
      </c>
      <c r="AK304" s="67">
        <f t="shared" si="154"/>
        <v>5284119.6488633659</v>
      </c>
      <c r="AL304" s="67">
        <f t="shared" si="155"/>
        <v>376075.26168269105</v>
      </c>
      <c r="AM304" s="67">
        <f t="shared" si="156"/>
        <v>7209718.4379543159</v>
      </c>
      <c r="AN304" s="67">
        <f t="shared" si="157"/>
        <v>14231769.289935146</v>
      </c>
      <c r="AO304" s="67">
        <f t="shared" si="158"/>
        <v>0</v>
      </c>
      <c r="AP304" s="67">
        <f t="shared" si="159"/>
        <v>98764.323652482606</v>
      </c>
      <c r="AQ304" s="67">
        <f t="shared" si="160"/>
        <v>46211.229777034489</v>
      </c>
      <c r="AR304" s="67">
        <f t="shared" si="161"/>
        <v>-3109.9195846515049</v>
      </c>
      <c r="AS304" s="67">
        <f t="shared" si="162"/>
        <v>-14053.570668565906</v>
      </c>
      <c r="AT304" s="68">
        <v>1362</v>
      </c>
      <c r="AU304" s="68"/>
      <c r="AV304" s="68"/>
      <c r="AW304" s="68">
        <v>0</v>
      </c>
      <c r="AX304" s="68">
        <v>5944.9961739177288</v>
      </c>
      <c r="AY304" s="68">
        <v>-1136.5285285673724</v>
      </c>
      <c r="AZ304" s="68">
        <v>1461.6048313106915</v>
      </c>
      <c r="BA304" s="299"/>
      <c r="BB304" s="67"/>
      <c r="BC304" s="67"/>
      <c r="BD304" s="67"/>
      <c r="BE304" s="67"/>
      <c r="BF304" s="67"/>
      <c r="BG304" s="67"/>
      <c r="BH304" s="67"/>
      <c r="BN304" s="299"/>
      <c r="BO304" s="67">
        <v>8553478.4873008672</v>
      </c>
      <c r="BP304" s="67">
        <v>13037882.500000002</v>
      </c>
      <c r="BQ304" s="67">
        <v>13663000</v>
      </c>
      <c r="BR304" s="67">
        <v>376122.78</v>
      </c>
      <c r="BS304" s="67">
        <v>451000</v>
      </c>
      <c r="BT304" s="428">
        <v>0.57199028869121404</v>
      </c>
      <c r="BU304" s="428">
        <v>0.33464287704132473</v>
      </c>
      <c r="BV304" s="67">
        <f t="shared" si="163"/>
        <v>8685727.5843921378</v>
      </c>
      <c r="BW304" s="299"/>
      <c r="BX304" s="67">
        <v>22630900</v>
      </c>
      <c r="BY304" s="67">
        <v>8553478.4873008672</v>
      </c>
      <c r="BZ304" s="67">
        <v>12257034.650537001</v>
      </c>
      <c r="CA304" s="67">
        <v>6414528.2744876454</v>
      </c>
      <c r="CB304" s="67">
        <f t="shared" si="164"/>
        <v>169056.03059030333</v>
      </c>
      <c r="CC304" s="67">
        <f t="shared" si="165"/>
        <v>-1114.2181893385198</v>
      </c>
      <c r="CD304" s="67">
        <f t="shared" si="166"/>
        <v>-1081.4075457283964</v>
      </c>
      <c r="CE304" s="67">
        <f t="shared" si="167"/>
        <v>32.810643610123407</v>
      </c>
      <c r="CF304" s="67">
        <f t="shared" si="168"/>
        <v>-17.810643610123407</v>
      </c>
      <c r="CG304" s="67">
        <f t="shared" si="169"/>
        <v>-2.8106436101234067</v>
      </c>
      <c r="CH304" s="67">
        <f t="shared" si="170"/>
        <v>0</v>
      </c>
      <c r="CI304" s="67">
        <f t="shared" si="171"/>
        <v>0</v>
      </c>
      <c r="CJ304" s="67">
        <f t="shared" si="172"/>
        <v>-53164.771176218368</v>
      </c>
      <c r="CK304" s="67">
        <f t="shared" si="173"/>
        <v>-8389.7711762183681</v>
      </c>
      <c r="CL304" s="67">
        <f t="shared" si="174"/>
        <v>0</v>
      </c>
      <c r="CM304" s="67">
        <f t="shared" si="175"/>
        <v>0</v>
      </c>
      <c r="CN304" s="299"/>
      <c r="CO304" s="430">
        <v>9238.1282573067765</v>
      </c>
      <c r="CP304" s="430">
        <v>1123.8107471692872</v>
      </c>
      <c r="CQ304" s="430">
        <v>1537.473</v>
      </c>
      <c r="CR304" s="430">
        <v>8254430.9626605688</v>
      </c>
      <c r="CS304" s="430">
        <v>1044712.5247062525</v>
      </c>
      <c r="CT304" s="430">
        <v>2082562.8176878851</v>
      </c>
      <c r="CU304" s="430">
        <v>624431.31486589718</v>
      </c>
      <c r="CV304" s="430">
        <v>23811</v>
      </c>
      <c r="CW304" s="430">
        <v>25159.301973132071</v>
      </c>
      <c r="CX304" s="430">
        <v>-80387.259999999995</v>
      </c>
      <c r="CY304" s="430">
        <v>11274001.530064855</v>
      </c>
      <c r="CZ304" s="519"/>
      <c r="DA304" s="524">
        <v>9577.4115700000002</v>
      </c>
      <c r="DB304" s="524">
        <v>1115.0205545626266</v>
      </c>
      <c r="DC304" s="520">
        <f t="shared" si="176"/>
        <v>-1</v>
      </c>
      <c r="DD304" s="440">
        <v>3040</v>
      </c>
      <c r="DE304" s="450">
        <v>8553478.4873008672</v>
      </c>
      <c r="DF304" s="440">
        <v>4187694.0042876462</v>
      </c>
      <c r="DG304" s="440">
        <v>1554092.287</v>
      </c>
      <c r="DH304" s="440">
        <v>672741.98320000002</v>
      </c>
      <c r="DI304" s="440">
        <v>1039870.0705550327</v>
      </c>
      <c r="DJ304" s="440">
        <v>625918.73563073692</v>
      </c>
      <c r="DK304" s="440">
        <v>168608.49134791258</v>
      </c>
      <c r="DL304" s="440">
        <v>-83525</v>
      </c>
      <c r="DM304" s="440">
        <v>126500</v>
      </c>
      <c r="DN304" s="440">
        <v>25898.268284721824</v>
      </c>
      <c r="DO304" s="457">
        <f t="shared" si="177"/>
        <v>-235679.64699481707</v>
      </c>
      <c r="DP304" s="459">
        <f t="shared" si="178"/>
        <v>-77.526199669347719</v>
      </c>
      <c r="DQ304" s="440"/>
      <c r="DR304" s="450">
        <v>22630900</v>
      </c>
      <c r="DS304" s="440">
        <v>9693829.3887370005</v>
      </c>
      <c r="DT304" s="440">
        <v>1009112.9748</v>
      </c>
      <c r="DU304" s="440">
        <v>8249605.1626605671</v>
      </c>
      <c r="DV304" s="440">
        <v>2087523.5669414282</v>
      </c>
      <c r="DW304" s="440">
        <v>1597067.287</v>
      </c>
      <c r="DX304" s="457">
        <f t="shared" si="179"/>
        <v>6238.3801389932632</v>
      </c>
      <c r="DY304" s="459">
        <f t="shared" si="180"/>
        <v>2.0520987299319944</v>
      </c>
      <c r="DZ304" s="440"/>
      <c r="EA304" s="457">
        <f t="shared" si="181"/>
        <v>-241918.02713381033</v>
      </c>
      <c r="EB304" s="459">
        <f t="shared" si="182"/>
        <v>-79.578298399279717</v>
      </c>
      <c r="ED304" s="457">
        <v>254581.80028331419</v>
      </c>
      <c r="EE304" s="458">
        <v>205042.70538882224</v>
      </c>
      <c r="EF304" s="458">
        <v>156133.15883667688</v>
      </c>
      <c r="EG304" s="458">
        <v>106914.83230098012</v>
      </c>
      <c r="EH304" s="459">
        <v>58347.186864349613</v>
      </c>
    </row>
    <row r="305" spans="1:138" x14ac:dyDescent="0.2">
      <c r="A305" s="67">
        <v>936</v>
      </c>
      <c r="B305" s="67" t="s">
        <v>421</v>
      </c>
      <c r="C305" s="67">
        <v>6</v>
      </c>
      <c r="D305" s="67">
        <v>6395</v>
      </c>
      <c r="E305" s="82">
        <v>21074092.688687563</v>
      </c>
      <c r="F305" s="67">
        <v>8150250.8751046052</v>
      </c>
      <c r="G305" s="67">
        <v>1954719</v>
      </c>
      <c r="H305" s="67">
        <v>2409914.4195541092</v>
      </c>
      <c r="I305" s="67">
        <v>2404184.9586866875</v>
      </c>
      <c r="J305" s="67">
        <v>1381438.5529375491</v>
      </c>
      <c r="K305" s="67">
        <v>1939614.7445330755</v>
      </c>
      <c r="L305" s="67">
        <v>591969</v>
      </c>
      <c r="M305" s="68">
        <v>3439724.12</v>
      </c>
      <c r="N305" s="68">
        <v>54254.298609779158</v>
      </c>
      <c r="O305" s="68">
        <v>-186116.02822268175</v>
      </c>
      <c r="P305" s="168">
        <f t="shared" si="148"/>
        <v>1065861.2525155602</v>
      </c>
      <c r="Q305" s="169">
        <f t="shared" si="149"/>
        <v>166.67103244965759</v>
      </c>
      <c r="R305" s="67"/>
      <c r="S305" s="82">
        <v>54003112.850000001</v>
      </c>
      <c r="T305" s="67">
        <v>19143998.689039592</v>
      </c>
      <c r="U305" s="67">
        <v>3621986.3534906306</v>
      </c>
      <c r="V305" s="67">
        <v>22653884.287847355</v>
      </c>
      <c r="W305" s="67">
        <v>4607284.2549322601</v>
      </c>
      <c r="X305" s="67">
        <v>5986412.1200000001</v>
      </c>
      <c r="Y305" s="168">
        <f t="shared" si="150"/>
        <v>2010452.8553098366</v>
      </c>
      <c r="Z305" s="169">
        <f t="shared" si="151"/>
        <v>314.37886713210895</v>
      </c>
      <c r="AA305" s="67"/>
      <c r="AB305" s="77">
        <f t="shared" si="152"/>
        <v>-944591.60279427632</v>
      </c>
      <c r="AC305" s="123">
        <f t="shared" si="153"/>
        <v>-147.70783468245133</v>
      </c>
      <c r="AE305" s="170"/>
      <c r="AF305" s="177">
        <v>856008.87498293584</v>
      </c>
      <c r="AG305" s="177">
        <v>743420.25343067769</v>
      </c>
      <c r="AH305" s="177">
        <v>637755.68051008065</v>
      </c>
      <c r="AI305" s="178">
        <v>530783.53431002726</v>
      </c>
      <c r="AK305" s="67">
        <f t="shared" si="154"/>
        <v>10993747.813934986</v>
      </c>
      <c r="AL305" s="67">
        <f t="shared" si="155"/>
        <v>1212071.9339365214</v>
      </c>
      <c r="AM305" s="67">
        <f t="shared" si="156"/>
        <v>20249699.329160668</v>
      </c>
      <c r="AN305" s="67">
        <f t="shared" si="157"/>
        <v>32929020.161312439</v>
      </c>
      <c r="AO305" s="67">
        <f t="shared" si="158"/>
        <v>0</v>
      </c>
      <c r="AP305" s="67">
        <f t="shared" si="159"/>
        <v>856008.87498293584</v>
      </c>
      <c r="AQ305" s="67">
        <f t="shared" si="160"/>
        <v>743420.25343067769</v>
      </c>
      <c r="AR305" s="67">
        <f t="shared" si="161"/>
        <v>637755.68051008065</v>
      </c>
      <c r="AS305" s="67">
        <f t="shared" si="162"/>
        <v>530783.53431002726</v>
      </c>
      <c r="AT305" s="68">
        <v>4306</v>
      </c>
      <c r="AU305" s="68"/>
      <c r="AV305" s="68"/>
      <c r="AW305" s="68">
        <v>182</v>
      </c>
      <c r="AX305" s="68">
        <v>18198.762536575407</v>
      </c>
      <c r="AY305" s="68">
        <v>-2399.4216861463747</v>
      </c>
      <c r="AZ305" s="68">
        <v>3233.9983895016189</v>
      </c>
      <c r="BA305" s="299"/>
      <c r="BB305" s="67"/>
      <c r="BC305" s="67"/>
      <c r="BD305" s="67"/>
      <c r="BE305" s="67"/>
      <c r="BF305" s="67"/>
      <c r="BG305" s="67"/>
      <c r="BH305" s="67"/>
      <c r="BN305" s="299"/>
      <c r="BO305" s="67">
        <v>19253155.313039333</v>
      </c>
      <c r="BP305" s="67">
        <v>31160234.469999999</v>
      </c>
      <c r="BQ305" s="67">
        <v>31464000</v>
      </c>
      <c r="BR305" s="67">
        <v>529446.41</v>
      </c>
      <c r="BS305" s="67">
        <v>542000</v>
      </c>
      <c r="BT305" s="428">
        <v>0.57426601372623243</v>
      </c>
      <c r="BU305" s="428">
        <v>0.33464287704132478</v>
      </c>
      <c r="BV305" s="67">
        <f t="shared" si="163"/>
        <v>25415159.775688458</v>
      </c>
      <c r="BW305" s="299"/>
      <c r="BX305" s="67">
        <v>51914880</v>
      </c>
      <c r="BY305" s="67">
        <v>19253155.313039333</v>
      </c>
      <c r="BZ305" s="67">
        <v>25162196.044801392</v>
      </c>
      <c r="CA305" s="67">
        <v>12684896.729642723</v>
      </c>
      <c r="CB305" s="67">
        <f t="shared" si="164"/>
        <v>2154437.0801444747</v>
      </c>
      <c r="CC305" s="67">
        <f t="shared" si="165"/>
        <v>314.37886713210963</v>
      </c>
      <c r="CD305" s="67">
        <f t="shared" si="166"/>
        <v>229.36663273645686</v>
      </c>
      <c r="CE305" s="67">
        <f t="shared" si="167"/>
        <v>-85.012234395652769</v>
      </c>
      <c r="CF305" s="67">
        <f t="shared" si="168"/>
        <v>70.012234395652769</v>
      </c>
      <c r="CG305" s="67">
        <f t="shared" si="169"/>
        <v>55.012234395652769</v>
      </c>
      <c r="CH305" s="67">
        <f t="shared" si="170"/>
        <v>40.012234395652769</v>
      </c>
      <c r="CI305" s="67">
        <f t="shared" si="171"/>
        <v>25.012234395652769</v>
      </c>
      <c r="CJ305" s="67">
        <f t="shared" si="172"/>
        <v>447728.23896019947</v>
      </c>
      <c r="CK305" s="67">
        <f t="shared" si="173"/>
        <v>351803.23896019947</v>
      </c>
      <c r="CL305" s="67">
        <f t="shared" si="174"/>
        <v>255878.23896019947</v>
      </c>
      <c r="CM305" s="67">
        <f t="shared" si="175"/>
        <v>159953.23896019947</v>
      </c>
      <c r="CN305" s="299"/>
      <c r="CO305" s="430">
        <v>19143.998689039592</v>
      </c>
      <c r="CP305" s="430">
        <v>3621.9863534906308</v>
      </c>
      <c r="CQ305" s="430">
        <v>1954.7190000000001</v>
      </c>
      <c r="CR305" s="430">
        <v>22653884.287847355</v>
      </c>
      <c r="CS305" s="430">
        <v>2404184.9586866875</v>
      </c>
      <c r="CT305" s="430">
        <v>4607284.2549322601</v>
      </c>
      <c r="CU305" s="430">
        <v>1381438.5529375491</v>
      </c>
      <c r="CV305" s="430">
        <v>591969</v>
      </c>
      <c r="CW305" s="430">
        <v>54254.298609779158</v>
      </c>
      <c r="CX305" s="430">
        <v>3439724.12</v>
      </c>
      <c r="CY305" s="430">
        <v>21074092.688687563</v>
      </c>
      <c r="CZ305" s="519"/>
      <c r="DA305" s="524">
        <v>19765.261129999999</v>
      </c>
      <c r="DB305" s="524">
        <v>3591.7691754381244</v>
      </c>
      <c r="DC305" s="520">
        <f t="shared" si="176"/>
        <v>-1</v>
      </c>
      <c r="DD305" s="440">
        <v>6465</v>
      </c>
      <c r="DE305" s="450">
        <v>19253155.313039333</v>
      </c>
      <c r="DF305" s="440">
        <v>8498904.7483427227</v>
      </c>
      <c r="DG305" s="440">
        <v>2017777.9037000001</v>
      </c>
      <c r="DH305" s="440">
        <v>2168214.0776</v>
      </c>
      <c r="DI305" s="440">
        <v>2393976.9332904648</v>
      </c>
      <c r="DJ305" s="440">
        <v>1384929.8658745387</v>
      </c>
      <c r="DK305" s="440">
        <v>2153809.1112912162</v>
      </c>
      <c r="DL305" s="440">
        <v>524883</v>
      </c>
      <c r="DM305" s="440">
        <v>144500</v>
      </c>
      <c r="DN305" s="440">
        <v>55308.531019740105</v>
      </c>
      <c r="DO305" s="457">
        <f t="shared" si="177"/>
        <v>89148.858079351485</v>
      </c>
      <c r="DP305" s="459">
        <f t="shared" si="178"/>
        <v>13.789459873062874</v>
      </c>
      <c r="DQ305" s="440"/>
      <c r="DR305" s="450">
        <v>51914880</v>
      </c>
      <c r="DS305" s="440">
        <v>19892097.02470139</v>
      </c>
      <c r="DT305" s="440">
        <v>3252321.1164000002</v>
      </c>
      <c r="DU305" s="440">
        <v>22643713.687847346</v>
      </c>
      <c r="DV305" s="440">
        <v>4618928.2553761574</v>
      </c>
      <c r="DW305" s="440">
        <v>2687160.9037000001</v>
      </c>
      <c r="DX305" s="457">
        <f t="shared" si="179"/>
        <v>1179340.9880248904</v>
      </c>
      <c r="DY305" s="459">
        <f t="shared" si="180"/>
        <v>182.41933302782527</v>
      </c>
      <c r="DZ305" s="440"/>
      <c r="EA305" s="457">
        <f t="shared" si="181"/>
        <v>-1090192.1299455389</v>
      </c>
      <c r="EB305" s="459">
        <f t="shared" si="182"/>
        <v>-168.62987315476241</v>
      </c>
      <c r="ED305" s="457">
        <v>1117123.476462495</v>
      </c>
      <c r="EE305" s="458">
        <v>1011771.421037202</v>
      </c>
      <c r="EF305" s="458">
        <v>907758.19128074823</v>
      </c>
      <c r="EG305" s="458">
        <v>803088.29619743256</v>
      </c>
      <c r="EH305" s="459">
        <v>699802.16864880885</v>
      </c>
    </row>
    <row r="306" spans="1:138" x14ac:dyDescent="0.2">
      <c r="A306" s="67">
        <v>946</v>
      </c>
      <c r="B306" s="67" t="s">
        <v>135</v>
      </c>
      <c r="C306" s="67">
        <v>15</v>
      </c>
      <c r="D306" s="67">
        <v>6287</v>
      </c>
      <c r="E306" s="82">
        <v>20703785.955178525</v>
      </c>
      <c r="F306" s="67">
        <v>9124954.4876229633</v>
      </c>
      <c r="G306" s="67">
        <v>2140476</v>
      </c>
      <c r="H306" s="67">
        <v>1567148.3847680178</v>
      </c>
      <c r="I306" s="67">
        <v>6690517.8020072356</v>
      </c>
      <c r="J306" s="67">
        <v>1336187.8932484281</v>
      </c>
      <c r="K306" s="67">
        <v>-773902.07759936864</v>
      </c>
      <c r="L306" s="67">
        <v>699723</v>
      </c>
      <c r="M306" s="68">
        <v>-83859</v>
      </c>
      <c r="N306" s="68">
        <v>57520.559537842033</v>
      </c>
      <c r="O306" s="68">
        <v>-182972.86464988274</v>
      </c>
      <c r="P306" s="168">
        <f t="shared" si="148"/>
        <v>-127991.77024328915</v>
      </c>
      <c r="Q306" s="169">
        <f t="shared" si="149"/>
        <v>-20.358162914472587</v>
      </c>
      <c r="R306" s="67"/>
      <c r="S306" s="82">
        <v>48775744</v>
      </c>
      <c r="T306" s="67">
        <v>21277397.973018892</v>
      </c>
      <c r="U306" s="67">
        <v>2355349.2262911452</v>
      </c>
      <c r="V306" s="67">
        <v>17551745.247270092</v>
      </c>
      <c r="W306" s="67">
        <v>4456367.1899150303</v>
      </c>
      <c r="X306" s="67">
        <v>2756340</v>
      </c>
      <c r="Y306" s="168">
        <f t="shared" si="150"/>
        <v>-378544.36350484192</v>
      </c>
      <c r="Z306" s="169">
        <f t="shared" si="151"/>
        <v>-60.210651106225853</v>
      </c>
      <c r="AA306" s="67"/>
      <c r="AB306" s="77">
        <f t="shared" si="152"/>
        <v>250552.59326155277</v>
      </c>
      <c r="AC306" s="123">
        <f t="shared" si="153"/>
        <v>39.852488191753267</v>
      </c>
      <c r="AE306" s="170"/>
      <c r="AF306" s="177">
        <v>-149029.31878928965</v>
      </c>
      <c r="AG306" s="177">
        <v>-71106.521869672346</v>
      </c>
      <c r="AH306" s="177">
        <v>-18739.017732717472</v>
      </c>
      <c r="AI306" s="178">
        <v>-29599.597585686381</v>
      </c>
      <c r="AK306" s="67">
        <f t="shared" si="154"/>
        <v>12152443.485395929</v>
      </c>
      <c r="AL306" s="67">
        <f t="shared" si="155"/>
        <v>788200.8415231274</v>
      </c>
      <c r="AM306" s="67">
        <f t="shared" si="156"/>
        <v>10861227.445262857</v>
      </c>
      <c r="AN306" s="67">
        <f t="shared" si="157"/>
        <v>28071958.044821475</v>
      </c>
      <c r="AO306" s="67">
        <f t="shared" si="158"/>
        <v>0</v>
      </c>
      <c r="AP306" s="67">
        <f t="shared" si="159"/>
        <v>-149029.31878928965</v>
      </c>
      <c r="AQ306" s="67">
        <f t="shared" si="160"/>
        <v>-71106.521869672346</v>
      </c>
      <c r="AR306" s="67">
        <f t="shared" si="161"/>
        <v>-18739.017732717472</v>
      </c>
      <c r="AS306" s="67">
        <f t="shared" si="162"/>
        <v>-29599.597585686381</v>
      </c>
      <c r="AT306" s="363">
        <v>1802</v>
      </c>
      <c r="AU306" s="68"/>
      <c r="AV306" s="68"/>
      <c r="AW306" s="68">
        <v>0</v>
      </c>
      <c r="AX306" s="68">
        <v>8561.1543854678912</v>
      </c>
      <c r="AY306" s="68">
        <v>-2034.690934656943</v>
      </c>
      <c r="AZ306" s="68">
        <v>3136.8545569595799</v>
      </c>
      <c r="BA306" s="299"/>
      <c r="BB306" s="67"/>
      <c r="BC306" s="67"/>
      <c r="BD306" s="67"/>
      <c r="BE306" s="67"/>
      <c r="BF306" s="67"/>
      <c r="BG306" s="67"/>
      <c r="BH306" s="67"/>
      <c r="BN306" s="299"/>
      <c r="BO306" s="67">
        <v>21184421.837202843</v>
      </c>
      <c r="BP306" s="67">
        <v>24492444.75</v>
      </c>
      <c r="BQ306" s="67">
        <v>28811000</v>
      </c>
      <c r="BR306" s="67">
        <v>494839.32</v>
      </c>
      <c r="BS306" s="67">
        <v>502000</v>
      </c>
      <c r="BT306" s="428">
        <v>0.57114330900827293</v>
      </c>
      <c r="BU306" s="428">
        <v>0.33464287704132489</v>
      </c>
      <c r="BV306" s="67">
        <f t="shared" si="163"/>
        <v>13207504.664330091</v>
      </c>
      <c r="BW306" s="299"/>
      <c r="BX306" s="67">
        <v>47758700</v>
      </c>
      <c r="BY306" s="67">
        <v>21184421.837202843</v>
      </c>
      <c r="BZ306" s="67">
        <v>25484751.91103141</v>
      </c>
      <c r="CA306" s="67">
        <v>12799400.428922601</v>
      </c>
      <c r="CB306" s="67">
        <f t="shared" si="164"/>
        <v>-129884.98930547216</v>
      </c>
      <c r="CC306" s="67">
        <f t="shared" si="165"/>
        <v>-60.210651106225406</v>
      </c>
      <c r="CD306" s="67">
        <f t="shared" si="166"/>
        <v>111.18151466525993</v>
      </c>
      <c r="CE306" s="67">
        <f t="shared" si="167"/>
        <v>171.39216577148534</v>
      </c>
      <c r="CF306" s="67">
        <f t="shared" si="168"/>
        <v>-156.39216577148534</v>
      </c>
      <c r="CG306" s="67">
        <f t="shared" si="169"/>
        <v>-141.39216577148534</v>
      </c>
      <c r="CH306" s="67">
        <f t="shared" si="170"/>
        <v>-126.39216577148534</v>
      </c>
      <c r="CI306" s="67">
        <f t="shared" si="171"/>
        <v>-111.39216577148534</v>
      </c>
      <c r="CJ306" s="67">
        <f t="shared" si="172"/>
        <v>-983237.54620532831</v>
      </c>
      <c r="CK306" s="67">
        <f t="shared" si="173"/>
        <v>-888932.54620532831</v>
      </c>
      <c r="CL306" s="67">
        <f t="shared" si="174"/>
        <v>-794627.54620532831</v>
      </c>
      <c r="CM306" s="67">
        <f t="shared" si="175"/>
        <v>-700322.54620532831</v>
      </c>
      <c r="CN306" s="299"/>
      <c r="CO306" s="430">
        <v>21277.397973018891</v>
      </c>
      <c r="CP306" s="430">
        <v>2355.349226291145</v>
      </c>
      <c r="CQ306" s="430">
        <v>2140.4760000000001</v>
      </c>
      <c r="CR306" s="430">
        <v>17551745.247270092</v>
      </c>
      <c r="CS306" s="430">
        <v>6690517.8020072356</v>
      </c>
      <c r="CT306" s="430">
        <v>4456367.1899150303</v>
      </c>
      <c r="CU306" s="430">
        <v>1336187.8932484281</v>
      </c>
      <c r="CV306" s="430">
        <v>699723</v>
      </c>
      <c r="CW306" s="430">
        <v>57520.559537842033</v>
      </c>
      <c r="CX306" s="430">
        <v>-83859</v>
      </c>
      <c r="CY306" s="430">
        <v>20703785.955178525</v>
      </c>
      <c r="CZ306" s="519"/>
      <c r="DA306" s="524">
        <v>21538.22208</v>
      </c>
      <c r="DB306" s="524">
        <v>2336.9300850704644</v>
      </c>
      <c r="DC306" s="520">
        <f t="shared" si="176"/>
        <v>-1</v>
      </c>
      <c r="DD306" s="440">
        <v>6376</v>
      </c>
      <c r="DE306" s="450">
        <v>21184421.837202843</v>
      </c>
      <c r="DF306" s="440">
        <v>9222561.1037226021</v>
      </c>
      <c r="DG306" s="440">
        <v>2166866.7710000002</v>
      </c>
      <c r="DH306" s="440">
        <v>1409972.5542000001</v>
      </c>
      <c r="DI306" s="440">
        <v>6680455.7039223239</v>
      </c>
      <c r="DJ306" s="440">
        <v>1343328.9190683411</v>
      </c>
      <c r="DK306" s="440">
        <v>-129119.71376491245</v>
      </c>
      <c r="DL306" s="440">
        <v>701106</v>
      </c>
      <c r="DM306" s="440">
        <v>-158000</v>
      </c>
      <c r="DN306" s="440">
        <v>56230.770635768691</v>
      </c>
      <c r="DO306" s="457">
        <f t="shared" si="177"/>
        <v>108980.27158128098</v>
      </c>
      <c r="DP306" s="459">
        <f t="shared" si="178"/>
        <v>17.092263422409186</v>
      </c>
      <c r="DQ306" s="440"/>
      <c r="DR306" s="450">
        <v>47758700</v>
      </c>
      <c r="DS306" s="440">
        <v>21202926.308731407</v>
      </c>
      <c r="DT306" s="440">
        <v>2114958.8313000002</v>
      </c>
      <c r="DU306" s="440">
        <v>17541706.467270099</v>
      </c>
      <c r="DV306" s="440">
        <v>4480183.4760279208</v>
      </c>
      <c r="DW306" s="440">
        <v>2709972.7710000002</v>
      </c>
      <c r="DX306" s="457">
        <f t="shared" si="179"/>
        <v>291047.85432942212</v>
      </c>
      <c r="DY306" s="459">
        <f t="shared" si="180"/>
        <v>45.647405007751274</v>
      </c>
      <c r="DZ306" s="440"/>
      <c r="EA306" s="457">
        <f t="shared" si="181"/>
        <v>-182067.58274814114</v>
      </c>
      <c r="EB306" s="459">
        <f t="shared" si="182"/>
        <v>-28.555141585342085</v>
      </c>
      <c r="ED306" s="457">
        <v>208628.18064327867</v>
      </c>
      <c r="EE306" s="458">
        <v>104726.4474040416</v>
      </c>
      <c r="EF306" s="458">
        <v>11357.526229423453</v>
      </c>
      <c r="EG306" s="458">
        <v>3768.5624163962925</v>
      </c>
      <c r="EH306" s="459">
        <v>-2455.6834072734578</v>
      </c>
    </row>
    <row r="307" spans="1:138" x14ac:dyDescent="0.2">
      <c r="A307" s="67">
        <v>976</v>
      </c>
      <c r="B307" s="67" t="s">
        <v>422</v>
      </c>
      <c r="C307" s="67">
        <v>19</v>
      </c>
      <c r="D307" s="67">
        <v>3788</v>
      </c>
      <c r="E307" s="82">
        <v>11709487.520189416</v>
      </c>
      <c r="F307" s="67">
        <v>4195995.8348619314</v>
      </c>
      <c r="G307" s="67">
        <v>1301193</v>
      </c>
      <c r="H307" s="67">
        <v>648282.06815368193</v>
      </c>
      <c r="I307" s="67">
        <v>3369467.153410973</v>
      </c>
      <c r="J307" s="67">
        <v>808559.12957031373</v>
      </c>
      <c r="K307" s="67">
        <v>-288680.34445739351</v>
      </c>
      <c r="L307" s="67">
        <v>-312854</v>
      </c>
      <c r="M307" s="68">
        <v>54735.16</v>
      </c>
      <c r="N307" s="68">
        <v>31517.723803699922</v>
      </c>
      <c r="O307" s="68">
        <v>-110243.55197928358</v>
      </c>
      <c r="P307" s="168">
        <f t="shared" si="148"/>
        <v>-2011515.3468254923</v>
      </c>
      <c r="Q307" s="169">
        <f t="shared" si="149"/>
        <v>-531.02305882404755</v>
      </c>
      <c r="R307" s="67"/>
      <c r="S307" s="82">
        <v>36300481.710000001</v>
      </c>
      <c r="T307" s="67">
        <v>10960616.942659924</v>
      </c>
      <c r="U307" s="67">
        <v>974337.00757712673</v>
      </c>
      <c r="V307" s="67">
        <v>18313109.73889447</v>
      </c>
      <c r="W307" s="67">
        <v>2696653.9618642372</v>
      </c>
      <c r="X307" s="67">
        <v>1043074.16</v>
      </c>
      <c r="Y307" s="168">
        <f t="shared" si="150"/>
        <v>-2312689.8990042433</v>
      </c>
      <c r="Z307" s="169">
        <f t="shared" si="151"/>
        <v>-610.53059635803675</v>
      </c>
      <c r="AA307" s="67"/>
      <c r="AB307" s="77">
        <f t="shared" si="152"/>
        <v>301174.55217875098</v>
      </c>
      <c r="AC307" s="123">
        <f t="shared" si="153"/>
        <v>79.507537533989165</v>
      </c>
      <c r="AE307" s="170"/>
      <c r="AF307" s="177">
        <v>-240005.44708873614</v>
      </c>
      <c r="AG307" s="177">
        <v>-193055.93941711049</v>
      </c>
      <c r="AH307" s="177">
        <v>-142005.05626202392</v>
      </c>
      <c r="AI307" s="178">
        <v>-91728.698139397267</v>
      </c>
      <c r="AK307" s="67">
        <f t="shared" si="154"/>
        <v>6764621.1077979924</v>
      </c>
      <c r="AL307" s="67">
        <f t="shared" si="155"/>
        <v>326054.9394234448</v>
      </c>
      <c r="AM307" s="67">
        <f t="shared" si="156"/>
        <v>14943642.585483497</v>
      </c>
      <c r="AN307" s="67">
        <f t="shared" si="157"/>
        <v>24590994.189810585</v>
      </c>
      <c r="AO307" s="67">
        <f t="shared" si="158"/>
        <v>0</v>
      </c>
      <c r="AP307" s="67">
        <f t="shared" si="159"/>
        <v>-240005.44708873614</v>
      </c>
      <c r="AQ307" s="67">
        <f t="shared" si="160"/>
        <v>-193055.93941711049</v>
      </c>
      <c r="AR307" s="67">
        <f t="shared" si="161"/>
        <v>-142005.05626202392</v>
      </c>
      <c r="AS307" s="67">
        <f t="shared" si="162"/>
        <v>-91728.698139397267</v>
      </c>
      <c r="AT307" s="68">
        <v>1373</v>
      </c>
      <c r="AU307" s="68"/>
      <c r="AV307" s="68"/>
      <c r="AW307" s="68">
        <v>29</v>
      </c>
      <c r="AX307" s="68">
        <v>13412.172588833015</v>
      </c>
      <c r="AY307" s="68">
        <v>-1640.1909858576389</v>
      </c>
      <c r="AZ307" s="68">
        <v>1888.0813395385094</v>
      </c>
      <c r="BA307" s="299"/>
      <c r="BB307" s="67"/>
      <c r="BC307" s="67"/>
      <c r="BD307" s="67"/>
      <c r="BE307" s="67"/>
      <c r="BF307" s="67"/>
      <c r="BG307" s="67"/>
      <c r="BH307" s="67"/>
      <c r="BN307" s="299"/>
      <c r="BO307" s="67">
        <v>10719647.708516262</v>
      </c>
      <c r="BP307" s="67">
        <v>21699877.319999997</v>
      </c>
      <c r="BQ307" s="67">
        <v>24931000</v>
      </c>
      <c r="BR307" s="67">
        <v>445924.78</v>
      </c>
      <c r="BS307" s="67">
        <v>490000</v>
      </c>
      <c r="BT307" s="428">
        <v>0.61717521405837517</v>
      </c>
      <c r="BU307" s="428">
        <v>0.33464287704132484</v>
      </c>
      <c r="BV307" s="67">
        <f t="shared" si="163"/>
        <v>16543057.073320026</v>
      </c>
      <c r="BW307" s="299"/>
      <c r="BX307" s="67">
        <v>33721600</v>
      </c>
      <c r="BY307" s="67">
        <v>10719647.708516262</v>
      </c>
      <c r="BZ307" s="67">
        <v>13567192.145553285</v>
      </c>
      <c r="CA307" s="67">
        <v>6280096.9478588877</v>
      </c>
      <c r="CB307" s="67">
        <f t="shared" si="164"/>
        <v>715456.00222527387</v>
      </c>
      <c r="CC307" s="67">
        <f t="shared" si="165"/>
        <v>-610.53059635803766</v>
      </c>
      <c r="CD307" s="67">
        <f t="shared" si="166"/>
        <v>-236.83617955742912</v>
      </c>
      <c r="CE307" s="67">
        <f t="shared" si="167"/>
        <v>373.69441680060856</v>
      </c>
      <c r="CF307" s="67">
        <f t="shared" si="168"/>
        <v>-358.69441680060856</v>
      </c>
      <c r="CG307" s="67">
        <f t="shared" si="169"/>
        <v>-343.69441680060856</v>
      </c>
      <c r="CH307" s="67">
        <f t="shared" si="170"/>
        <v>-328.69441680060856</v>
      </c>
      <c r="CI307" s="67">
        <f t="shared" si="171"/>
        <v>-313.69441680060856</v>
      </c>
      <c r="CJ307" s="67">
        <f t="shared" si="172"/>
        <v>-1358734.4508407053</v>
      </c>
      <c r="CK307" s="67">
        <f t="shared" si="173"/>
        <v>-1301914.4508407053</v>
      </c>
      <c r="CL307" s="67">
        <f t="shared" si="174"/>
        <v>-1245094.4508407053</v>
      </c>
      <c r="CM307" s="67">
        <f t="shared" si="175"/>
        <v>-1188274.4508407053</v>
      </c>
      <c r="CN307" s="299"/>
      <c r="CO307" s="430">
        <v>10960.616942659924</v>
      </c>
      <c r="CP307" s="430">
        <v>974.33700757712677</v>
      </c>
      <c r="CQ307" s="430">
        <v>1301.193</v>
      </c>
      <c r="CR307" s="430">
        <v>18313109.73889447</v>
      </c>
      <c r="CS307" s="430">
        <v>3369467.153410973</v>
      </c>
      <c r="CT307" s="430">
        <v>2696653.9618642372</v>
      </c>
      <c r="CU307" s="430">
        <v>808559.12957031373</v>
      </c>
      <c r="CV307" s="430">
        <v>-312854</v>
      </c>
      <c r="CW307" s="430">
        <v>31517.723803699922</v>
      </c>
      <c r="CX307" s="430">
        <v>54735.16</v>
      </c>
      <c r="CY307" s="430">
        <v>11709487.520189416</v>
      </c>
      <c r="CZ307" s="519"/>
      <c r="DA307" s="524">
        <v>11343.62508</v>
      </c>
      <c r="DB307" s="524">
        <v>966.71769630536824</v>
      </c>
      <c r="DC307" s="520">
        <f t="shared" si="176"/>
        <v>-1</v>
      </c>
      <c r="DD307" s="440">
        <v>3830</v>
      </c>
      <c r="DE307" s="450">
        <v>10719647.708516262</v>
      </c>
      <c r="DF307" s="440">
        <v>4377145.702058888</v>
      </c>
      <c r="DG307" s="440">
        <v>1319688.0829999999</v>
      </c>
      <c r="DH307" s="440">
        <v>583263.16280000005</v>
      </c>
      <c r="DI307" s="440">
        <v>3363374.087780036</v>
      </c>
      <c r="DJ307" s="440">
        <v>808553.35142274271</v>
      </c>
      <c r="DK307" s="440">
        <v>714989.39707910444</v>
      </c>
      <c r="DL307" s="440">
        <v>-317114</v>
      </c>
      <c r="DM307" s="440">
        <v>53300</v>
      </c>
      <c r="DN307" s="440">
        <v>32301.744200031186</v>
      </c>
      <c r="DO307" s="457">
        <f t="shared" si="177"/>
        <v>215853.81982453912</v>
      </c>
      <c r="DP307" s="459">
        <f t="shared" si="178"/>
        <v>56.358699693091154</v>
      </c>
      <c r="DQ307" s="440"/>
      <c r="DR307" s="450">
        <v>33721600</v>
      </c>
      <c r="DS307" s="440">
        <v>11372609.318353284</v>
      </c>
      <c r="DT307" s="440">
        <v>874894.74419999996</v>
      </c>
      <c r="DU307" s="440">
        <v>18307040.938894469</v>
      </c>
      <c r="DV307" s="440">
        <v>2696634.690961252</v>
      </c>
      <c r="DW307" s="440">
        <v>1055874.0829999999</v>
      </c>
      <c r="DX307" s="457">
        <f t="shared" si="179"/>
        <v>585453.77540899813</v>
      </c>
      <c r="DY307" s="459">
        <f t="shared" si="180"/>
        <v>152.85999357937288</v>
      </c>
      <c r="DZ307" s="440"/>
      <c r="EA307" s="457">
        <f t="shared" si="181"/>
        <v>-369599.95558445901</v>
      </c>
      <c r="EB307" s="459">
        <f t="shared" si="182"/>
        <v>-96.501293886281729</v>
      </c>
      <c r="ED307" s="457">
        <v>385554.64346689469</v>
      </c>
      <c r="EE307" s="458">
        <v>323141.90220179461</v>
      </c>
      <c r="EF307" s="458">
        <v>261522.30901274306</v>
      </c>
      <c r="EG307" s="458">
        <v>199513.69367336194</v>
      </c>
      <c r="EH307" s="459">
        <v>138324.85090287021</v>
      </c>
    </row>
    <row r="308" spans="1:138" x14ac:dyDescent="0.2">
      <c r="A308" s="67">
        <v>977</v>
      </c>
      <c r="B308" s="67" t="s">
        <v>423</v>
      </c>
      <c r="C308" s="67">
        <v>17</v>
      </c>
      <c r="D308" s="67">
        <v>15293</v>
      </c>
      <c r="E308" s="82">
        <v>48672461.753138952</v>
      </c>
      <c r="F308" s="67">
        <v>26283102.4528258</v>
      </c>
      <c r="G308" s="67">
        <v>5182317</v>
      </c>
      <c r="H308" s="67">
        <v>2922120.4226953732</v>
      </c>
      <c r="I308" s="67">
        <v>15744153.191247674</v>
      </c>
      <c r="J308" s="67">
        <v>2416576.1051449152</v>
      </c>
      <c r="K308" s="67">
        <v>132065.65270888185</v>
      </c>
      <c r="L308" s="67">
        <v>188829</v>
      </c>
      <c r="M308" s="68">
        <v>-787687.01</v>
      </c>
      <c r="N308" s="68">
        <v>140417.51040940403</v>
      </c>
      <c r="O308" s="68">
        <v>-445077.7825816219</v>
      </c>
      <c r="P308" s="168">
        <f t="shared" si="148"/>
        <v>3104354.7893114742</v>
      </c>
      <c r="Q308" s="169">
        <f t="shared" si="149"/>
        <v>202.99187793836882</v>
      </c>
      <c r="R308" s="67"/>
      <c r="S308" s="82">
        <v>110574311.47999999</v>
      </c>
      <c r="T308" s="67">
        <v>56403738.424502172</v>
      </c>
      <c r="U308" s="67">
        <v>4391807.5299193338</v>
      </c>
      <c r="V308" s="67">
        <v>39889514.264345601</v>
      </c>
      <c r="W308" s="67">
        <v>8059607.8749968307</v>
      </c>
      <c r="X308" s="67">
        <v>4583458.99</v>
      </c>
      <c r="Y308" s="168">
        <f t="shared" si="150"/>
        <v>2753815.6037639529</v>
      </c>
      <c r="Z308" s="169">
        <f t="shared" si="151"/>
        <v>180.07033307813725</v>
      </c>
      <c r="AA308" s="67"/>
      <c r="AB308" s="77">
        <f t="shared" si="152"/>
        <v>350539.18554752134</v>
      </c>
      <c r="AC308" s="123">
        <f t="shared" si="153"/>
        <v>22.921544860231567</v>
      </c>
      <c r="AE308" s="170"/>
      <c r="AF308" s="177">
        <v>-103585.87927996255</v>
      </c>
      <c r="AG308" s="177">
        <v>-22291.070495307413</v>
      </c>
      <c r="AH308" s="177">
        <v>-45582.280608628651</v>
      </c>
      <c r="AI308" s="178">
        <v>-72000.420849037982</v>
      </c>
      <c r="AK308" s="67">
        <f t="shared" si="154"/>
        <v>30120635.971676372</v>
      </c>
      <c r="AL308" s="67">
        <f t="shared" si="155"/>
        <v>1469687.1072239606</v>
      </c>
      <c r="AM308" s="67">
        <f t="shared" si="156"/>
        <v>24145361.073097929</v>
      </c>
      <c r="AN308" s="67">
        <f t="shared" si="157"/>
        <v>61901849.726861037</v>
      </c>
      <c r="AO308" s="67">
        <f t="shared" si="158"/>
        <v>0</v>
      </c>
      <c r="AP308" s="67">
        <f t="shared" si="159"/>
        <v>-103585.87927996255</v>
      </c>
      <c r="AQ308" s="67">
        <f t="shared" si="160"/>
        <v>-22291.070495307413</v>
      </c>
      <c r="AR308" s="67">
        <f t="shared" si="161"/>
        <v>-45582.280608628651</v>
      </c>
      <c r="AS308" s="67">
        <f t="shared" si="162"/>
        <v>-72000.420849037982</v>
      </c>
      <c r="AT308" s="68">
        <v>5435</v>
      </c>
      <c r="AU308" s="68"/>
      <c r="AV308" s="68"/>
      <c r="AW308" s="68">
        <v>386</v>
      </c>
      <c r="AX308" s="68">
        <v>19738.73491724252</v>
      </c>
      <c r="AY308" s="68">
        <v>-4845.2091098755427</v>
      </c>
      <c r="AZ308" s="68">
        <v>5669.6577313953703</v>
      </c>
      <c r="BA308" s="299"/>
      <c r="BB308" s="67"/>
      <c r="BC308" s="67"/>
      <c r="BD308" s="67"/>
      <c r="BE308" s="67"/>
      <c r="BF308" s="67"/>
      <c r="BG308" s="67"/>
      <c r="BH308" s="67"/>
      <c r="BN308" s="299"/>
      <c r="BO308" s="67">
        <v>49314344.723292775</v>
      </c>
      <c r="BP308" s="67">
        <v>55918012.919999994</v>
      </c>
      <c r="BQ308" s="67">
        <v>58191000</v>
      </c>
      <c r="BR308" s="67">
        <v>2625135.9700000002</v>
      </c>
      <c r="BS308" s="67">
        <v>2995000</v>
      </c>
      <c r="BT308" s="428">
        <v>0.53401843234192015</v>
      </c>
      <c r="BU308" s="428">
        <v>0.33464287704132495</v>
      </c>
      <c r="BV308" s="67">
        <f t="shared" si="163"/>
        <v>29920458.495658726</v>
      </c>
      <c r="BW308" s="299"/>
      <c r="BX308" s="67">
        <v>109682314.39</v>
      </c>
      <c r="BY308" s="67">
        <v>49314344.723292775</v>
      </c>
      <c r="BZ308" s="67">
        <v>64163018.094467022</v>
      </c>
      <c r="CA308" s="67">
        <v>33874387.217129529</v>
      </c>
      <c r="CB308" s="67">
        <f t="shared" si="164"/>
        <v>16326.348450013593</v>
      </c>
      <c r="CC308" s="67">
        <f t="shared" si="165"/>
        <v>180.07033307813694</v>
      </c>
      <c r="CD308" s="67">
        <f t="shared" si="166"/>
        <v>224.52712140418666</v>
      </c>
      <c r="CE308" s="67">
        <f t="shared" si="167"/>
        <v>44.456788326049718</v>
      </c>
      <c r="CF308" s="67">
        <f t="shared" si="168"/>
        <v>-29.456788326049718</v>
      </c>
      <c r="CG308" s="67">
        <f t="shared" si="169"/>
        <v>-14.456788326049718</v>
      </c>
      <c r="CH308" s="67">
        <f t="shared" si="170"/>
        <v>0</v>
      </c>
      <c r="CI308" s="67">
        <f t="shared" si="171"/>
        <v>0</v>
      </c>
      <c r="CJ308" s="67">
        <f t="shared" si="172"/>
        <v>-450482.66387027834</v>
      </c>
      <c r="CK308" s="67">
        <f t="shared" si="173"/>
        <v>-221087.66387027834</v>
      </c>
      <c r="CL308" s="67">
        <f t="shared" si="174"/>
        <v>0</v>
      </c>
      <c r="CM308" s="67">
        <f t="shared" si="175"/>
        <v>0</v>
      </c>
      <c r="CN308" s="299"/>
      <c r="CO308" s="430">
        <v>56403.738424502175</v>
      </c>
      <c r="CP308" s="430">
        <v>4391.8075299193333</v>
      </c>
      <c r="CQ308" s="430">
        <v>5182.317</v>
      </c>
      <c r="CR308" s="430">
        <v>39889514.264345601</v>
      </c>
      <c r="CS308" s="430">
        <v>15744153.191247674</v>
      </c>
      <c r="CT308" s="430">
        <v>8059607.8749968307</v>
      </c>
      <c r="CU308" s="430">
        <v>2416576.1051449152</v>
      </c>
      <c r="CV308" s="430">
        <v>188829</v>
      </c>
      <c r="CW308" s="430">
        <v>140417.51040940403</v>
      </c>
      <c r="CX308" s="430">
        <v>-787687.01</v>
      </c>
      <c r="CY308" s="430">
        <v>48672461.753138952</v>
      </c>
      <c r="CZ308" s="519"/>
      <c r="DA308" s="524">
        <v>55989.91719</v>
      </c>
      <c r="DB308" s="524">
        <v>4357.4657356341477</v>
      </c>
      <c r="DC308" s="520">
        <f t="shared" si="176"/>
        <v>-1</v>
      </c>
      <c r="DD308" s="440">
        <v>15357</v>
      </c>
      <c r="DE308" s="450">
        <v>49314344.723292775</v>
      </c>
      <c r="DF308" s="440">
        <v>25959982.369629528</v>
      </c>
      <c r="DG308" s="440">
        <v>5285356.0374999996</v>
      </c>
      <c r="DH308" s="440">
        <v>2629048.81</v>
      </c>
      <c r="DI308" s="440">
        <v>15719974.338332841</v>
      </c>
      <c r="DJ308" s="440">
        <v>2427978.4266392263</v>
      </c>
      <c r="DK308" s="440">
        <v>20025.058790852534</v>
      </c>
      <c r="DL308" s="440">
        <v>360620</v>
      </c>
      <c r="DM308" s="440">
        <v>-406800</v>
      </c>
      <c r="DN308" s="440">
        <v>134261.40049309022</v>
      </c>
      <c r="DO308" s="457">
        <f t="shared" si="177"/>
        <v>2816101.7180927619</v>
      </c>
      <c r="DP308" s="459">
        <f t="shared" si="178"/>
        <v>183.37577118530714</v>
      </c>
      <c r="DQ308" s="440"/>
      <c r="DR308" s="450">
        <v>109682314.39</v>
      </c>
      <c r="DS308" s="440">
        <v>54934088.841967016</v>
      </c>
      <c r="DT308" s="440">
        <v>3943573.2149999999</v>
      </c>
      <c r="DU308" s="440">
        <v>39865368.86434558</v>
      </c>
      <c r="DV308" s="440">
        <v>8097636.1580345966</v>
      </c>
      <c r="DW308" s="440">
        <v>5239176.0374999996</v>
      </c>
      <c r="DX308" s="457">
        <f t="shared" si="179"/>
        <v>2397528.7268471867</v>
      </c>
      <c r="DY308" s="459">
        <f t="shared" si="180"/>
        <v>156.11960193053244</v>
      </c>
      <c r="DZ308" s="440"/>
      <c r="EA308" s="457">
        <f t="shared" si="181"/>
        <v>418572.99124557525</v>
      </c>
      <c r="EB308" s="459">
        <f t="shared" si="182"/>
        <v>27.256169254774711</v>
      </c>
      <c r="ED308" s="457">
        <v>-354600.10826635262</v>
      </c>
      <c r="EE308" s="458">
        <v>-144144.01625803459</v>
      </c>
      <c r="EF308" s="458">
        <v>27355.321566069</v>
      </c>
      <c r="EG308" s="458">
        <v>9076.8213658403165</v>
      </c>
      <c r="EH308" s="459">
        <v>-5914.6690849276183</v>
      </c>
    </row>
    <row r="309" spans="1:138" x14ac:dyDescent="0.2">
      <c r="A309" s="67">
        <v>980</v>
      </c>
      <c r="B309" s="67" t="s">
        <v>424</v>
      </c>
      <c r="C309" s="67">
        <v>6</v>
      </c>
      <c r="D309" s="67">
        <v>33607</v>
      </c>
      <c r="E309" s="82">
        <v>96291170.039041683</v>
      </c>
      <c r="F309" s="67">
        <v>51963284.534491375</v>
      </c>
      <c r="G309" s="67">
        <v>7553283</v>
      </c>
      <c r="H309" s="67">
        <v>7124194.2999256579</v>
      </c>
      <c r="I309" s="67">
        <v>27428791.935371276</v>
      </c>
      <c r="J309" s="67">
        <v>4337108.9506507665</v>
      </c>
      <c r="K309" s="67">
        <v>22613.400573363673</v>
      </c>
      <c r="L309" s="67">
        <v>-3580173</v>
      </c>
      <c r="M309" s="68">
        <v>-450701.15</v>
      </c>
      <c r="N309" s="68">
        <v>374325.60627865628</v>
      </c>
      <c r="O309" s="68">
        <v>-978076.83510237152</v>
      </c>
      <c r="P309" s="168">
        <f t="shared" si="148"/>
        <v>-2496519.2968529533</v>
      </c>
      <c r="Q309" s="169">
        <f t="shared" si="149"/>
        <v>-74.285693363077726</v>
      </c>
      <c r="R309" s="67"/>
      <c r="S309" s="82">
        <v>206783561.84000003</v>
      </c>
      <c r="T309" s="67">
        <v>132593774.65102462</v>
      </c>
      <c r="U309" s="67">
        <v>10707324.013074609</v>
      </c>
      <c r="V309" s="67">
        <v>41953767.270995051</v>
      </c>
      <c r="W309" s="67">
        <v>14464844.446224453</v>
      </c>
      <c r="X309" s="67">
        <v>3522408.85</v>
      </c>
      <c r="Y309" s="168">
        <f t="shared" si="150"/>
        <v>-3541442.6086812913</v>
      </c>
      <c r="Z309" s="169">
        <f t="shared" si="151"/>
        <v>-105.37812386351925</v>
      </c>
      <c r="AA309" s="67"/>
      <c r="AB309" s="77">
        <f t="shared" si="152"/>
        <v>1044923.3118283381</v>
      </c>
      <c r="AC309" s="123">
        <f t="shared" si="153"/>
        <v>31.092430500441516</v>
      </c>
      <c r="AE309" s="170"/>
      <c r="AF309" s="177">
        <v>-502233.20761498652</v>
      </c>
      <c r="AG309" s="177">
        <v>-85698.861173507423</v>
      </c>
      <c r="AH309" s="177">
        <v>-100168.94686550598</v>
      </c>
      <c r="AI309" s="178">
        <v>-158223.90266616226</v>
      </c>
      <c r="AK309" s="67">
        <f t="shared" si="154"/>
        <v>80630490.11653325</v>
      </c>
      <c r="AL309" s="67">
        <f t="shared" si="155"/>
        <v>3583129.7131489506</v>
      </c>
      <c r="AM309" s="67">
        <f t="shared" si="156"/>
        <v>14524975.335623775</v>
      </c>
      <c r="AN309" s="67">
        <f t="shared" si="157"/>
        <v>110492391.80095835</v>
      </c>
      <c r="AO309" s="67">
        <f t="shared" si="158"/>
        <v>0</v>
      </c>
      <c r="AP309" s="67">
        <f t="shared" si="159"/>
        <v>-502233.20761498652</v>
      </c>
      <c r="AQ309" s="67">
        <f t="shared" si="160"/>
        <v>-85698.861173507423</v>
      </c>
      <c r="AR309" s="67">
        <f t="shared" si="161"/>
        <v>-100168.94686550598</v>
      </c>
      <c r="AS309" s="67">
        <f t="shared" si="162"/>
        <v>-158223.90266616226</v>
      </c>
      <c r="AT309" s="68">
        <v>10873</v>
      </c>
      <c r="AU309" s="68"/>
      <c r="AV309" s="68"/>
      <c r="AW309" s="68">
        <v>76</v>
      </c>
      <c r="AX309" s="68">
        <v>14977.669880792633</v>
      </c>
      <c r="AY309" s="68">
        <v>-607.30436704178544</v>
      </c>
      <c r="AZ309" s="68">
        <v>10163.885309710453</v>
      </c>
      <c r="BA309" s="299"/>
      <c r="BB309" s="67"/>
      <c r="BC309" s="67"/>
      <c r="BD309" s="67"/>
      <c r="BE309" s="67"/>
      <c r="BF309" s="67"/>
      <c r="BG309" s="67"/>
      <c r="BH309" s="67"/>
      <c r="BN309" s="299"/>
      <c r="BO309" s="67">
        <v>94254020.111974791</v>
      </c>
      <c r="BP309" s="67">
        <v>100355065.53999998</v>
      </c>
      <c r="BQ309" s="67">
        <v>108209000</v>
      </c>
      <c r="BR309" s="67">
        <v>2545803.9500000002</v>
      </c>
      <c r="BS309" s="67">
        <v>2615000</v>
      </c>
      <c r="BT309" s="428">
        <v>0.60810162715968941</v>
      </c>
      <c r="BU309" s="428">
        <v>0.33464287704132478</v>
      </c>
      <c r="BV309" s="67">
        <f t="shared" si="163"/>
        <v>24675324.231770825</v>
      </c>
      <c r="BW309" s="299"/>
      <c r="BX309" s="67">
        <v>200913917.72</v>
      </c>
      <c r="BY309" s="67">
        <v>94254020.111974791</v>
      </c>
      <c r="BZ309" s="67">
        <v>145490468.67269593</v>
      </c>
      <c r="CA309" s="67">
        <v>64932363.377499133</v>
      </c>
      <c r="CB309" s="67">
        <f t="shared" si="164"/>
        <v>-445103.2682058991</v>
      </c>
      <c r="CC309" s="67">
        <f t="shared" si="165"/>
        <v>-105.37812386351945</v>
      </c>
      <c r="CD309" s="67">
        <f t="shared" si="166"/>
        <v>-59.09956647513463</v>
      </c>
      <c r="CE309" s="67">
        <f t="shared" si="167"/>
        <v>46.278557388384819</v>
      </c>
      <c r="CF309" s="67">
        <f t="shared" si="168"/>
        <v>-31.278557388384819</v>
      </c>
      <c r="CG309" s="67">
        <f t="shared" si="169"/>
        <v>-16.278557388384819</v>
      </c>
      <c r="CH309" s="67">
        <f t="shared" si="170"/>
        <v>-1.2785573883848187</v>
      </c>
      <c r="CI309" s="67">
        <f t="shared" si="171"/>
        <v>0</v>
      </c>
      <c r="CJ309" s="67">
        <f t="shared" si="172"/>
        <v>-1051178.4781514485</v>
      </c>
      <c r="CK309" s="67">
        <f t="shared" si="173"/>
        <v>-547073.47815144865</v>
      </c>
      <c r="CL309" s="67">
        <f t="shared" si="174"/>
        <v>-42968.478151448602</v>
      </c>
      <c r="CM309" s="67">
        <f t="shared" si="175"/>
        <v>0</v>
      </c>
      <c r="CN309" s="299"/>
      <c r="CO309" s="430">
        <v>132593.77465102464</v>
      </c>
      <c r="CP309" s="430">
        <v>10707.324013074609</v>
      </c>
      <c r="CQ309" s="430">
        <v>7553.2830000000004</v>
      </c>
      <c r="CR309" s="430">
        <v>41953767.270995051</v>
      </c>
      <c r="CS309" s="430">
        <v>27428791.935371276</v>
      </c>
      <c r="CT309" s="430">
        <v>14464844.446224453</v>
      </c>
      <c r="CU309" s="430">
        <v>4337108.9506507665</v>
      </c>
      <c r="CV309" s="430">
        <v>-3580173</v>
      </c>
      <c r="CW309" s="430">
        <v>374325.60627865628</v>
      </c>
      <c r="CX309" s="430">
        <v>-450701.15</v>
      </c>
      <c r="CY309" s="430">
        <v>96291170.039041683</v>
      </c>
      <c r="CZ309" s="519"/>
      <c r="DA309" s="524">
        <v>133168.41102</v>
      </c>
      <c r="DB309" s="524">
        <v>10623.599077057474</v>
      </c>
      <c r="DC309" s="520">
        <f t="shared" si="176"/>
        <v>-1</v>
      </c>
      <c r="DD309" s="440">
        <v>33533</v>
      </c>
      <c r="DE309" s="450">
        <v>94254020.111974791</v>
      </c>
      <c r="DF309" s="440">
        <v>50960912.319599137</v>
      </c>
      <c r="DG309" s="440">
        <v>7561771.8397000004</v>
      </c>
      <c r="DH309" s="440">
        <v>6409679.2182</v>
      </c>
      <c r="DI309" s="440">
        <v>27376060.485725213</v>
      </c>
      <c r="DJ309" s="440">
        <v>4352589.7738343459</v>
      </c>
      <c r="DK309" s="440">
        <v>-434704.46374581836</v>
      </c>
      <c r="DL309" s="440">
        <v>-3582915</v>
      </c>
      <c r="DM309" s="440">
        <v>303500</v>
      </c>
      <c r="DN309" s="440">
        <v>357092.53685994633</v>
      </c>
      <c r="DO309" s="457">
        <f t="shared" si="177"/>
        <v>-950033.40180195868</v>
      </c>
      <c r="DP309" s="459">
        <f t="shared" si="178"/>
        <v>-28.331297581545304</v>
      </c>
      <c r="DQ309" s="440"/>
      <c r="DR309" s="450">
        <v>200913917.72</v>
      </c>
      <c r="DS309" s="440">
        <v>128314178.00569591</v>
      </c>
      <c r="DT309" s="440">
        <v>9614518.8272999991</v>
      </c>
      <c r="DU309" s="440">
        <v>41901095.010995068</v>
      </c>
      <c r="DV309" s="440">
        <v>14516475.083544798</v>
      </c>
      <c r="DW309" s="440">
        <v>4282356.8397000004</v>
      </c>
      <c r="DX309" s="457">
        <f t="shared" si="179"/>
        <v>-2285293.9527642429</v>
      </c>
      <c r="DY309" s="459">
        <f t="shared" si="180"/>
        <v>-68.150596509833392</v>
      </c>
      <c r="DZ309" s="440"/>
      <c r="EA309" s="457">
        <f t="shared" si="181"/>
        <v>1335260.5509622842</v>
      </c>
      <c r="EB309" s="459">
        <f t="shared" si="182"/>
        <v>39.819298928288077</v>
      </c>
      <c r="ED309" s="457">
        <v>-1195571.6348365303</v>
      </c>
      <c r="EE309" s="458">
        <v>-736027.18388159573</v>
      </c>
      <c r="EF309" s="458">
        <v>-269538.44195169111</v>
      </c>
      <c r="EG309" s="458">
        <v>19819.82489162749</v>
      </c>
      <c r="EH309" s="459">
        <v>-12915.061432889095</v>
      </c>
    </row>
    <row r="310" spans="1:138" x14ac:dyDescent="0.2">
      <c r="A310" s="67">
        <v>981</v>
      </c>
      <c r="B310" s="67" t="s">
        <v>425</v>
      </c>
      <c r="C310" s="67">
        <v>5</v>
      </c>
      <c r="D310" s="67">
        <v>2237</v>
      </c>
      <c r="E310" s="82">
        <v>5768151.9041961543</v>
      </c>
      <c r="F310" s="67">
        <v>3534104.986799323</v>
      </c>
      <c r="G310" s="67">
        <v>619864</v>
      </c>
      <c r="H310" s="67">
        <v>244947.66862534013</v>
      </c>
      <c r="I310" s="67">
        <v>1060822.8268672123</v>
      </c>
      <c r="J310" s="67">
        <v>494952.95535434224</v>
      </c>
      <c r="K310" s="67">
        <v>678763.0131771462</v>
      </c>
      <c r="L310" s="67">
        <v>-529170</v>
      </c>
      <c r="M310" s="68">
        <v>13754.26</v>
      </c>
      <c r="N310" s="68">
        <v>20390.219473370456</v>
      </c>
      <c r="O310" s="68">
        <v>-65104.230669920107</v>
      </c>
      <c r="P310" s="168">
        <f t="shared" si="148"/>
        <v>305173.79543065955</v>
      </c>
      <c r="Q310" s="169">
        <f t="shared" si="149"/>
        <v>136.42100823900739</v>
      </c>
      <c r="R310" s="67"/>
      <c r="S310" s="82">
        <v>14097491.229999999</v>
      </c>
      <c r="T310" s="67">
        <v>7998182.1865675235</v>
      </c>
      <c r="U310" s="67">
        <v>368144.65521330811</v>
      </c>
      <c r="V310" s="67">
        <v>4651275.1013396792</v>
      </c>
      <c r="W310" s="67">
        <v>1650734.9916412393</v>
      </c>
      <c r="X310" s="67">
        <v>104448.26</v>
      </c>
      <c r="Y310" s="168">
        <f t="shared" si="150"/>
        <v>675293.96476175077</v>
      </c>
      <c r="Z310" s="169">
        <f t="shared" si="151"/>
        <v>301.87481661231595</v>
      </c>
      <c r="AA310" s="67"/>
      <c r="AB310" s="77">
        <f t="shared" si="152"/>
        <v>-370120.16933109122</v>
      </c>
      <c r="AC310" s="123">
        <f t="shared" si="153"/>
        <v>-165.45380837330856</v>
      </c>
      <c r="AE310" s="170"/>
      <c r="AF310" s="177">
        <v>339133.52943837008</v>
      </c>
      <c r="AG310" s="177">
        <v>299749.51905331906</v>
      </c>
      <c r="AH310" s="177">
        <v>262787.57227874896</v>
      </c>
      <c r="AI310" s="178">
        <v>225368.23044145116</v>
      </c>
      <c r="AK310" s="67">
        <f t="shared" si="154"/>
        <v>4464077.1997682005</v>
      </c>
      <c r="AL310" s="67">
        <f t="shared" si="155"/>
        <v>123196.98658796799</v>
      </c>
      <c r="AM310" s="67">
        <f t="shared" si="156"/>
        <v>3590452.2744724667</v>
      </c>
      <c r="AN310" s="67">
        <f t="shared" si="157"/>
        <v>8329339.3258038443</v>
      </c>
      <c r="AO310" s="67">
        <f t="shared" si="158"/>
        <v>0</v>
      </c>
      <c r="AP310" s="67">
        <f t="shared" si="159"/>
        <v>339133.52943837008</v>
      </c>
      <c r="AQ310" s="67">
        <f t="shared" si="160"/>
        <v>299749.51905331906</v>
      </c>
      <c r="AR310" s="67">
        <f t="shared" si="161"/>
        <v>262787.57227874896</v>
      </c>
      <c r="AS310" s="67">
        <f t="shared" si="162"/>
        <v>225368.23044145116</v>
      </c>
      <c r="AT310" s="68">
        <v>651</v>
      </c>
      <c r="AU310" s="68"/>
      <c r="AV310" s="68"/>
      <c r="AW310" s="68">
        <v>148</v>
      </c>
      <c r="AX310" s="68">
        <v>2822.5616452472482</v>
      </c>
      <c r="AY310" s="68">
        <v>-850.27913534556308</v>
      </c>
      <c r="AZ310" s="68">
        <v>1159.8933660612079</v>
      </c>
      <c r="BA310" s="299"/>
      <c r="BB310" s="67"/>
      <c r="BC310" s="67"/>
      <c r="BD310" s="67"/>
      <c r="BE310" s="67"/>
      <c r="BF310" s="67"/>
      <c r="BG310" s="67"/>
      <c r="BH310" s="67"/>
      <c r="BN310" s="299"/>
      <c r="BO310" s="67">
        <v>5717435.5999875311</v>
      </c>
      <c r="BP310" s="67">
        <v>7817930.1799999997</v>
      </c>
      <c r="BQ310" s="67">
        <v>8006000</v>
      </c>
      <c r="BR310" s="67">
        <v>130738.73000000001</v>
      </c>
      <c r="BS310" s="67">
        <v>157000</v>
      </c>
      <c r="BT310" s="428">
        <v>0.55813647346835327</v>
      </c>
      <c r="BU310" s="428">
        <v>0.33464287704132484</v>
      </c>
      <c r="BV310" s="67">
        <f t="shared" si="163"/>
        <v>5424997.3239365099</v>
      </c>
      <c r="BW310" s="299"/>
      <c r="BX310" s="67">
        <v>14204800</v>
      </c>
      <c r="BY310" s="67">
        <v>5717435.5999875311</v>
      </c>
      <c r="BZ310" s="67">
        <v>8688451.4248043671</v>
      </c>
      <c r="CA310" s="67">
        <v>4253788.5759893889</v>
      </c>
      <c r="CB310" s="67">
        <f t="shared" si="164"/>
        <v>455203.11124800652</v>
      </c>
      <c r="CC310" s="67">
        <f t="shared" si="165"/>
        <v>301.87481661231647</v>
      </c>
      <c r="CD310" s="67">
        <f t="shared" si="166"/>
        <v>65.587002311774825</v>
      </c>
      <c r="CE310" s="67">
        <f t="shared" si="167"/>
        <v>-236.28781430054164</v>
      </c>
      <c r="CF310" s="67">
        <f t="shared" si="168"/>
        <v>221.28781430054164</v>
      </c>
      <c r="CG310" s="67">
        <f t="shared" si="169"/>
        <v>206.28781430054164</v>
      </c>
      <c r="CH310" s="67">
        <f t="shared" si="170"/>
        <v>191.28781430054164</v>
      </c>
      <c r="CI310" s="67">
        <f t="shared" si="171"/>
        <v>176.28781430054164</v>
      </c>
      <c r="CJ310" s="67">
        <f t="shared" si="172"/>
        <v>495020.84059031162</v>
      </c>
      <c r="CK310" s="67">
        <f t="shared" si="173"/>
        <v>461465.84059031162</v>
      </c>
      <c r="CL310" s="67">
        <f t="shared" si="174"/>
        <v>427910.84059031162</v>
      </c>
      <c r="CM310" s="67">
        <f t="shared" si="175"/>
        <v>394355.84059031162</v>
      </c>
      <c r="CN310" s="299"/>
      <c r="CO310" s="430">
        <v>7998.1821865675238</v>
      </c>
      <c r="CP310" s="430">
        <v>368.14465521330811</v>
      </c>
      <c r="CQ310" s="430">
        <v>619.86400000000003</v>
      </c>
      <c r="CR310" s="430">
        <v>4651275.1013396792</v>
      </c>
      <c r="CS310" s="430">
        <v>1060822.8268672123</v>
      </c>
      <c r="CT310" s="430">
        <v>1650734.9916412393</v>
      </c>
      <c r="CU310" s="430">
        <v>494952.95535434224</v>
      </c>
      <c r="CV310" s="430">
        <v>-529170</v>
      </c>
      <c r="CW310" s="430">
        <v>20390.219473370456</v>
      </c>
      <c r="CX310" s="430">
        <v>13754.26</v>
      </c>
      <c r="CY310" s="430">
        <v>5768151.9041961543</v>
      </c>
      <c r="CZ310" s="519"/>
      <c r="DA310" s="524">
        <v>8162.5313200000001</v>
      </c>
      <c r="DB310" s="524">
        <v>365.26513929072405</v>
      </c>
      <c r="DC310" s="520">
        <f t="shared" si="176"/>
        <v>-1</v>
      </c>
      <c r="DD310" s="440">
        <v>2282</v>
      </c>
      <c r="DE310" s="450">
        <v>5717435.5999875311</v>
      </c>
      <c r="DF310" s="440">
        <v>3479123.5329893893</v>
      </c>
      <c r="DG310" s="440">
        <v>554284.19499999995</v>
      </c>
      <c r="DH310" s="440">
        <v>220380.848</v>
      </c>
      <c r="DI310" s="440">
        <v>1057193.142564232</v>
      </c>
      <c r="DJ310" s="440">
        <v>496713.59426232381</v>
      </c>
      <c r="DK310" s="440">
        <v>455638.53422491642</v>
      </c>
      <c r="DL310" s="440">
        <v>-529170</v>
      </c>
      <c r="DM310" s="440">
        <v>2600</v>
      </c>
      <c r="DN310" s="440">
        <v>19657.674432622458</v>
      </c>
      <c r="DO310" s="457">
        <f t="shared" si="177"/>
        <v>38985.921485953033</v>
      </c>
      <c r="DP310" s="459">
        <f t="shared" si="178"/>
        <v>17.084102316368551</v>
      </c>
      <c r="DQ310" s="440"/>
      <c r="DR310" s="450">
        <v>14204800</v>
      </c>
      <c r="DS310" s="440">
        <v>7803595.9578043679</v>
      </c>
      <c r="DT310" s="440">
        <v>330571.272</v>
      </c>
      <c r="DU310" s="440">
        <v>4647657.8413396757</v>
      </c>
      <c r="DV310" s="440">
        <v>1656606.9603235316</v>
      </c>
      <c r="DW310" s="440">
        <v>27714.194999999949</v>
      </c>
      <c r="DX310" s="457">
        <f t="shared" si="179"/>
        <v>261346.22646757588</v>
      </c>
      <c r="DY310" s="459">
        <f t="shared" si="180"/>
        <v>114.52507733022607</v>
      </c>
      <c r="DZ310" s="440"/>
      <c r="EA310" s="457">
        <f t="shared" si="181"/>
        <v>-222360.30498162284</v>
      </c>
      <c r="EB310" s="459">
        <f t="shared" si="182"/>
        <v>-97.440975013857511</v>
      </c>
      <c r="ED310" s="457">
        <v>231866.46627345087</v>
      </c>
      <c r="EE310" s="458">
        <v>194679.5535927829</v>
      </c>
      <c r="EF310" s="458">
        <v>157965.21634541589</v>
      </c>
      <c r="EG310" s="458">
        <v>121019.09096565931</v>
      </c>
      <c r="EH310" s="459">
        <v>84561.404489872861</v>
      </c>
    </row>
    <row r="311" spans="1:138" x14ac:dyDescent="0.2">
      <c r="A311" s="67">
        <v>989</v>
      </c>
      <c r="B311" s="67" t="s">
        <v>426</v>
      </c>
      <c r="C311" s="67">
        <v>14</v>
      </c>
      <c r="D311" s="67">
        <v>5406</v>
      </c>
      <c r="E311" s="82">
        <v>14276802.932156321</v>
      </c>
      <c r="F311" s="67">
        <v>8331258.913376756</v>
      </c>
      <c r="G311" s="67">
        <v>2115060</v>
      </c>
      <c r="H311" s="67">
        <v>1452784.7461150349</v>
      </c>
      <c r="I311" s="67">
        <v>2879798.8735975153</v>
      </c>
      <c r="J311" s="67">
        <v>1132554.4509556792</v>
      </c>
      <c r="K311" s="67">
        <v>-1011862.9011862727</v>
      </c>
      <c r="L311" s="67">
        <v>-474048</v>
      </c>
      <c r="M311" s="68">
        <v>612359.89</v>
      </c>
      <c r="N311" s="68">
        <v>47704.275703091582</v>
      </c>
      <c r="O311" s="68">
        <v>-157332.79883843902</v>
      </c>
      <c r="P311" s="168">
        <f t="shared" si="148"/>
        <v>651474.51756704354</v>
      </c>
      <c r="Q311" s="169">
        <f t="shared" si="149"/>
        <v>120.50952970163587</v>
      </c>
      <c r="R311" s="67"/>
      <c r="S311" s="82">
        <v>43260179.369999997</v>
      </c>
      <c r="T311" s="67">
        <v>18332810.82798807</v>
      </c>
      <c r="U311" s="67">
        <v>2183466.1356819444</v>
      </c>
      <c r="V311" s="67">
        <v>16722187.228423882</v>
      </c>
      <c r="W311" s="67">
        <v>3777222.1418359703</v>
      </c>
      <c r="X311" s="67">
        <v>2253371.89</v>
      </c>
      <c r="Y311" s="168">
        <f t="shared" si="150"/>
        <v>8878.8539298698306</v>
      </c>
      <c r="Z311" s="169">
        <f t="shared" si="151"/>
        <v>1.6424073122215743</v>
      </c>
      <c r="AA311" s="67"/>
      <c r="AB311" s="77">
        <f t="shared" si="152"/>
        <v>642595.66363717371</v>
      </c>
      <c r="AC311" s="123">
        <f t="shared" si="153"/>
        <v>118.86712238941431</v>
      </c>
      <c r="AE311" s="170"/>
      <c r="AF311" s="177">
        <v>-555298.88905517431</v>
      </c>
      <c r="AG311" s="177">
        <v>-488295.44700849842</v>
      </c>
      <c r="AH311" s="177">
        <v>-415438.77479720011</v>
      </c>
      <c r="AI311" s="178">
        <v>-343687.45694848843</v>
      </c>
      <c r="AK311" s="67">
        <f t="shared" si="154"/>
        <v>10001551.914611313</v>
      </c>
      <c r="AL311" s="67">
        <f t="shared" si="155"/>
        <v>730681.38956690952</v>
      </c>
      <c r="AM311" s="67">
        <f t="shared" si="156"/>
        <v>13842388.354826367</v>
      </c>
      <c r="AN311" s="67">
        <f t="shared" si="157"/>
        <v>28983376.437843677</v>
      </c>
      <c r="AO311" s="67">
        <f t="shared" si="158"/>
        <v>0</v>
      </c>
      <c r="AP311" s="67">
        <f t="shared" si="159"/>
        <v>-555298.88905517431</v>
      </c>
      <c r="AQ311" s="67">
        <f t="shared" si="160"/>
        <v>-488295.44700849842</v>
      </c>
      <c r="AR311" s="67">
        <f t="shared" si="161"/>
        <v>-415438.77479720011</v>
      </c>
      <c r="AS311" s="67">
        <f t="shared" si="162"/>
        <v>-343687.45694848843</v>
      </c>
      <c r="AT311" s="68">
        <v>2719</v>
      </c>
      <c r="AU311" s="68"/>
      <c r="AV311" s="68"/>
      <c r="AW311" s="68">
        <v>0</v>
      </c>
      <c r="AX311" s="68">
        <v>11692.179339540484</v>
      </c>
      <c r="AY311" s="68">
        <v>-2118.2294114655529</v>
      </c>
      <c r="AZ311" s="68">
        <v>2653.7541365008406</v>
      </c>
      <c r="BA311" s="299"/>
      <c r="BB311" s="67"/>
      <c r="BC311" s="67"/>
      <c r="BD311" s="67"/>
      <c r="BE311" s="67"/>
      <c r="BF311" s="67"/>
      <c r="BG311" s="67"/>
      <c r="BH311" s="67"/>
      <c r="BN311" s="299"/>
      <c r="BO311" s="67">
        <v>13380604.664700221</v>
      </c>
      <c r="BP311" s="67">
        <v>27342237.899999999</v>
      </c>
      <c r="BQ311" s="67">
        <v>27582000</v>
      </c>
      <c r="BR311" s="67">
        <v>558733.03</v>
      </c>
      <c r="BS311" s="67">
        <v>580000</v>
      </c>
      <c r="BT311" s="428">
        <v>0.54555474381169577</v>
      </c>
      <c r="BU311" s="428">
        <v>0.33464287704132478</v>
      </c>
      <c r="BV311" s="67">
        <f t="shared" si="163"/>
        <v>15475193.144520383</v>
      </c>
      <c r="BW311" s="299"/>
      <c r="BX311" s="67">
        <v>41984300</v>
      </c>
      <c r="BY311" s="67">
        <v>13380604.664700221</v>
      </c>
      <c r="BZ311" s="67">
        <v>22768954.195167944</v>
      </c>
      <c r="CA311" s="67">
        <v>12006630.48361437</v>
      </c>
      <c r="CB311" s="67">
        <f t="shared" si="164"/>
        <v>-856355.04513248126</v>
      </c>
      <c r="CC311" s="67">
        <f t="shared" si="165"/>
        <v>1.6424073122217466</v>
      </c>
      <c r="CD311" s="67">
        <f t="shared" si="166"/>
        <v>178.37868524958841</v>
      </c>
      <c r="CE311" s="67">
        <f t="shared" si="167"/>
        <v>176.73627793736668</v>
      </c>
      <c r="CF311" s="67">
        <f t="shared" si="168"/>
        <v>-161.73627793736668</v>
      </c>
      <c r="CG311" s="67">
        <f t="shared" si="169"/>
        <v>-146.73627793736668</v>
      </c>
      <c r="CH311" s="67">
        <f t="shared" si="170"/>
        <v>-131.73627793736668</v>
      </c>
      <c r="CI311" s="67">
        <f t="shared" si="171"/>
        <v>-116.73627793736668</v>
      </c>
      <c r="CJ311" s="67">
        <f t="shared" si="172"/>
        <v>-874346.31852940423</v>
      </c>
      <c r="CK311" s="67">
        <f t="shared" si="173"/>
        <v>-793256.31852940423</v>
      </c>
      <c r="CL311" s="67">
        <f t="shared" si="174"/>
        <v>-712166.31852940423</v>
      </c>
      <c r="CM311" s="67">
        <f t="shared" si="175"/>
        <v>-631076.31852940423</v>
      </c>
      <c r="CN311" s="299"/>
      <c r="CO311" s="430">
        <v>18332.810827988069</v>
      </c>
      <c r="CP311" s="430">
        <v>2183.4661356819443</v>
      </c>
      <c r="CQ311" s="430">
        <v>2115.06</v>
      </c>
      <c r="CR311" s="430">
        <v>16722187.228423882</v>
      </c>
      <c r="CS311" s="430">
        <v>2879798.8735975153</v>
      </c>
      <c r="CT311" s="430">
        <v>3777222.1418359703</v>
      </c>
      <c r="CU311" s="430">
        <v>1132554.4509556792</v>
      </c>
      <c r="CV311" s="430">
        <v>-474048</v>
      </c>
      <c r="CW311" s="430">
        <v>47704.275703091582</v>
      </c>
      <c r="CX311" s="430">
        <v>612359.89</v>
      </c>
      <c r="CY311" s="430">
        <v>14276802.932156321</v>
      </c>
      <c r="CZ311" s="519"/>
      <c r="DA311" s="524">
        <v>18380.605769999998</v>
      </c>
      <c r="DB311" s="524">
        <v>2166.3916289257731</v>
      </c>
      <c r="DC311" s="520">
        <f t="shared" si="176"/>
        <v>-1</v>
      </c>
      <c r="DD311" s="440">
        <v>5484</v>
      </c>
      <c r="DE311" s="450">
        <v>13380604.664700221</v>
      </c>
      <c r="DF311" s="440">
        <v>8575959.3970143702</v>
      </c>
      <c r="DG311" s="440">
        <v>2123592.1659999997</v>
      </c>
      <c r="DH311" s="440">
        <v>1307078.9206000001</v>
      </c>
      <c r="DI311" s="440">
        <v>2871127.9170205249</v>
      </c>
      <c r="DJ311" s="440">
        <v>1136445.637158927</v>
      </c>
      <c r="DK311" s="440">
        <v>-856359.96821526811</v>
      </c>
      <c r="DL311" s="440">
        <v>-386114</v>
      </c>
      <c r="DM311" s="440">
        <v>489000</v>
      </c>
      <c r="DN311" s="440">
        <v>47706.502810410115</v>
      </c>
      <c r="DO311" s="457">
        <f t="shared" si="177"/>
        <v>1927831.9076887425</v>
      </c>
      <c r="DP311" s="459">
        <f t="shared" si="178"/>
        <v>351.53754698919448</v>
      </c>
      <c r="DQ311" s="440"/>
      <c r="DR311" s="450">
        <v>41984300</v>
      </c>
      <c r="DS311" s="440">
        <v>18684743.648267943</v>
      </c>
      <c r="DT311" s="440">
        <v>1960618.3809</v>
      </c>
      <c r="DU311" s="440">
        <v>16713543.558423888</v>
      </c>
      <c r="DV311" s="440">
        <v>3790199.7736597676</v>
      </c>
      <c r="DW311" s="440">
        <v>2226478.1659999997</v>
      </c>
      <c r="DX311" s="457">
        <f t="shared" si="179"/>
        <v>1391283.5272516012</v>
      </c>
      <c r="DY311" s="459">
        <f t="shared" si="180"/>
        <v>253.69867382414319</v>
      </c>
      <c r="DZ311" s="440"/>
      <c r="EA311" s="457">
        <f t="shared" si="181"/>
        <v>536548.38043714128</v>
      </c>
      <c r="EB311" s="459">
        <f t="shared" si="182"/>
        <v>97.838873165051297</v>
      </c>
      <c r="ED311" s="457">
        <v>-513703.60018982855</v>
      </c>
      <c r="EE311" s="458">
        <v>-438549.52005870809</v>
      </c>
      <c r="EF311" s="458">
        <v>-362259.76785211771</v>
      </c>
      <c r="EG311" s="458">
        <v>-286527.03848427592</v>
      </c>
      <c r="EH311" s="459">
        <v>-209620.51466009227</v>
      </c>
    </row>
    <row r="312" spans="1:138" x14ac:dyDescent="0.2">
      <c r="A312" s="67">
        <v>992</v>
      </c>
      <c r="B312" s="67" t="s">
        <v>427</v>
      </c>
      <c r="C312" s="67">
        <v>13</v>
      </c>
      <c r="D312" s="67">
        <v>18120</v>
      </c>
      <c r="E312" s="82">
        <v>58248157.144114614</v>
      </c>
      <c r="F312" s="67">
        <v>27176245.321834341</v>
      </c>
      <c r="G312" s="67">
        <v>5643119</v>
      </c>
      <c r="H312" s="67">
        <v>5018740.3957618456</v>
      </c>
      <c r="I312" s="67">
        <v>7127413.1408729665</v>
      </c>
      <c r="J312" s="67">
        <v>2999709.2819272261</v>
      </c>
      <c r="K312" s="67">
        <v>389236.68391985167</v>
      </c>
      <c r="L312" s="67">
        <v>-837101</v>
      </c>
      <c r="M312" s="68">
        <v>428238.29</v>
      </c>
      <c r="N312" s="68">
        <v>176113.5079592586</v>
      </c>
      <c r="O312" s="68">
        <v>-527352.99943627731</v>
      </c>
      <c r="P312" s="168">
        <f t="shared" si="148"/>
        <v>-10653795.521275405</v>
      </c>
      <c r="Q312" s="169">
        <f t="shared" si="149"/>
        <v>-587.95781022491201</v>
      </c>
      <c r="R312" s="67"/>
      <c r="S312" s="82">
        <v>139588874.94</v>
      </c>
      <c r="T312" s="67">
        <v>64273061.532843165</v>
      </c>
      <c r="U312" s="67">
        <v>7542927.2830878766</v>
      </c>
      <c r="V312" s="67">
        <v>43171683.03252621</v>
      </c>
      <c r="W312" s="67">
        <v>10004435.821346484</v>
      </c>
      <c r="X312" s="67">
        <v>5234256.29</v>
      </c>
      <c r="Y312" s="168">
        <f t="shared" si="150"/>
        <v>-9362510.9801962674</v>
      </c>
      <c r="Z312" s="169">
        <f t="shared" si="151"/>
        <v>-516.6948664567476</v>
      </c>
      <c r="AA312" s="67"/>
      <c r="AB312" s="77">
        <f t="shared" si="152"/>
        <v>-1291284.5410791375</v>
      </c>
      <c r="AC312" s="123">
        <f t="shared" si="153"/>
        <v>-71.26294376816432</v>
      </c>
      <c r="AE312" s="170"/>
      <c r="AF312" s="177">
        <v>1040288.6023861776</v>
      </c>
      <c r="AG312" s="177">
        <v>721272.83654928661</v>
      </c>
      <c r="AH312" s="177">
        <v>421876.11077583593</v>
      </c>
      <c r="AI312" s="178">
        <v>118774.4236538705</v>
      </c>
      <c r="AK312" s="67">
        <f t="shared" si="154"/>
        <v>37096816.211008824</v>
      </c>
      <c r="AL312" s="67">
        <f t="shared" si="155"/>
        <v>2524186.887326031</v>
      </c>
      <c r="AM312" s="67">
        <f t="shared" si="156"/>
        <v>36044269.89165324</v>
      </c>
      <c r="AN312" s="67">
        <f t="shared" si="157"/>
        <v>81340717.795885384</v>
      </c>
      <c r="AO312" s="67">
        <f t="shared" si="158"/>
        <v>0</v>
      </c>
      <c r="AP312" s="67">
        <f t="shared" si="159"/>
        <v>1040288.6023861776</v>
      </c>
      <c r="AQ312" s="67">
        <f t="shared" si="160"/>
        <v>721272.83654928661</v>
      </c>
      <c r="AR312" s="67">
        <f t="shared" si="161"/>
        <v>421876.11077583593</v>
      </c>
      <c r="AS312" s="67">
        <f t="shared" si="162"/>
        <v>118774.4236538705</v>
      </c>
      <c r="AT312" s="68">
        <v>8954</v>
      </c>
      <c r="AU312" s="68"/>
      <c r="AV312" s="68"/>
      <c r="AW312" s="68">
        <v>9</v>
      </c>
      <c r="AX312" s="68">
        <v>31853.376081287719</v>
      </c>
      <c r="AY312" s="68">
        <v>-3159.1003918996598</v>
      </c>
      <c r="AZ312" s="68">
        <v>7027.2314305414257</v>
      </c>
      <c r="BA312" s="299"/>
      <c r="BB312" s="67"/>
      <c r="BC312" s="67"/>
      <c r="BD312" s="67"/>
      <c r="BE312" s="67"/>
      <c r="BF312" s="67"/>
      <c r="BG312" s="67"/>
      <c r="BH312" s="67"/>
      <c r="BN312" s="299"/>
      <c r="BO312" s="67">
        <v>55330381.301385507</v>
      </c>
      <c r="BP312" s="67">
        <v>74483651.570000008</v>
      </c>
      <c r="BQ312" s="67">
        <v>79419000</v>
      </c>
      <c r="BR312" s="67">
        <v>1694255.04</v>
      </c>
      <c r="BS312" s="67">
        <v>1741000</v>
      </c>
      <c r="BT312" s="428">
        <v>0.57717518547101676</v>
      </c>
      <c r="BU312" s="428">
        <v>0.33464287704132489</v>
      </c>
      <c r="BV312" s="67">
        <f t="shared" si="163"/>
        <v>43438233.114992358</v>
      </c>
      <c r="BW312" s="299"/>
      <c r="BX312" s="67">
        <v>131254887</v>
      </c>
      <c r="BY312" s="67">
        <v>55330381.301385507</v>
      </c>
      <c r="BZ312" s="67">
        <v>78033891.95296602</v>
      </c>
      <c r="CA312" s="67">
        <v>38190799.640968703</v>
      </c>
      <c r="CB312" s="67">
        <f t="shared" si="164"/>
        <v>3464591.7812290136</v>
      </c>
      <c r="CC312" s="67">
        <f t="shared" si="165"/>
        <v>-516.69486645674681</v>
      </c>
      <c r="CD312" s="67">
        <f t="shared" si="166"/>
        <v>-389.13286007339735</v>
      </c>
      <c r="CE312" s="67">
        <f t="shared" si="167"/>
        <v>127.56200638334946</v>
      </c>
      <c r="CF312" s="67">
        <f t="shared" si="168"/>
        <v>-112.56200638334946</v>
      </c>
      <c r="CG312" s="67">
        <f t="shared" si="169"/>
        <v>-97.562006383349456</v>
      </c>
      <c r="CH312" s="67">
        <f t="shared" si="170"/>
        <v>-82.562006383349456</v>
      </c>
      <c r="CI312" s="67">
        <f t="shared" si="171"/>
        <v>-67.562006383349456</v>
      </c>
      <c r="CJ312" s="67">
        <f t="shared" si="172"/>
        <v>-2039623.5556662921</v>
      </c>
      <c r="CK312" s="67">
        <f t="shared" si="173"/>
        <v>-1767823.5556662921</v>
      </c>
      <c r="CL312" s="67">
        <f t="shared" si="174"/>
        <v>-1496023.5556662921</v>
      </c>
      <c r="CM312" s="67">
        <f t="shared" si="175"/>
        <v>-1224223.5556662921</v>
      </c>
      <c r="CN312" s="299"/>
      <c r="CO312" s="430">
        <v>64273.061532843167</v>
      </c>
      <c r="CP312" s="430">
        <v>7542.9272830878763</v>
      </c>
      <c r="CQ312" s="430">
        <v>5643.1189999999997</v>
      </c>
      <c r="CR312" s="430">
        <v>43171683.03252621</v>
      </c>
      <c r="CS312" s="430">
        <v>7127413.1408729665</v>
      </c>
      <c r="CT312" s="430">
        <v>10004435.821346484</v>
      </c>
      <c r="CU312" s="430">
        <v>2999709.2819272261</v>
      </c>
      <c r="CV312" s="430">
        <v>-837101</v>
      </c>
      <c r="CW312" s="430">
        <v>176113.5079592586</v>
      </c>
      <c r="CX312" s="430">
        <v>428238.29</v>
      </c>
      <c r="CY312" s="430">
        <v>58248157.144114614</v>
      </c>
      <c r="CZ312" s="519"/>
      <c r="DA312" s="524">
        <v>64872.331200000001</v>
      </c>
      <c r="DB312" s="524">
        <v>7483.9382884567658</v>
      </c>
      <c r="DC312" s="520">
        <f t="shared" si="176"/>
        <v>-1</v>
      </c>
      <c r="DD312" s="440">
        <v>18318</v>
      </c>
      <c r="DE312" s="450">
        <v>55330381.301385507</v>
      </c>
      <c r="DF312" s="440">
        <v>27984228.714568701</v>
      </c>
      <c r="DG312" s="440">
        <v>5691180.8820000002</v>
      </c>
      <c r="DH312" s="440">
        <v>4515390.0444</v>
      </c>
      <c r="DI312" s="440">
        <v>7098191.6527438089</v>
      </c>
      <c r="DJ312" s="440">
        <v>3009346.7931716815</v>
      </c>
      <c r="DK312" s="440">
        <v>3464287.3897799039</v>
      </c>
      <c r="DL312" s="440">
        <v>-844774</v>
      </c>
      <c r="DM312" s="440">
        <v>1170000</v>
      </c>
      <c r="DN312" s="440">
        <v>176613.77285253091</v>
      </c>
      <c r="DO312" s="457">
        <f t="shared" si="177"/>
        <v>-3065916.0518688858</v>
      </c>
      <c r="DP312" s="459">
        <f t="shared" si="178"/>
        <v>-167.3717683081606</v>
      </c>
      <c r="DQ312" s="440"/>
      <c r="DR312" s="450">
        <v>131254887</v>
      </c>
      <c r="DS312" s="440">
        <v>65569626.004366018</v>
      </c>
      <c r="DT312" s="440">
        <v>6773085.0666000005</v>
      </c>
      <c r="DU312" s="440">
        <v>43142538.09252622</v>
      </c>
      <c r="DV312" s="440">
        <v>10036578.223713107</v>
      </c>
      <c r="DW312" s="440">
        <v>6016406.8820000002</v>
      </c>
      <c r="DX312" s="457">
        <f t="shared" si="179"/>
        <v>283347.2692053467</v>
      </c>
      <c r="DY312" s="459">
        <f t="shared" si="180"/>
        <v>15.468242668705464</v>
      </c>
      <c r="DZ312" s="440"/>
      <c r="EA312" s="457">
        <f t="shared" si="181"/>
        <v>-3349263.3210742325</v>
      </c>
      <c r="EB312" s="459">
        <f t="shared" si="182"/>
        <v>-182.84001097686607</v>
      </c>
      <c r="ED312" s="457">
        <v>3425570.8857296468</v>
      </c>
      <c r="EE312" s="458">
        <v>3127065.2474805336</v>
      </c>
      <c r="EF312" s="458">
        <v>2832353.0521705998</v>
      </c>
      <c r="EG312" s="458">
        <v>2535780.2543150429</v>
      </c>
      <c r="EH312" s="459">
        <v>2243128.2381610302</v>
      </c>
    </row>
    <row r="313" spans="1:138" x14ac:dyDescent="0.2">
      <c r="D313" s="67"/>
      <c r="E313" s="82"/>
      <c r="F313" s="67"/>
      <c r="G313" s="67"/>
      <c r="H313" s="67"/>
      <c r="I313" s="67"/>
      <c r="J313" s="67"/>
      <c r="K313" s="67"/>
      <c r="L313" s="67"/>
      <c r="M313" s="68"/>
      <c r="N313" s="68"/>
      <c r="O313" s="68"/>
      <c r="P313" s="168"/>
      <c r="Q313" s="169"/>
      <c r="R313" s="67"/>
      <c r="S313" s="82"/>
      <c r="T313" s="67"/>
      <c r="U313" s="67"/>
      <c r="V313" s="67"/>
      <c r="W313" s="67"/>
      <c r="X313" s="67"/>
      <c r="Y313" s="168"/>
      <c r="Z313" s="169"/>
      <c r="AA313" s="67"/>
      <c r="AB313" s="77"/>
      <c r="AC313" s="123"/>
      <c r="AE313" s="170"/>
      <c r="AF313" s="177"/>
      <c r="AG313" s="177"/>
      <c r="AH313" s="177"/>
      <c r="AI313" s="178"/>
      <c r="AK313" s="67"/>
      <c r="AL313" s="67"/>
      <c r="AM313" s="67"/>
      <c r="AN313" s="67"/>
      <c r="AO313" s="67"/>
      <c r="AP313" s="67"/>
      <c r="AQ313" s="67"/>
      <c r="AR313" s="67"/>
      <c r="AS313" s="67"/>
      <c r="AT313" s="68"/>
      <c r="AU313" s="120"/>
      <c r="AV313" s="120"/>
      <c r="AW313" s="120"/>
      <c r="AX313" s="120"/>
      <c r="AY313" s="120"/>
      <c r="AZ313" s="67"/>
      <c r="BA313" s="299"/>
      <c r="BB313" s="67"/>
      <c r="BC313" s="67"/>
      <c r="BD313" s="67"/>
      <c r="BE313" s="67"/>
      <c r="BF313" s="67"/>
      <c r="BG313" s="67"/>
      <c r="BH313" s="67"/>
      <c r="BN313" s="299"/>
      <c r="BO313" s="67"/>
      <c r="BP313" s="67"/>
      <c r="BQ313" s="67"/>
      <c r="BR313" s="67"/>
      <c r="BS313" s="67"/>
      <c r="BT313" s="67"/>
      <c r="BU313" s="67"/>
      <c r="BV313" s="67"/>
      <c r="BW313" s="299"/>
      <c r="BX313" s="67"/>
      <c r="BY313" s="67"/>
      <c r="BZ313" s="67"/>
      <c r="CA313" s="67"/>
      <c r="CB313" s="67"/>
      <c r="CC313" s="67"/>
      <c r="CD313" s="67"/>
      <c r="CE313" s="67"/>
      <c r="CF313" s="67"/>
      <c r="CG313" s="67"/>
      <c r="CH313" s="67"/>
      <c r="CI313" s="67"/>
      <c r="CJ313" s="67"/>
      <c r="CN313" s="299"/>
      <c r="CZ313" s="518"/>
      <c r="DD313" s="440"/>
      <c r="DE313" s="450"/>
      <c r="DF313" s="440"/>
      <c r="DG313" s="440"/>
      <c r="DH313" s="440"/>
      <c r="DI313" s="440"/>
      <c r="DJ313" s="440"/>
      <c r="DK313" s="440"/>
      <c r="DL313" s="440"/>
      <c r="DM313" s="440"/>
      <c r="DN313" s="440"/>
      <c r="DO313" s="457"/>
      <c r="DP313" s="459"/>
      <c r="DQ313" s="440"/>
      <c r="DR313" s="450"/>
      <c r="DS313" s="440"/>
      <c r="DT313" s="440"/>
      <c r="DU313" s="440"/>
      <c r="DV313" s="440"/>
      <c r="DW313" s="440"/>
      <c r="DX313" s="457"/>
      <c r="DY313" s="459"/>
      <c r="DZ313" s="440"/>
      <c r="EA313" s="457"/>
      <c r="EB313" s="459"/>
      <c r="ED313" s="457"/>
      <c r="EE313" s="458"/>
      <c r="EF313" s="458"/>
      <c r="EG313" s="458"/>
      <c r="EH313" s="459"/>
    </row>
    <row r="314" spans="1:138" x14ac:dyDescent="0.2">
      <c r="AT314" s="3"/>
      <c r="BO314" s="67"/>
      <c r="BP314" s="67"/>
      <c r="BQ314" s="67"/>
      <c r="BR314" s="67"/>
      <c r="BS314" s="67"/>
      <c r="BT314" s="67"/>
      <c r="BU314" s="67"/>
      <c r="BV314" s="67"/>
      <c r="BW314" s="299"/>
      <c r="BX314" s="67"/>
      <c r="BY314" s="67"/>
      <c r="BZ314" s="67"/>
      <c r="CA314" s="67"/>
      <c r="CB314" s="67"/>
      <c r="CC314" s="67"/>
      <c r="CD314" s="67"/>
      <c r="CE314" s="67"/>
      <c r="CF314" s="67"/>
      <c r="CG314" s="67"/>
      <c r="CH314" s="67"/>
      <c r="CI314" s="67"/>
      <c r="CJ314" s="67"/>
      <c r="CN314" s="299"/>
      <c r="CZ314" s="518"/>
    </row>
    <row r="315" spans="1:138" x14ac:dyDescent="0.2">
      <c r="AT315" s="3"/>
      <c r="BO315" s="67"/>
      <c r="BP315" s="67"/>
      <c r="BQ315" s="67"/>
      <c r="BR315" s="67"/>
      <c r="BS315" s="67"/>
      <c r="BT315" s="67"/>
      <c r="BU315" s="67"/>
      <c r="BV315" s="67"/>
      <c r="BW315" s="299"/>
      <c r="BX315" s="67"/>
      <c r="BY315" s="67"/>
      <c r="BZ315" s="67"/>
      <c r="CA315" s="67"/>
      <c r="CB315" s="67"/>
      <c r="CC315" s="67"/>
      <c r="CD315" s="67"/>
      <c r="CE315" s="67"/>
      <c r="CF315" s="67"/>
      <c r="CG315" s="67"/>
      <c r="CH315" s="67"/>
      <c r="CI315" s="67"/>
      <c r="CJ315" s="67"/>
      <c r="CN315" s="299"/>
      <c r="CZ315" s="518"/>
    </row>
    <row r="316" spans="1:138" x14ac:dyDescent="0.2">
      <c r="AT316" s="3"/>
      <c r="BO316" s="67"/>
      <c r="BP316" s="67"/>
      <c r="BQ316" s="67"/>
      <c r="BR316" s="67"/>
      <c r="BS316" s="67"/>
      <c r="BT316" s="67"/>
      <c r="BU316" s="67"/>
      <c r="BV316" s="67"/>
      <c r="BW316" s="299"/>
      <c r="BX316" s="67"/>
      <c r="BY316" s="67"/>
      <c r="BZ316" s="67"/>
      <c r="CA316" s="67"/>
      <c r="CB316" s="67"/>
      <c r="CC316" s="67"/>
      <c r="CD316" s="67"/>
      <c r="CE316" s="67"/>
      <c r="CF316" s="67"/>
      <c r="CG316" s="67"/>
      <c r="CH316" s="67"/>
      <c r="CI316" s="67"/>
      <c r="CJ316" s="67"/>
      <c r="CN316" s="299"/>
      <c r="CZ316" s="518"/>
    </row>
    <row r="317" spans="1:138" x14ac:dyDescent="0.2">
      <c r="AT317" s="3"/>
      <c r="CZ317" s="518"/>
    </row>
    <row r="318" spans="1:138" x14ac:dyDescent="0.2">
      <c r="AT318" s="3"/>
      <c r="CZ318" s="518"/>
    </row>
    <row r="319" spans="1:138" x14ac:dyDescent="0.2">
      <c r="AT319" s="3"/>
      <c r="CZ319" s="518"/>
    </row>
    <row r="320" spans="1:138" x14ac:dyDescent="0.2">
      <c r="AT320" s="3"/>
      <c r="CZ320" s="518"/>
    </row>
    <row r="321" spans="46:104" x14ac:dyDescent="0.2">
      <c r="AT321" s="3"/>
      <c r="CZ321" s="518"/>
    </row>
    <row r="322" spans="46:104" x14ac:dyDescent="0.2">
      <c r="AT322" s="3"/>
      <c r="CZ322" s="518"/>
    </row>
    <row r="323" spans="46:104" x14ac:dyDescent="0.2">
      <c r="AT323" s="3"/>
      <c r="CZ323" s="518"/>
    </row>
    <row r="324" spans="46:104" x14ac:dyDescent="0.2">
      <c r="AT324" s="3"/>
      <c r="CZ324" s="518"/>
    </row>
    <row r="325" spans="46:104" x14ac:dyDescent="0.2">
      <c r="AT325" s="3"/>
      <c r="CZ325" s="518"/>
    </row>
    <row r="326" spans="46:104" x14ac:dyDescent="0.2">
      <c r="AT326" s="3"/>
      <c r="CZ326" s="518"/>
    </row>
    <row r="327" spans="46:104" x14ac:dyDescent="0.2">
      <c r="AT327" s="3"/>
      <c r="CZ327" s="518"/>
    </row>
    <row r="328" spans="46:104" x14ac:dyDescent="0.2">
      <c r="AT328" s="3"/>
      <c r="CZ328" s="518"/>
    </row>
  </sheetData>
  <sortState xmlns:xlrd2="http://schemas.microsoft.com/office/spreadsheetml/2017/richdata2" ref="A20:EH312">
    <sortCondition ref="B20:B312"/>
  </sortState>
  <pageMargins left="0.7" right="0.7" top="0.75" bottom="0.75" header="0.3" footer="0.3"/>
  <pageSetup paperSize="9" orientation="portrait" r:id="rId1"/>
  <ignoredErrors>
    <ignoredError sqref="BV8" numberStoredAsText="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10"/>
  <dimension ref="A1:Z299"/>
  <sheetViews>
    <sheetView workbookViewId="0">
      <selection activeCell="J24" sqref="J24"/>
    </sheetView>
  </sheetViews>
  <sheetFormatPr defaultRowHeight="12.75" x14ac:dyDescent="0.2"/>
  <cols>
    <col min="1" max="1" width="13.7109375" customWidth="1"/>
    <col min="2" max="2" width="14.28515625" customWidth="1"/>
    <col min="3" max="3" width="15.140625" customWidth="1"/>
    <col min="4" max="4" width="14.140625" customWidth="1"/>
    <col min="5" max="5" width="14" customWidth="1"/>
    <col min="6" max="6" width="14.28515625" customWidth="1"/>
    <col min="7" max="7" width="4" customWidth="1"/>
  </cols>
  <sheetData>
    <row r="1" spans="1:26" x14ac:dyDescent="0.2">
      <c r="A1" s="3" t="s">
        <v>580</v>
      </c>
    </row>
    <row r="2" spans="1:26" x14ac:dyDescent="0.2">
      <c r="A2" s="130">
        <v>1</v>
      </c>
      <c r="B2" s="130">
        <v>2</v>
      </c>
      <c r="C2" s="130">
        <v>3</v>
      </c>
      <c r="D2" s="130">
        <v>4</v>
      </c>
      <c r="E2" s="130">
        <v>5</v>
      </c>
      <c r="F2" s="130">
        <v>6</v>
      </c>
      <c r="G2" s="130">
        <v>7</v>
      </c>
      <c r="H2" s="130">
        <v>8</v>
      </c>
      <c r="I2" s="130">
        <v>9</v>
      </c>
      <c r="J2" s="130">
        <v>10</v>
      </c>
      <c r="K2" s="130">
        <v>11</v>
      </c>
      <c r="L2" s="130">
        <v>12</v>
      </c>
      <c r="M2" s="130">
        <v>13</v>
      </c>
      <c r="N2" s="130">
        <v>14</v>
      </c>
      <c r="O2" s="130">
        <v>15</v>
      </c>
      <c r="P2" s="130">
        <v>16</v>
      </c>
      <c r="Q2" s="130">
        <v>17</v>
      </c>
      <c r="R2" s="130">
        <v>18</v>
      </c>
      <c r="S2" s="130">
        <v>19</v>
      </c>
      <c r="T2" s="130">
        <v>20</v>
      </c>
      <c r="U2" s="130">
        <v>21</v>
      </c>
      <c r="V2" s="130">
        <v>22</v>
      </c>
      <c r="W2" s="130">
        <v>23</v>
      </c>
      <c r="X2" s="130">
        <v>24</v>
      </c>
      <c r="Y2" s="130">
        <v>25</v>
      </c>
      <c r="Z2" s="130">
        <v>26</v>
      </c>
    </row>
    <row r="3" spans="1:26" x14ac:dyDescent="0.2">
      <c r="B3" s="2">
        <v>2020</v>
      </c>
      <c r="C3" s="2">
        <v>2021</v>
      </c>
      <c r="D3" s="2">
        <v>2022</v>
      </c>
      <c r="E3" s="2">
        <v>2023</v>
      </c>
      <c r="F3" s="2">
        <v>2024</v>
      </c>
      <c r="H3" s="2">
        <v>2020</v>
      </c>
      <c r="I3" s="2">
        <v>2021</v>
      </c>
      <c r="J3" s="2">
        <v>2022</v>
      </c>
      <c r="K3" s="2">
        <v>2023</v>
      </c>
      <c r="L3" s="2">
        <v>2024</v>
      </c>
    </row>
    <row r="4" spans="1:26" x14ac:dyDescent="0.2">
      <c r="A4" s="3" t="s">
        <v>578</v>
      </c>
      <c r="B4" s="43">
        <f>SUM(B5:B299)</f>
        <v>12032509853.186127</v>
      </c>
      <c r="C4" s="43">
        <f>SUM(C5:C299)</f>
        <v>12290097529.336197</v>
      </c>
      <c r="D4" s="43">
        <f>SUM(D5:D299)</f>
        <v>12543473824.313204</v>
      </c>
      <c r="E4" s="43">
        <f>SUM(E5:E299)</f>
        <v>12799832515.082821</v>
      </c>
      <c r="F4" s="43">
        <f>SUM(F5:F299)</f>
        <v>13053435118.632551</v>
      </c>
      <c r="H4" s="183">
        <f>B4/B4</f>
        <v>1</v>
      </c>
      <c r="I4" s="183">
        <f t="shared" ref="I4:L5" si="0">C4/B4</f>
        <v>1.0214076430680721</v>
      </c>
      <c r="J4" s="183">
        <f t="shared" si="0"/>
        <v>1.0206162965242711</v>
      </c>
      <c r="K4" s="183">
        <f t="shared" si="0"/>
        <v>1.0204376151583074</v>
      </c>
      <c r="L4" s="183">
        <f t="shared" si="0"/>
        <v>1.0198129626501671</v>
      </c>
    </row>
    <row r="5" spans="1:26" x14ac:dyDescent="0.2">
      <c r="A5" t="s">
        <v>142</v>
      </c>
      <c r="B5" s="89">
        <v>24256373.44521505</v>
      </c>
      <c r="C5" s="89">
        <v>24564183.337762706</v>
      </c>
      <c r="D5" s="89">
        <v>24853648.423244745</v>
      </c>
      <c r="E5" s="89">
        <v>25056814.755913477</v>
      </c>
      <c r="F5" s="89">
        <v>25284595.831073862</v>
      </c>
      <c r="H5" s="183">
        <f>B5/B5</f>
        <v>1</v>
      </c>
      <c r="I5" s="183">
        <f t="shared" si="0"/>
        <v>1.0126898562657303</v>
      </c>
      <c r="J5" s="183">
        <f t="shared" si="0"/>
        <v>1.0117840304927639</v>
      </c>
      <c r="K5" s="183">
        <f t="shared" si="0"/>
        <v>1.00817450738857</v>
      </c>
      <c r="L5" s="183">
        <f t="shared" si="0"/>
        <v>1.0090905838343489</v>
      </c>
      <c r="N5" s="185" t="s">
        <v>581</v>
      </c>
    </row>
    <row r="6" spans="1:26" x14ac:dyDescent="0.2">
      <c r="A6" t="s">
        <v>143</v>
      </c>
      <c r="B6" s="89">
        <v>5310048.1320050498</v>
      </c>
      <c r="C6" s="89">
        <v>5409843.0538756177</v>
      </c>
      <c r="D6" s="89">
        <v>5475696.768163004</v>
      </c>
      <c r="E6" s="89">
        <v>5579935.0126606235</v>
      </c>
      <c r="F6" s="89">
        <v>5647504.2435173057</v>
      </c>
      <c r="H6" s="183">
        <f t="shared" ref="H6:H69" si="1">B6/B6</f>
        <v>1</v>
      </c>
      <c r="I6" s="183">
        <f t="shared" ref="I6:I69" si="2">C6/B6</f>
        <v>1.0187936002442384</v>
      </c>
      <c r="J6" s="183">
        <f t="shared" ref="J6:J69" si="3">D6/C6</f>
        <v>1.0121729435829396</v>
      </c>
      <c r="K6" s="183">
        <f t="shared" ref="K6:K69" si="4">E6/D6</f>
        <v>1.0190365261100076</v>
      </c>
      <c r="L6" s="183">
        <f t="shared" ref="L6:L69" si="5">F6/E6</f>
        <v>1.0121093221880488</v>
      </c>
    </row>
    <row r="7" spans="1:26" x14ac:dyDescent="0.2">
      <c r="A7" t="s">
        <v>144</v>
      </c>
      <c r="B7" s="89">
        <v>24272760.019972317</v>
      </c>
      <c r="C7" s="89">
        <v>24329135.373311605</v>
      </c>
      <c r="D7" s="89">
        <v>24516016.505315531</v>
      </c>
      <c r="E7" s="89">
        <v>24805753.865124837</v>
      </c>
      <c r="F7" s="89">
        <v>24944476.725973066</v>
      </c>
      <c r="H7" s="183">
        <f t="shared" si="1"/>
        <v>1</v>
      </c>
      <c r="I7" s="183">
        <f t="shared" si="2"/>
        <v>1.0023225769666451</v>
      </c>
      <c r="J7" s="183">
        <f t="shared" si="3"/>
        <v>1.0076813717025443</v>
      </c>
      <c r="K7" s="183">
        <f t="shared" si="4"/>
        <v>1.0118182886582119</v>
      </c>
      <c r="L7" s="183">
        <f t="shared" si="5"/>
        <v>1.0055923662551238</v>
      </c>
      <c r="N7" s="185" t="s">
        <v>579</v>
      </c>
    </row>
    <row r="8" spans="1:26" x14ac:dyDescent="0.2">
      <c r="A8" t="s">
        <v>145</v>
      </c>
      <c r="B8" s="89">
        <v>15924686.325721748</v>
      </c>
      <c r="C8" s="89">
        <v>16063744.515783003</v>
      </c>
      <c r="D8" s="89">
        <v>16232517.092501083</v>
      </c>
      <c r="E8" s="89">
        <v>16338836.211307798</v>
      </c>
      <c r="F8" s="89">
        <v>16576189.242579641</v>
      </c>
      <c r="H8" s="183">
        <f t="shared" si="1"/>
        <v>1</v>
      </c>
      <c r="I8" s="183">
        <f t="shared" si="2"/>
        <v>1.0087322404483814</v>
      </c>
      <c r="J8" s="183">
        <f t="shared" si="3"/>
        <v>1.0105064280966531</v>
      </c>
      <c r="K8" s="183">
        <f t="shared" si="4"/>
        <v>1.0065497617036749</v>
      </c>
      <c r="L8" s="183">
        <f t="shared" si="5"/>
        <v>1.0145269239621593</v>
      </c>
    </row>
    <row r="9" spans="1:26" x14ac:dyDescent="0.2">
      <c r="A9" t="s">
        <v>146</v>
      </c>
      <c r="B9" s="89">
        <v>11618588.183770375</v>
      </c>
      <c r="C9" s="89">
        <v>11955203.046796959</v>
      </c>
      <c r="D9" s="89">
        <v>12287324.559879903</v>
      </c>
      <c r="E9" s="89">
        <v>12516418.000354894</v>
      </c>
      <c r="F9" s="89">
        <v>12846512.627947845</v>
      </c>
      <c r="H9" s="183">
        <f t="shared" si="1"/>
        <v>1</v>
      </c>
      <c r="I9" s="183">
        <f t="shared" si="2"/>
        <v>1.028972096927989</v>
      </c>
      <c r="J9" s="183">
        <f t="shared" si="3"/>
        <v>1.027780499568506</v>
      </c>
      <c r="K9" s="183">
        <f t="shared" si="4"/>
        <v>1.0186446967652354</v>
      </c>
      <c r="L9" s="183">
        <f t="shared" si="5"/>
        <v>1.026372930944268</v>
      </c>
    </row>
    <row r="10" spans="1:26" x14ac:dyDescent="0.2">
      <c r="A10" t="s">
        <v>147</v>
      </c>
      <c r="B10" s="89">
        <v>7465209.351354531</v>
      </c>
      <c r="C10" s="89">
        <v>7673556.000522024</v>
      </c>
      <c r="D10" s="89">
        <v>7887694.2306108801</v>
      </c>
      <c r="E10" s="89">
        <v>8013842.9157407805</v>
      </c>
      <c r="F10" s="89">
        <v>8179313.8279988952</v>
      </c>
      <c r="H10" s="183">
        <f t="shared" si="1"/>
        <v>1</v>
      </c>
      <c r="I10" s="183">
        <f t="shared" si="2"/>
        <v>1.0279090162594957</v>
      </c>
      <c r="J10" s="183">
        <f t="shared" si="3"/>
        <v>1.0279059969164608</v>
      </c>
      <c r="K10" s="183">
        <f t="shared" si="4"/>
        <v>1.0159931003207932</v>
      </c>
      <c r="L10" s="183">
        <f t="shared" si="5"/>
        <v>1.0206481352327355</v>
      </c>
    </row>
    <row r="11" spans="1:26" x14ac:dyDescent="0.2">
      <c r="A11" t="s">
        <v>125</v>
      </c>
      <c r="B11" s="89">
        <v>30046447.350764632</v>
      </c>
      <c r="C11" s="89">
        <v>30365394.341754008</v>
      </c>
      <c r="D11" s="89">
        <v>30793774.791943155</v>
      </c>
      <c r="E11" s="89">
        <v>31174828.502891798</v>
      </c>
      <c r="F11" s="89">
        <v>31632465.900544971</v>
      </c>
      <c r="H11" s="183">
        <f t="shared" si="1"/>
        <v>1</v>
      </c>
      <c r="I11" s="183">
        <f t="shared" si="2"/>
        <v>1.0106151315417082</v>
      </c>
      <c r="J11" s="183">
        <f t="shared" si="3"/>
        <v>1.0141075213899033</v>
      </c>
      <c r="K11" s="183">
        <f t="shared" si="4"/>
        <v>1.0123743748054019</v>
      </c>
      <c r="L11" s="183">
        <f t="shared" si="5"/>
        <v>1.0146797085863912</v>
      </c>
    </row>
    <row r="12" spans="1:26" x14ac:dyDescent="0.2">
      <c r="A12" t="s">
        <v>148</v>
      </c>
      <c r="B12" s="89">
        <v>3164227.4918779475</v>
      </c>
      <c r="C12" s="89">
        <v>3213760.9251657068</v>
      </c>
      <c r="D12" s="89">
        <v>3264017.1148652304</v>
      </c>
      <c r="E12" s="89">
        <v>3316094.1628697738</v>
      </c>
      <c r="F12" s="89">
        <v>3368956.3817190053</v>
      </c>
      <c r="H12" s="183">
        <f t="shared" si="1"/>
        <v>1</v>
      </c>
      <c r="I12" s="183">
        <f t="shared" si="2"/>
        <v>1.0156541947173214</v>
      </c>
      <c r="J12" s="183">
        <f t="shared" si="3"/>
        <v>1.0156378121676652</v>
      </c>
      <c r="K12" s="183">
        <f t="shared" si="4"/>
        <v>1.0159548942826833</v>
      </c>
      <c r="L12" s="183">
        <f t="shared" si="5"/>
        <v>1.0159411091039356</v>
      </c>
    </row>
    <row r="13" spans="1:26" x14ac:dyDescent="0.2">
      <c r="A13" t="s">
        <v>149</v>
      </c>
      <c r="B13" s="89">
        <v>6531955.6974451113</v>
      </c>
      <c r="C13" s="89">
        <v>6712777.2939610835</v>
      </c>
      <c r="D13" s="89">
        <v>6859867.1028188178</v>
      </c>
      <c r="E13" s="89">
        <v>7013115.6755942833</v>
      </c>
      <c r="F13" s="89">
        <v>7166741.3453705609</v>
      </c>
      <c r="H13" s="183">
        <f t="shared" si="1"/>
        <v>1</v>
      </c>
      <c r="I13" s="183">
        <f t="shared" si="2"/>
        <v>1.0276826122055143</v>
      </c>
      <c r="J13" s="183">
        <f t="shared" si="3"/>
        <v>1.0219119155032983</v>
      </c>
      <c r="K13" s="183">
        <f t="shared" si="4"/>
        <v>1.0223398748807384</v>
      </c>
      <c r="L13" s="183">
        <f t="shared" si="5"/>
        <v>1.0219054806568921</v>
      </c>
    </row>
    <row r="14" spans="1:26" x14ac:dyDescent="0.2">
      <c r="A14" t="s">
        <v>150</v>
      </c>
      <c r="B14" s="89">
        <v>680804449.95335007</v>
      </c>
      <c r="C14" s="89">
        <v>699667383.9929868</v>
      </c>
      <c r="D14" s="89">
        <v>717821804.40556633</v>
      </c>
      <c r="E14" s="89">
        <v>736443540.88617337</v>
      </c>
      <c r="F14" s="89">
        <v>755031915.073668</v>
      </c>
      <c r="H14" s="183">
        <f t="shared" si="1"/>
        <v>1</v>
      </c>
      <c r="I14" s="183">
        <f t="shared" si="2"/>
        <v>1.0277068312948443</v>
      </c>
      <c r="J14" s="183">
        <f t="shared" si="3"/>
        <v>1.0259472155311467</v>
      </c>
      <c r="K14" s="183">
        <f t="shared" si="4"/>
        <v>1.0259420045007239</v>
      </c>
      <c r="L14" s="183">
        <f t="shared" si="5"/>
        <v>1.0252407321885491</v>
      </c>
    </row>
    <row r="15" spans="1:26" x14ac:dyDescent="0.2">
      <c r="A15" t="s">
        <v>151</v>
      </c>
      <c r="B15" s="89">
        <v>24465262.722563401</v>
      </c>
      <c r="C15" s="89">
        <v>24711410.009301584</v>
      </c>
      <c r="D15" s="89">
        <v>24991859.725510225</v>
      </c>
      <c r="E15" s="89">
        <v>25392072.900939241</v>
      </c>
      <c r="F15" s="89">
        <v>25777520.693238411</v>
      </c>
      <c r="H15" s="183">
        <f t="shared" si="1"/>
        <v>1</v>
      </c>
      <c r="I15" s="183">
        <f t="shared" si="2"/>
        <v>1.0100610931314942</v>
      </c>
      <c r="J15" s="183">
        <f t="shared" si="3"/>
        <v>1.0113489969250269</v>
      </c>
      <c r="K15" s="183">
        <f t="shared" si="4"/>
        <v>1.0160137412671415</v>
      </c>
      <c r="L15" s="183">
        <f t="shared" si="5"/>
        <v>1.0151798474194249</v>
      </c>
    </row>
    <row r="16" spans="1:26" x14ac:dyDescent="0.2">
      <c r="A16" t="s">
        <v>152</v>
      </c>
      <c r="B16" s="89">
        <v>27997519.447114181</v>
      </c>
      <c r="C16" s="89">
        <v>28657508.982642125</v>
      </c>
      <c r="D16" s="89">
        <v>29181637.143981975</v>
      </c>
      <c r="E16" s="89">
        <v>29709044.62506412</v>
      </c>
      <c r="F16" s="89">
        <v>30122547.657636855</v>
      </c>
      <c r="H16" s="183">
        <f t="shared" si="1"/>
        <v>1</v>
      </c>
      <c r="I16" s="183">
        <f t="shared" si="2"/>
        <v>1.0235731432127275</v>
      </c>
      <c r="J16" s="183">
        <f t="shared" si="3"/>
        <v>1.0182893831301707</v>
      </c>
      <c r="K16" s="183">
        <f t="shared" si="4"/>
        <v>1.0180732656800549</v>
      </c>
      <c r="L16" s="183">
        <f t="shared" si="5"/>
        <v>1.0139184224128124</v>
      </c>
    </row>
    <row r="17" spans="1:12" x14ac:dyDescent="0.2">
      <c r="A17" t="s">
        <v>153</v>
      </c>
      <c r="B17" s="89">
        <v>6428264.7707343427</v>
      </c>
      <c r="C17" s="89">
        <v>6636297.9400417795</v>
      </c>
      <c r="D17" s="89">
        <v>6751530.9498131135</v>
      </c>
      <c r="E17" s="89">
        <v>6870684.3510166733</v>
      </c>
      <c r="F17" s="89">
        <v>6994903.3979143715</v>
      </c>
      <c r="H17" s="183">
        <f t="shared" si="1"/>
        <v>1</v>
      </c>
      <c r="I17" s="183">
        <f t="shared" si="2"/>
        <v>1.0323622589807657</v>
      </c>
      <c r="J17" s="183">
        <f t="shared" si="3"/>
        <v>1.0173640500791934</v>
      </c>
      <c r="K17" s="183">
        <f t="shared" si="4"/>
        <v>1.01764835295717</v>
      </c>
      <c r="L17" s="183">
        <f t="shared" si="5"/>
        <v>1.0180795741081188</v>
      </c>
    </row>
    <row r="18" spans="1:12" x14ac:dyDescent="0.2">
      <c r="A18" t="s">
        <v>154</v>
      </c>
      <c r="B18" s="89">
        <v>31106009.417470917</v>
      </c>
      <c r="C18" s="89">
        <v>31528727.106589176</v>
      </c>
      <c r="D18" s="89">
        <v>31832109.456238974</v>
      </c>
      <c r="E18" s="89">
        <v>32172648.922275506</v>
      </c>
      <c r="F18" s="89">
        <v>32374974.649150699</v>
      </c>
      <c r="H18" s="183">
        <f t="shared" si="1"/>
        <v>1</v>
      </c>
      <c r="I18" s="183">
        <f t="shared" si="2"/>
        <v>1.0135895827537695</v>
      </c>
      <c r="J18" s="183">
        <f t="shared" si="3"/>
        <v>1.0096224103378533</v>
      </c>
      <c r="K18" s="183">
        <f t="shared" si="4"/>
        <v>1.0106979861483791</v>
      </c>
      <c r="L18" s="183">
        <f t="shared" si="5"/>
        <v>1.0062887494083557</v>
      </c>
    </row>
    <row r="19" spans="1:12" x14ac:dyDescent="0.2">
      <c r="A19" t="s">
        <v>155</v>
      </c>
      <c r="B19" s="89">
        <v>18699677.350496508</v>
      </c>
      <c r="C19" s="89">
        <v>18888345.752182011</v>
      </c>
      <c r="D19" s="89">
        <v>19062079.132641364</v>
      </c>
      <c r="E19" s="89">
        <v>19196750.796191327</v>
      </c>
      <c r="F19" s="89">
        <v>19557574.825866699</v>
      </c>
      <c r="H19" s="183">
        <f t="shared" si="1"/>
        <v>1</v>
      </c>
      <c r="I19" s="183">
        <f t="shared" si="2"/>
        <v>1.010089393423705</v>
      </c>
      <c r="J19" s="183">
        <f t="shared" si="3"/>
        <v>1.0091979140332754</v>
      </c>
      <c r="K19" s="183">
        <f t="shared" si="4"/>
        <v>1.0070648989867719</v>
      </c>
      <c r="L19" s="183">
        <f t="shared" si="5"/>
        <v>1.0187960990641687</v>
      </c>
    </row>
    <row r="20" spans="1:12" x14ac:dyDescent="0.2">
      <c r="A20" t="s">
        <v>156</v>
      </c>
      <c r="B20" s="89">
        <v>17197199.406224832</v>
      </c>
      <c r="C20" s="89">
        <v>17364160.590779155</v>
      </c>
      <c r="D20" s="89">
        <v>17625672.267299347</v>
      </c>
      <c r="E20" s="89">
        <v>17785632.071135573</v>
      </c>
      <c r="F20" s="89">
        <v>18027460.979573451</v>
      </c>
      <c r="H20" s="183">
        <f t="shared" si="1"/>
        <v>1</v>
      </c>
      <c r="I20" s="183">
        <f t="shared" si="2"/>
        <v>1.0097086264228516</v>
      </c>
      <c r="J20" s="183">
        <f t="shared" si="3"/>
        <v>1.0150604272030899</v>
      </c>
      <c r="K20" s="183">
        <f t="shared" si="4"/>
        <v>1.009075387390074</v>
      </c>
      <c r="L20" s="183">
        <f t="shared" si="5"/>
        <v>1.0135968689485231</v>
      </c>
    </row>
    <row r="21" spans="1:12" x14ac:dyDescent="0.2">
      <c r="A21" t="s">
        <v>157</v>
      </c>
      <c r="B21" s="89">
        <v>2094227.7559013863</v>
      </c>
      <c r="C21" s="89">
        <v>2137309.942007334</v>
      </c>
      <c r="D21" s="89">
        <v>2181280.6133325337</v>
      </c>
      <c r="E21" s="89">
        <v>2226158.6714579873</v>
      </c>
      <c r="F21" s="89">
        <v>2269194.1248271102</v>
      </c>
      <c r="H21" s="183">
        <f t="shared" si="1"/>
        <v>1</v>
      </c>
      <c r="I21" s="183">
        <f t="shared" si="2"/>
        <v>1.0205718723689652</v>
      </c>
      <c r="J21" s="183">
        <f t="shared" si="3"/>
        <v>1.0205729035648909</v>
      </c>
      <c r="K21" s="183">
        <f t="shared" si="4"/>
        <v>1.0205741791547349</v>
      </c>
      <c r="L21" s="183">
        <f t="shared" si="5"/>
        <v>1.0193317097837136</v>
      </c>
    </row>
    <row r="22" spans="1:12" x14ac:dyDescent="0.2">
      <c r="A22" t="s">
        <v>158</v>
      </c>
      <c r="B22" s="89">
        <v>2867750.3718032581</v>
      </c>
      <c r="C22" s="89">
        <v>2868568.727481897</v>
      </c>
      <c r="D22" s="89">
        <v>2912682.6493495284</v>
      </c>
      <c r="E22" s="89">
        <v>2914643.4519421933</v>
      </c>
      <c r="F22" s="89">
        <v>2960012.6576301609</v>
      </c>
      <c r="H22" s="183">
        <f t="shared" si="1"/>
        <v>1</v>
      </c>
      <c r="I22" s="183">
        <f t="shared" si="2"/>
        <v>1.0002853650327048</v>
      </c>
      <c r="J22" s="183">
        <f t="shared" si="3"/>
        <v>1.0153783736973092</v>
      </c>
      <c r="K22" s="183">
        <f t="shared" si="4"/>
        <v>1.0006731947241498</v>
      </c>
      <c r="L22" s="183">
        <f t="shared" si="5"/>
        <v>1.0155659539274815</v>
      </c>
    </row>
    <row r="23" spans="1:12" x14ac:dyDescent="0.2">
      <c r="A23" t="s">
        <v>159</v>
      </c>
      <c r="B23" s="89">
        <v>34543553.183140889</v>
      </c>
      <c r="C23" s="89">
        <v>34894756.484416366</v>
      </c>
      <c r="D23" s="89">
        <v>35450414.980428487</v>
      </c>
      <c r="E23" s="89">
        <v>35811922.21118246</v>
      </c>
      <c r="F23" s="89">
        <v>36368184.110095747</v>
      </c>
      <c r="H23" s="183">
        <f t="shared" si="1"/>
        <v>1</v>
      </c>
      <c r="I23" s="183">
        <f t="shared" si="2"/>
        <v>1.0101669709370513</v>
      </c>
      <c r="J23" s="183">
        <f t="shared" si="3"/>
        <v>1.0159238393384482</v>
      </c>
      <c r="K23" s="183">
        <f t="shared" si="4"/>
        <v>1.0101975458102128</v>
      </c>
      <c r="L23" s="183">
        <f t="shared" si="5"/>
        <v>1.0155328690717302</v>
      </c>
    </row>
    <row r="24" spans="1:12" x14ac:dyDescent="0.2">
      <c r="A24" t="s">
        <v>160</v>
      </c>
      <c r="B24" s="89">
        <v>10460544.224456524</v>
      </c>
      <c r="C24" s="89">
        <v>10728301.921495233</v>
      </c>
      <c r="D24" s="89">
        <v>10883419.754221758</v>
      </c>
      <c r="E24" s="89">
        <v>10956997.449051123</v>
      </c>
      <c r="F24" s="89">
        <v>11045234.493795205</v>
      </c>
      <c r="H24" s="183">
        <f t="shared" si="1"/>
        <v>1</v>
      </c>
      <c r="I24" s="183">
        <f t="shared" si="2"/>
        <v>1.025596918410105</v>
      </c>
      <c r="J24" s="183">
        <f t="shared" si="3"/>
        <v>1.0144587497501101</v>
      </c>
      <c r="K24" s="183">
        <f t="shared" si="4"/>
        <v>1.0067605308341456</v>
      </c>
      <c r="L24" s="183">
        <f t="shared" si="5"/>
        <v>1.008053031421644</v>
      </c>
    </row>
    <row r="25" spans="1:12" x14ac:dyDescent="0.2">
      <c r="A25" t="s">
        <v>161</v>
      </c>
      <c r="B25" s="89">
        <v>16085962.025945822</v>
      </c>
      <c r="C25" s="89">
        <v>16113040.285721771</v>
      </c>
      <c r="D25" s="89">
        <v>16226150.242862344</v>
      </c>
      <c r="E25" s="89">
        <v>16232445.423412386</v>
      </c>
      <c r="F25" s="89">
        <v>16297251.198412975</v>
      </c>
      <c r="H25" s="183">
        <f t="shared" si="1"/>
        <v>1</v>
      </c>
      <c r="I25" s="183">
        <f t="shared" si="2"/>
        <v>1.0016833472398028</v>
      </c>
      <c r="J25" s="183">
        <f t="shared" si="3"/>
        <v>1.0070197774681171</v>
      </c>
      <c r="K25" s="183">
        <f t="shared" si="4"/>
        <v>1.0003879651338008</v>
      </c>
      <c r="L25" s="183">
        <f t="shared" si="5"/>
        <v>1.0039923605661485</v>
      </c>
    </row>
    <row r="26" spans="1:12" x14ac:dyDescent="0.2">
      <c r="A26" t="s">
        <v>162</v>
      </c>
      <c r="B26" s="89">
        <v>13621361.063006632</v>
      </c>
      <c r="C26" s="89">
        <v>13724709.07855304</v>
      </c>
      <c r="D26" s="89">
        <v>13836535.450097321</v>
      </c>
      <c r="E26" s="89">
        <v>14058018.144947369</v>
      </c>
      <c r="F26" s="89">
        <v>14290711.34714595</v>
      </c>
      <c r="H26" s="183">
        <f t="shared" si="1"/>
        <v>1</v>
      </c>
      <c r="I26" s="183">
        <f t="shared" si="2"/>
        <v>1.0075872018272156</v>
      </c>
      <c r="J26" s="183">
        <f t="shared" si="3"/>
        <v>1.0081478136187985</v>
      </c>
      <c r="K26" s="183">
        <f t="shared" si="4"/>
        <v>1.0160070919233246</v>
      </c>
      <c r="L26" s="183">
        <f t="shared" si="5"/>
        <v>1.0165523475499436</v>
      </c>
    </row>
    <row r="27" spans="1:12" x14ac:dyDescent="0.2">
      <c r="A27" t="s">
        <v>163</v>
      </c>
      <c r="B27" s="89">
        <v>5615454.6391527327</v>
      </c>
      <c r="C27" s="89">
        <v>5667439.8251619069</v>
      </c>
      <c r="D27" s="89">
        <v>5763430.6214093426</v>
      </c>
      <c r="E27" s="89">
        <v>5862522.3178352676</v>
      </c>
      <c r="F27" s="89">
        <v>5964058.7375931945</v>
      </c>
      <c r="H27" s="183">
        <f t="shared" si="1"/>
        <v>1</v>
      </c>
      <c r="I27" s="183">
        <f t="shared" si="2"/>
        <v>1.0092575204234964</v>
      </c>
      <c r="J27" s="183">
        <f t="shared" si="3"/>
        <v>1.0169372413662447</v>
      </c>
      <c r="K27" s="183">
        <f t="shared" si="4"/>
        <v>1.0171931793640112</v>
      </c>
      <c r="L27" s="183">
        <f t="shared" si="5"/>
        <v>1.0173195792277032</v>
      </c>
    </row>
    <row r="28" spans="1:12" x14ac:dyDescent="0.2">
      <c r="A28" t="s">
        <v>164</v>
      </c>
      <c r="B28" s="89">
        <v>19789522.740231842</v>
      </c>
      <c r="C28" s="89">
        <v>20122471.451111551</v>
      </c>
      <c r="D28" s="89">
        <v>20408037.822982542</v>
      </c>
      <c r="E28" s="89">
        <v>20701640.714620888</v>
      </c>
      <c r="F28" s="89">
        <v>20913495.720741209</v>
      </c>
      <c r="H28" s="183">
        <f t="shared" si="1"/>
        <v>1</v>
      </c>
      <c r="I28" s="183">
        <f t="shared" si="2"/>
        <v>1.0168244942159634</v>
      </c>
      <c r="J28" s="183">
        <f t="shared" si="3"/>
        <v>1.0141914164254022</v>
      </c>
      <c r="K28" s="183">
        <f t="shared" si="4"/>
        <v>1.0143866301202022</v>
      </c>
      <c r="L28" s="183">
        <f t="shared" si="5"/>
        <v>1.0102337302168853</v>
      </c>
    </row>
    <row r="29" spans="1:12" x14ac:dyDescent="0.2">
      <c r="A29" t="s">
        <v>165</v>
      </c>
      <c r="B29" s="89">
        <v>18108239.739132181</v>
      </c>
      <c r="C29" s="89">
        <v>18433068.936030272</v>
      </c>
      <c r="D29" s="89">
        <v>18706364.290461786</v>
      </c>
      <c r="E29" s="89">
        <v>18986834.185269851</v>
      </c>
      <c r="F29" s="89">
        <v>19355756.731074873</v>
      </c>
      <c r="H29" s="183">
        <f t="shared" si="1"/>
        <v>1</v>
      </c>
      <c r="I29" s="183">
        <f t="shared" si="2"/>
        <v>1.017938198388004</v>
      </c>
      <c r="J29" s="183">
        <f t="shared" si="3"/>
        <v>1.0148263620876128</v>
      </c>
      <c r="K29" s="183">
        <f t="shared" si="4"/>
        <v>1.014993287335427</v>
      </c>
      <c r="L29" s="183">
        <f t="shared" si="5"/>
        <v>1.0194304401779226</v>
      </c>
    </row>
    <row r="30" spans="1:12" x14ac:dyDescent="0.2">
      <c r="A30" t="s">
        <v>167</v>
      </c>
      <c r="B30" s="89">
        <v>6716454.4312858563</v>
      </c>
      <c r="C30" s="89">
        <v>6741272.7502935762</v>
      </c>
      <c r="D30" s="89">
        <v>6839125.0953161037</v>
      </c>
      <c r="E30" s="89">
        <v>6974286.6012337897</v>
      </c>
      <c r="F30" s="89">
        <v>7041042.7085751202</v>
      </c>
      <c r="H30" s="183">
        <f t="shared" si="1"/>
        <v>1</v>
      </c>
      <c r="I30" s="183">
        <f t="shared" si="2"/>
        <v>1.0036951518485875</v>
      </c>
      <c r="J30" s="183">
        <f t="shared" si="3"/>
        <v>1.0145154110576917</v>
      </c>
      <c r="K30" s="183">
        <f t="shared" si="4"/>
        <v>1.0197629819653764</v>
      </c>
      <c r="L30" s="183">
        <f t="shared" si="5"/>
        <v>1.0095717470700905</v>
      </c>
    </row>
    <row r="31" spans="1:12" x14ac:dyDescent="0.2">
      <c r="A31" t="s">
        <v>168</v>
      </c>
      <c r="B31" s="89">
        <v>1404836571.2311337</v>
      </c>
      <c r="C31" s="89">
        <v>1449041385.8347321</v>
      </c>
      <c r="D31" s="89">
        <v>1493080522.1460035</v>
      </c>
      <c r="E31" s="89">
        <v>1537973299.9582474</v>
      </c>
      <c r="F31" s="89">
        <v>1580733535.7860262</v>
      </c>
      <c r="H31" s="183">
        <f t="shared" si="1"/>
        <v>1</v>
      </c>
      <c r="I31" s="183">
        <f t="shared" si="2"/>
        <v>1.0314661616225291</v>
      </c>
      <c r="J31" s="183">
        <f t="shared" si="3"/>
        <v>1.0303919106395312</v>
      </c>
      <c r="K31" s="183">
        <f t="shared" si="4"/>
        <v>1.0300672181750248</v>
      </c>
      <c r="L31" s="183">
        <f t="shared" si="5"/>
        <v>1.0278029767024821</v>
      </c>
    </row>
    <row r="32" spans="1:12" x14ac:dyDescent="0.2">
      <c r="A32" t="s">
        <v>410</v>
      </c>
      <c r="B32" s="89">
        <v>518035075.55512172</v>
      </c>
      <c r="C32" s="89">
        <v>531817466.00246519</v>
      </c>
      <c r="D32" s="89">
        <v>544893601.85274267</v>
      </c>
      <c r="E32" s="89">
        <v>558234338.01109898</v>
      </c>
      <c r="F32" s="89">
        <v>571373398.84682238</v>
      </c>
      <c r="H32" s="183">
        <f t="shared" si="1"/>
        <v>1</v>
      </c>
      <c r="I32" s="183">
        <f t="shared" si="2"/>
        <v>1.0266051298410139</v>
      </c>
      <c r="J32" s="183">
        <f t="shared" si="3"/>
        <v>1.0245876389667443</v>
      </c>
      <c r="K32" s="183">
        <f t="shared" si="4"/>
        <v>1.0244831947246127</v>
      </c>
      <c r="L32" s="183">
        <f t="shared" si="5"/>
        <v>1.0235368194700021</v>
      </c>
    </row>
    <row r="33" spans="1:12" x14ac:dyDescent="0.2">
      <c r="A33" t="s">
        <v>169</v>
      </c>
      <c r="B33" s="89">
        <v>4970428.5590371592</v>
      </c>
      <c r="C33" s="89">
        <v>5055101.3053093189</v>
      </c>
      <c r="D33" s="89">
        <v>5085080.648183384</v>
      </c>
      <c r="E33" s="89">
        <v>5172477.9204135807</v>
      </c>
      <c r="F33" s="89">
        <v>5373184.3728549285</v>
      </c>
      <c r="H33" s="183">
        <f t="shared" si="1"/>
        <v>1</v>
      </c>
      <c r="I33" s="183">
        <f t="shared" si="2"/>
        <v>1.0170353009336004</v>
      </c>
      <c r="J33" s="183">
        <f t="shared" si="3"/>
        <v>1.0059305127757932</v>
      </c>
      <c r="K33" s="183">
        <f t="shared" si="4"/>
        <v>1.0171869982556558</v>
      </c>
      <c r="L33" s="183">
        <f t="shared" si="5"/>
        <v>1.0388027663973671</v>
      </c>
    </row>
    <row r="34" spans="1:12" x14ac:dyDescent="0.2">
      <c r="A34" t="s">
        <v>170</v>
      </c>
      <c r="B34" s="89">
        <v>48672300.507853441</v>
      </c>
      <c r="C34" s="89">
        <v>48923436.320341334</v>
      </c>
      <c r="D34" s="89">
        <v>49400749.25466308</v>
      </c>
      <c r="E34" s="89">
        <v>49993284.724184766</v>
      </c>
      <c r="F34" s="89">
        <v>50451443.131849922</v>
      </c>
      <c r="H34" s="183">
        <f t="shared" si="1"/>
        <v>1</v>
      </c>
      <c r="I34" s="183">
        <f t="shared" si="2"/>
        <v>1.0051597276041508</v>
      </c>
      <c r="J34" s="183">
        <f t="shared" si="3"/>
        <v>1.0097563247846368</v>
      </c>
      <c r="K34" s="183">
        <f t="shared" si="4"/>
        <v>1.0119944632108138</v>
      </c>
      <c r="L34" s="183">
        <f t="shared" si="5"/>
        <v>1.0091643989826402</v>
      </c>
    </row>
    <row r="35" spans="1:12" x14ac:dyDescent="0.2">
      <c r="A35" t="s">
        <v>171</v>
      </c>
      <c r="B35" s="89">
        <v>3304218.137982666</v>
      </c>
      <c r="C35" s="89">
        <v>3362795.2370449714</v>
      </c>
      <c r="D35" s="89">
        <v>3423148.1297325999</v>
      </c>
      <c r="E35" s="89">
        <v>3450090.1255305116</v>
      </c>
      <c r="F35" s="89">
        <v>3511926.4806039897</v>
      </c>
      <c r="H35" s="183">
        <f t="shared" si="1"/>
        <v>1</v>
      </c>
      <c r="I35" s="183">
        <f t="shared" si="2"/>
        <v>1.0177279757619357</v>
      </c>
      <c r="J35" s="183">
        <f t="shared" si="3"/>
        <v>1.0179472398505782</v>
      </c>
      <c r="K35" s="183">
        <f t="shared" si="4"/>
        <v>1.0078705316792751</v>
      </c>
      <c r="L35" s="183">
        <f t="shared" si="5"/>
        <v>1.0179231129691053</v>
      </c>
    </row>
    <row r="36" spans="1:12" x14ac:dyDescent="0.2">
      <c r="A36" t="s">
        <v>172</v>
      </c>
      <c r="B36" s="89">
        <v>20223858.116342369</v>
      </c>
      <c r="C36" s="89">
        <v>20486293.794164743</v>
      </c>
      <c r="D36" s="89">
        <v>20692044.469895758</v>
      </c>
      <c r="E36" s="89">
        <v>20905809.549879123</v>
      </c>
      <c r="F36" s="89">
        <v>21184833.042819228</v>
      </c>
      <c r="H36" s="183">
        <f t="shared" si="1"/>
        <v>1</v>
      </c>
      <c r="I36" s="183">
        <f t="shared" si="2"/>
        <v>1.0129765387154446</v>
      </c>
      <c r="J36" s="183">
        <f t="shared" si="3"/>
        <v>1.0100433332548233</v>
      </c>
      <c r="K36" s="183">
        <f t="shared" si="4"/>
        <v>1.0103307858387007</v>
      </c>
      <c r="L36" s="183">
        <f t="shared" si="5"/>
        <v>1.0133466963943387</v>
      </c>
    </row>
    <row r="37" spans="1:12" x14ac:dyDescent="0.2">
      <c r="A37" t="s">
        <v>173</v>
      </c>
      <c r="B37" s="89">
        <v>5075160.8056323538</v>
      </c>
      <c r="C37" s="89">
        <v>5131362.3298205575</v>
      </c>
      <c r="D37" s="89">
        <v>5224203.3018283388</v>
      </c>
      <c r="E37" s="89">
        <v>5281575.8306386201</v>
      </c>
      <c r="F37" s="89">
        <v>5379529.529393902</v>
      </c>
      <c r="H37" s="183">
        <f t="shared" si="1"/>
        <v>1</v>
      </c>
      <c r="I37" s="183">
        <f t="shared" si="2"/>
        <v>1.0110738410743225</v>
      </c>
      <c r="J37" s="183">
        <f t="shared" si="3"/>
        <v>1.0180928505999747</v>
      </c>
      <c r="K37" s="183">
        <f t="shared" si="4"/>
        <v>1.0109820628133293</v>
      </c>
      <c r="L37" s="183">
        <f t="shared" si="5"/>
        <v>1.0185463016903116</v>
      </c>
    </row>
    <row r="38" spans="1:12" x14ac:dyDescent="0.2">
      <c r="A38" t="s">
        <v>174</v>
      </c>
      <c r="B38" s="89">
        <v>6016240.7532408563</v>
      </c>
      <c r="C38" s="89">
        <v>6083987.0023593595</v>
      </c>
      <c r="D38" s="89">
        <v>6157136.6701241136</v>
      </c>
      <c r="E38" s="89">
        <v>6233387.5081196669</v>
      </c>
      <c r="F38" s="89">
        <v>6315529.8215139881</v>
      </c>
      <c r="H38" s="183">
        <f t="shared" si="1"/>
        <v>1</v>
      </c>
      <c r="I38" s="183">
        <f t="shared" si="2"/>
        <v>1.0112605615195851</v>
      </c>
      <c r="J38" s="183">
        <f t="shared" si="3"/>
        <v>1.0120233109860994</v>
      </c>
      <c r="K38" s="183">
        <f t="shared" si="4"/>
        <v>1.0123841392648536</v>
      </c>
      <c r="L38" s="183">
        <f t="shared" si="5"/>
        <v>1.0131777967096256</v>
      </c>
    </row>
    <row r="39" spans="1:12" x14ac:dyDescent="0.2">
      <c r="A39" t="s">
        <v>175</v>
      </c>
      <c r="B39" s="89">
        <v>85969393.736364946</v>
      </c>
      <c r="C39" s="89">
        <v>87721277.739134565</v>
      </c>
      <c r="D39" s="89">
        <v>89377819.131179824</v>
      </c>
      <c r="E39" s="89">
        <v>91016393.626585841</v>
      </c>
      <c r="F39" s="89">
        <v>92573346.579260752</v>
      </c>
      <c r="H39" s="183">
        <f t="shared" si="1"/>
        <v>1</v>
      </c>
      <c r="I39" s="183">
        <f t="shared" si="2"/>
        <v>1.0203779964779323</v>
      </c>
      <c r="J39" s="183">
        <f t="shared" si="3"/>
        <v>1.0188841457254132</v>
      </c>
      <c r="K39" s="183">
        <f t="shared" si="4"/>
        <v>1.0183331223712349</v>
      </c>
      <c r="L39" s="183">
        <f t="shared" si="5"/>
        <v>1.0171062914123212</v>
      </c>
    </row>
    <row r="40" spans="1:12" x14ac:dyDescent="0.2">
      <c r="A40" t="s">
        <v>176</v>
      </c>
      <c r="B40" s="89">
        <v>22678112.148537476</v>
      </c>
      <c r="C40" s="89">
        <v>23068883.844974514</v>
      </c>
      <c r="D40" s="89">
        <v>23572749.090122547</v>
      </c>
      <c r="E40" s="89">
        <v>24062226.031003848</v>
      </c>
      <c r="F40" s="89">
        <v>24550101.67841864</v>
      </c>
      <c r="H40" s="183">
        <f t="shared" si="1"/>
        <v>1</v>
      </c>
      <c r="I40" s="183">
        <f t="shared" si="2"/>
        <v>1.0172312269150781</v>
      </c>
      <c r="J40" s="183">
        <f t="shared" si="3"/>
        <v>1.0218417695686564</v>
      </c>
      <c r="K40" s="183">
        <f t="shared" si="4"/>
        <v>1.02076452513069</v>
      </c>
      <c r="L40" s="183">
        <f t="shared" si="5"/>
        <v>1.0202755824330705</v>
      </c>
    </row>
    <row r="41" spans="1:12" x14ac:dyDescent="0.2">
      <c r="A41" t="s">
        <v>177</v>
      </c>
      <c r="B41" s="89">
        <v>154510177.96130902</v>
      </c>
      <c r="C41" s="89">
        <v>157774575.63191977</v>
      </c>
      <c r="D41" s="89">
        <v>160899041.40803882</v>
      </c>
      <c r="E41" s="89">
        <v>163770290.51429224</v>
      </c>
      <c r="F41" s="89">
        <v>166853715.93915564</v>
      </c>
      <c r="H41" s="183">
        <f t="shared" si="1"/>
        <v>1</v>
      </c>
      <c r="I41" s="183">
        <f t="shared" si="2"/>
        <v>1.021127395707409</v>
      </c>
      <c r="J41" s="183">
        <f t="shared" si="3"/>
        <v>1.0198033540169886</v>
      </c>
      <c r="K41" s="183">
        <f t="shared" si="4"/>
        <v>1.0178450355025543</v>
      </c>
      <c r="L41" s="183">
        <f t="shared" si="5"/>
        <v>1.0188277459555115</v>
      </c>
    </row>
    <row r="42" spans="1:12" x14ac:dyDescent="0.2">
      <c r="A42" t="s">
        <v>166</v>
      </c>
      <c r="B42" s="89">
        <v>34945923.174658827</v>
      </c>
      <c r="C42" s="89">
        <v>35085714.261880688</v>
      </c>
      <c r="D42" s="89">
        <v>35428605.7233091</v>
      </c>
      <c r="E42" s="89">
        <v>35452393.563365765</v>
      </c>
      <c r="F42" s="89">
        <v>35891915.454158284</v>
      </c>
      <c r="H42" s="183">
        <f t="shared" si="1"/>
        <v>1</v>
      </c>
      <c r="I42" s="183">
        <f t="shared" si="2"/>
        <v>1.0040002115990236</v>
      </c>
      <c r="J42" s="183">
        <f t="shared" si="3"/>
        <v>1.0097729651124974</v>
      </c>
      <c r="K42" s="183">
        <f t="shared" si="4"/>
        <v>1.0006714303193991</v>
      </c>
      <c r="L42" s="183">
        <f t="shared" si="5"/>
        <v>1.0123975237386142</v>
      </c>
    </row>
    <row r="43" spans="1:12" x14ac:dyDescent="0.2">
      <c r="A43" t="s">
        <v>178</v>
      </c>
      <c r="B43" s="89">
        <v>28825622.333092213</v>
      </c>
      <c r="C43" s="89">
        <v>29381626.910668004</v>
      </c>
      <c r="D43" s="89">
        <v>29908262.888877012</v>
      </c>
      <c r="E43" s="89">
        <v>30399408.599567667</v>
      </c>
      <c r="F43" s="89">
        <v>30838095.405846145</v>
      </c>
      <c r="H43" s="183">
        <f t="shared" si="1"/>
        <v>1</v>
      </c>
      <c r="I43" s="183">
        <f t="shared" si="2"/>
        <v>1.0192885541602859</v>
      </c>
      <c r="J43" s="183">
        <f t="shared" si="3"/>
        <v>1.0179239897031636</v>
      </c>
      <c r="K43" s="183">
        <f t="shared" si="4"/>
        <v>1.0164217397886159</v>
      </c>
      <c r="L43" s="183">
        <f t="shared" si="5"/>
        <v>1.0144307677842364</v>
      </c>
    </row>
    <row r="44" spans="1:12" x14ac:dyDescent="0.2">
      <c r="A44" t="s">
        <v>179</v>
      </c>
      <c r="B44" s="89">
        <v>45037557.427321479</v>
      </c>
      <c r="C44" s="89">
        <v>45783263.651552647</v>
      </c>
      <c r="D44" s="89">
        <v>46809480.264621265</v>
      </c>
      <c r="E44" s="89">
        <v>47638280.89164421</v>
      </c>
      <c r="F44" s="89">
        <v>48583546.27956026</v>
      </c>
      <c r="H44" s="183">
        <f t="shared" si="1"/>
        <v>1</v>
      </c>
      <c r="I44" s="183">
        <f t="shared" si="2"/>
        <v>1.0165574304386853</v>
      </c>
      <c r="J44" s="183">
        <f t="shared" si="3"/>
        <v>1.0224146670905541</v>
      </c>
      <c r="K44" s="183">
        <f t="shared" si="4"/>
        <v>1.0177058284419653</v>
      </c>
      <c r="L44" s="183">
        <f t="shared" si="5"/>
        <v>1.0198425587620616</v>
      </c>
    </row>
    <row r="45" spans="1:12" x14ac:dyDescent="0.2">
      <c r="A45" t="s">
        <v>180</v>
      </c>
      <c r="B45" s="89">
        <v>14468557.724351838</v>
      </c>
      <c r="C45" s="89">
        <v>14749805.019905815</v>
      </c>
      <c r="D45" s="89">
        <v>14978092.713938221</v>
      </c>
      <c r="E45" s="89">
        <v>15249516.060765423</v>
      </c>
      <c r="F45" s="89">
        <v>15586056.171625359</v>
      </c>
      <c r="H45" s="183">
        <f t="shared" si="1"/>
        <v>1</v>
      </c>
      <c r="I45" s="183">
        <f t="shared" si="2"/>
        <v>1.0194385163270705</v>
      </c>
      <c r="J45" s="183">
        <f t="shared" si="3"/>
        <v>1.0154773363935534</v>
      </c>
      <c r="K45" s="183">
        <f t="shared" si="4"/>
        <v>1.0181213557701256</v>
      </c>
      <c r="L45" s="183">
        <f t="shared" si="5"/>
        <v>1.0220689043192526</v>
      </c>
    </row>
    <row r="46" spans="1:12" x14ac:dyDescent="0.2">
      <c r="A46" t="s">
        <v>181</v>
      </c>
      <c r="B46" s="89">
        <v>16064500.798300343</v>
      </c>
      <c r="C46" s="89">
        <v>16261197.15200956</v>
      </c>
      <c r="D46" s="89">
        <v>16549330.625906413</v>
      </c>
      <c r="E46" s="89">
        <v>16959529.095840197</v>
      </c>
      <c r="F46" s="89">
        <v>17271113.710422333</v>
      </c>
      <c r="H46" s="183">
        <f t="shared" si="1"/>
        <v>1</v>
      </c>
      <c r="I46" s="183">
        <f t="shared" si="2"/>
        <v>1.0122441622169813</v>
      </c>
      <c r="J46" s="183">
        <f t="shared" si="3"/>
        <v>1.0177190812707935</v>
      </c>
      <c r="K46" s="183">
        <f t="shared" si="4"/>
        <v>1.024786408538582</v>
      </c>
      <c r="L46" s="183">
        <f t="shared" si="5"/>
        <v>1.0183722444663019</v>
      </c>
    </row>
    <row r="47" spans="1:12" x14ac:dyDescent="0.2">
      <c r="A47" t="s">
        <v>182</v>
      </c>
      <c r="B47" s="89">
        <v>27959584.961422302</v>
      </c>
      <c r="C47" s="89">
        <v>28766459.53255545</v>
      </c>
      <c r="D47" s="89">
        <v>29446875.905320983</v>
      </c>
      <c r="E47" s="89">
        <v>30175996.705513675</v>
      </c>
      <c r="F47" s="89">
        <v>30783900.06193928</v>
      </c>
      <c r="H47" s="183">
        <f t="shared" si="1"/>
        <v>1</v>
      </c>
      <c r="I47" s="183">
        <f t="shared" si="2"/>
        <v>1.0288586033106875</v>
      </c>
      <c r="J47" s="183">
        <f t="shared" si="3"/>
        <v>1.0236531149061112</v>
      </c>
      <c r="K47" s="183">
        <f t="shared" si="4"/>
        <v>1.0247605485395801</v>
      </c>
      <c r="L47" s="183">
        <f t="shared" si="5"/>
        <v>1.0201452618900415</v>
      </c>
    </row>
    <row r="48" spans="1:12" x14ac:dyDescent="0.2">
      <c r="A48" t="s">
        <v>183</v>
      </c>
      <c r="B48" s="89">
        <v>13592394.710946474</v>
      </c>
      <c r="C48" s="89">
        <v>13659419.290459944</v>
      </c>
      <c r="D48" s="89">
        <v>13730255.968206752</v>
      </c>
      <c r="E48" s="89">
        <v>13729052.30953696</v>
      </c>
      <c r="F48" s="89">
        <v>13811775.186424123</v>
      </c>
      <c r="H48" s="183">
        <f t="shared" si="1"/>
        <v>1</v>
      </c>
      <c r="I48" s="183">
        <f t="shared" si="2"/>
        <v>1.0049310354016936</v>
      </c>
      <c r="J48" s="183">
        <f t="shared" si="3"/>
        <v>1.0051859216150048</v>
      </c>
      <c r="K48" s="183">
        <f t="shared" si="4"/>
        <v>0.99991233530732571</v>
      </c>
      <c r="L48" s="183">
        <f t="shared" si="5"/>
        <v>1.00602538871745</v>
      </c>
    </row>
    <row r="49" spans="1:12" x14ac:dyDescent="0.2">
      <c r="A49" t="s">
        <v>185</v>
      </c>
      <c r="B49" s="89">
        <v>19454876.364782508</v>
      </c>
      <c r="C49" s="89">
        <v>19828324.347070057</v>
      </c>
      <c r="D49" s="89">
        <v>20168919.456364203</v>
      </c>
      <c r="E49" s="89">
        <v>20420872.756098635</v>
      </c>
      <c r="F49" s="89">
        <v>20873870.541710373</v>
      </c>
      <c r="H49" s="183">
        <f t="shared" si="1"/>
        <v>1</v>
      </c>
      <c r="I49" s="183">
        <f t="shared" si="2"/>
        <v>1.0191955978174998</v>
      </c>
      <c r="J49" s="183">
        <f t="shared" si="3"/>
        <v>1.0171772008230475</v>
      </c>
      <c r="K49" s="183">
        <f t="shared" si="4"/>
        <v>1.0124921565718747</v>
      </c>
      <c r="L49" s="183">
        <f t="shared" si="5"/>
        <v>1.0221830766501618</v>
      </c>
    </row>
    <row r="50" spans="1:12" x14ac:dyDescent="0.2">
      <c r="A50" t="s">
        <v>186</v>
      </c>
      <c r="B50" s="89">
        <v>13003660.997924296</v>
      </c>
      <c r="C50" s="89">
        <v>13037341.013253845</v>
      </c>
      <c r="D50" s="89">
        <v>13168367.326901833</v>
      </c>
      <c r="E50" s="89">
        <v>13291757.67049944</v>
      </c>
      <c r="F50" s="89">
        <v>13389258.492927946</v>
      </c>
      <c r="H50" s="183">
        <f t="shared" si="1"/>
        <v>1</v>
      </c>
      <c r="I50" s="183">
        <f t="shared" si="2"/>
        <v>1.0025900410149822</v>
      </c>
      <c r="J50" s="183">
        <f t="shared" si="3"/>
        <v>1.0100500794997067</v>
      </c>
      <c r="K50" s="183">
        <f t="shared" si="4"/>
        <v>1.0093702082068694</v>
      </c>
      <c r="L50" s="183">
        <f t="shared" si="5"/>
        <v>1.0073354348495915</v>
      </c>
    </row>
    <row r="51" spans="1:12" x14ac:dyDescent="0.2">
      <c r="A51" t="s">
        <v>187</v>
      </c>
      <c r="B51" s="89">
        <v>4356258.4106817665</v>
      </c>
      <c r="C51" s="89">
        <v>4389173.7161861062</v>
      </c>
      <c r="D51" s="89">
        <v>4457096.5802940056</v>
      </c>
      <c r="E51" s="89">
        <v>4527814.6013706941</v>
      </c>
      <c r="F51" s="89">
        <v>4602377.590130765</v>
      </c>
      <c r="H51" s="183">
        <f t="shared" si="1"/>
        <v>1</v>
      </c>
      <c r="I51" s="183">
        <f t="shared" si="2"/>
        <v>1.0075558661588186</v>
      </c>
      <c r="J51" s="183">
        <f t="shared" si="3"/>
        <v>1.0154750913269661</v>
      </c>
      <c r="K51" s="183">
        <f t="shared" si="4"/>
        <v>1.0158663874122342</v>
      </c>
      <c r="L51" s="183">
        <f t="shared" si="5"/>
        <v>1.0164677654287122</v>
      </c>
    </row>
    <row r="52" spans="1:12" x14ac:dyDescent="0.2">
      <c r="A52" t="s">
        <v>188</v>
      </c>
      <c r="B52" s="89">
        <v>10796470.350377643</v>
      </c>
      <c r="C52" s="89">
        <v>10943357.988206074</v>
      </c>
      <c r="D52" s="89">
        <v>11147056.156966394</v>
      </c>
      <c r="E52" s="89">
        <v>11356540.883573916</v>
      </c>
      <c r="F52" s="89">
        <v>11568948.64474969</v>
      </c>
      <c r="H52" s="183">
        <f t="shared" si="1"/>
        <v>1</v>
      </c>
      <c r="I52" s="183">
        <f t="shared" si="2"/>
        <v>1.0136051536346129</v>
      </c>
      <c r="J52" s="183">
        <f t="shared" si="3"/>
        <v>1.0186138632200328</v>
      </c>
      <c r="K52" s="183">
        <f t="shared" si="4"/>
        <v>1.0187928295738067</v>
      </c>
      <c r="L52" s="183">
        <f t="shared" si="5"/>
        <v>1.0187035615292859</v>
      </c>
    </row>
    <row r="53" spans="1:12" x14ac:dyDescent="0.2">
      <c r="A53" t="s">
        <v>184</v>
      </c>
      <c r="B53" s="89">
        <v>61395621.093271293</v>
      </c>
      <c r="C53" s="89">
        <v>62125858.048080377</v>
      </c>
      <c r="D53" s="89">
        <v>62796412.964584954</v>
      </c>
      <c r="E53" s="89">
        <v>63514846.406974711</v>
      </c>
      <c r="F53" s="89">
        <v>64463654.460783236</v>
      </c>
      <c r="H53" s="183">
        <f t="shared" si="1"/>
        <v>1</v>
      </c>
      <c r="I53" s="183">
        <f t="shared" si="2"/>
        <v>1.0118939582629145</v>
      </c>
      <c r="J53" s="183">
        <f t="shared" si="3"/>
        <v>1.0107934914313075</v>
      </c>
      <c r="K53" s="183">
        <f t="shared" si="4"/>
        <v>1.0114406764411039</v>
      </c>
      <c r="L53" s="183">
        <f t="shared" si="5"/>
        <v>1.0149383664998415</v>
      </c>
    </row>
    <row r="54" spans="1:12" x14ac:dyDescent="0.2">
      <c r="A54" t="s">
        <v>189</v>
      </c>
      <c r="B54" s="89">
        <v>32311495.857632454</v>
      </c>
      <c r="C54" s="89">
        <v>32824745.592586149</v>
      </c>
      <c r="D54" s="89">
        <v>33294308.367997929</v>
      </c>
      <c r="E54" s="89">
        <v>33539459.649608698</v>
      </c>
      <c r="F54" s="89">
        <v>34010606.213541396</v>
      </c>
      <c r="H54" s="183">
        <f t="shared" si="1"/>
        <v>1</v>
      </c>
      <c r="I54" s="183">
        <f t="shared" si="2"/>
        <v>1.0158844312629511</v>
      </c>
      <c r="J54" s="183">
        <f t="shared" si="3"/>
        <v>1.0143051459176529</v>
      </c>
      <c r="K54" s="183">
        <f t="shared" si="4"/>
        <v>1.0073631588588998</v>
      </c>
      <c r="L54" s="183">
        <f t="shared" si="5"/>
        <v>1.0140475299499405</v>
      </c>
    </row>
    <row r="55" spans="1:12" x14ac:dyDescent="0.2">
      <c r="A55" t="s">
        <v>190</v>
      </c>
      <c r="B55" s="89">
        <v>153368860.31708816</v>
      </c>
      <c r="C55" s="89">
        <v>157112146.11313948</v>
      </c>
      <c r="D55" s="89">
        <v>160675053.82066372</v>
      </c>
      <c r="E55" s="89">
        <v>164540712.38687333</v>
      </c>
      <c r="F55" s="89">
        <v>168618612.89245945</v>
      </c>
      <c r="H55" s="183">
        <f t="shared" si="1"/>
        <v>1</v>
      </c>
      <c r="I55" s="183">
        <f t="shared" si="2"/>
        <v>1.0244070783880908</v>
      </c>
      <c r="J55" s="183">
        <f t="shared" si="3"/>
        <v>1.0226774809947445</v>
      </c>
      <c r="K55" s="183">
        <f t="shared" si="4"/>
        <v>1.0240588596318396</v>
      </c>
      <c r="L55" s="183">
        <f t="shared" si="5"/>
        <v>1.0247835350074213</v>
      </c>
    </row>
    <row r="56" spans="1:12" x14ac:dyDescent="0.2">
      <c r="A56" t="s">
        <v>191</v>
      </c>
      <c r="B56" s="89">
        <v>12003576.233660487</v>
      </c>
      <c r="C56" s="89">
        <v>12076793.160514358</v>
      </c>
      <c r="D56" s="89">
        <v>12115746.369032215</v>
      </c>
      <c r="E56" s="89">
        <v>12303665.764007719</v>
      </c>
      <c r="F56" s="89">
        <v>12425930.523688518</v>
      </c>
      <c r="H56" s="183">
        <f t="shared" si="1"/>
        <v>1</v>
      </c>
      <c r="I56" s="183">
        <f t="shared" si="2"/>
        <v>1.0060995927737399</v>
      </c>
      <c r="J56" s="183">
        <f t="shared" si="3"/>
        <v>1.0032254596067123</v>
      </c>
      <c r="K56" s="183">
        <f t="shared" si="4"/>
        <v>1.0155103440804789</v>
      </c>
      <c r="L56" s="183">
        <f t="shared" si="5"/>
        <v>1.0099372627659038</v>
      </c>
    </row>
    <row r="57" spans="1:12" x14ac:dyDescent="0.2">
      <c r="A57" t="s">
        <v>192</v>
      </c>
      <c r="B57" s="89">
        <v>11378807.163108502</v>
      </c>
      <c r="C57" s="89">
        <v>11423813.016379144</v>
      </c>
      <c r="D57" s="89">
        <v>11531429.215128221</v>
      </c>
      <c r="E57" s="89">
        <v>11691252.637631493</v>
      </c>
      <c r="F57" s="89">
        <v>11784570.23934507</v>
      </c>
      <c r="H57" s="183">
        <f t="shared" si="1"/>
        <v>1</v>
      </c>
      <c r="I57" s="183">
        <f t="shared" si="2"/>
        <v>1.0039552347293974</v>
      </c>
      <c r="J57" s="183">
        <f t="shared" si="3"/>
        <v>1.009420339653212</v>
      </c>
      <c r="K57" s="183">
        <f t="shared" si="4"/>
        <v>1.0138598103948466</v>
      </c>
      <c r="L57" s="183">
        <f t="shared" si="5"/>
        <v>1.0079818309129005</v>
      </c>
    </row>
    <row r="58" spans="1:12" x14ac:dyDescent="0.2">
      <c r="A58" t="s">
        <v>193</v>
      </c>
      <c r="B58" s="89">
        <v>9303124.5564191919</v>
      </c>
      <c r="C58" s="89">
        <v>9373365.5210600514</v>
      </c>
      <c r="D58" s="89">
        <v>9523967.9307762608</v>
      </c>
      <c r="E58" s="89">
        <v>9634428.4313552398</v>
      </c>
      <c r="F58" s="89">
        <v>9790858.3515873756</v>
      </c>
      <c r="H58" s="183">
        <f t="shared" si="1"/>
        <v>1</v>
      </c>
      <c r="I58" s="183">
        <f t="shared" si="2"/>
        <v>1.0075502552088689</v>
      </c>
      <c r="J58" s="183">
        <f t="shared" si="3"/>
        <v>1.0160670582383495</v>
      </c>
      <c r="K58" s="183">
        <f t="shared" si="4"/>
        <v>1.0115981596517174</v>
      </c>
      <c r="L58" s="183">
        <f t="shared" si="5"/>
        <v>1.0162365542851546</v>
      </c>
    </row>
    <row r="59" spans="1:12" x14ac:dyDescent="0.2">
      <c r="A59" t="s">
        <v>195</v>
      </c>
      <c r="B59" s="89">
        <v>10673263.262686606</v>
      </c>
      <c r="C59" s="89">
        <v>10349145.311960202</v>
      </c>
      <c r="D59" s="89">
        <v>10236184.349187747</v>
      </c>
      <c r="E59" s="89">
        <v>10021415.814308282</v>
      </c>
      <c r="F59" s="89">
        <v>9927294.7617745455</v>
      </c>
      <c r="H59" s="183">
        <f t="shared" si="1"/>
        <v>1</v>
      </c>
      <c r="I59" s="183">
        <f t="shared" si="2"/>
        <v>0.96963272218164887</v>
      </c>
      <c r="J59" s="183">
        <f t="shared" si="3"/>
        <v>0.98908499597141519</v>
      </c>
      <c r="K59" s="183">
        <f t="shared" si="4"/>
        <v>0.97901869216564996</v>
      </c>
      <c r="L59" s="183">
        <f t="shared" si="5"/>
        <v>0.99060800846130415</v>
      </c>
    </row>
    <row r="60" spans="1:12" x14ac:dyDescent="0.2">
      <c r="A60" t="s">
        <v>196</v>
      </c>
      <c r="B60" s="89">
        <v>3853890.3634697869</v>
      </c>
      <c r="C60" s="89">
        <v>3926237.9407505728</v>
      </c>
      <c r="D60" s="89">
        <v>4000970.9833211824</v>
      </c>
      <c r="E60" s="89">
        <v>4076608.5659418749</v>
      </c>
      <c r="F60" s="89">
        <v>4119132.1938546095</v>
      </c>
      <c r="H60" s="183">
        <f t="shared" si="1"/>
        <v>1</v>
      </c>
      <c r="I60" s="183">
        <f t="shared" si="2"/>
        <v>1.0187726090930227</v>
      </c>
      <c r="J60" s="183">
        <f t="shared" si="3"/>
        <v>1.0190342622373831</v>
      </c>
      <c r="K60" s="183">
        <f t="shared" si="4"/>
        <v>1.0189048065922004</v>
      </c>
      <c r="L60" s="183">
        <f t="shared" si="5"/>
        <v>1.0104311285287479</v>
      </c>
    </row>
    <row r="61" spans="1:12" x14ac:dyDescent="0.2">
      <c r="A61" t="s">
        <v>197</v>
      </c>
      <c r="B61" s="89">
        <v>12550420.721358053</v>
      </c>
      <c r="C61" s="89">
        <v>12539432.684891045</v>
      </c>
      <c r="D61" s="89">
        <v>12494019.86554434</v>
      </c>
      <c r="E61" s="89">
        <v>12529120.850334508</v>
      </c>
      <c r="F61" s="89">
        <v>12609573.571391469</v>
      </c>
      <c r="H61" s="183">
        <f t="shared" si="1"/>
        <v>1</v>
      </c>
      <c r="I61" s="183">
        <f t="shared" si="2"/>
        <v>0.99912448859596326</v>
      </c>
      <c r="J61" s="183">
        <f t="shared" si="3"/>
        <v>0.99637839920769111</v>
      </c>
      <c r="K61" s="183">
        <f t="shared" si="4"/>
        <v>1.0028094228413202</v>
      </c>
      <c r="L61" s="183">
        <f t="shared" si="5"/>
        <v>1.0064212582844401</v>
      </c>
    </row>
    <row r="62" spans="1:12" x14ac:dyDescent="0.2">
      <c r="A62" t="s">
        <v>198</v>
      </c>
      <c r="B62" s="89">
        <v>263275431.34826091</v>
      </c>
      <c r="C62" s="89">
        <v>270044384.59215176</v>
      </c>
      <c r="D62" s="89">
        <v>275631458.71966666</v>
      </c>
      <c r="E62" s="89">
        <v>281628175.8246668</v>
      </c>
      <c r="F62" s="89">
        <v>287561468.61455584</v>
      </c>
      <c r="H62" s="183">
        <f t="shared" si="1"/>
        <v>1</v>
      </c>
      <c r="I62" s="183">
        <f t="shared" si="2"/>
        <v>1.025710538994187</v>
      </c>
      <c r="J62" s="183">
        <f t="shared" si="3"/>
        <v>1.0206894660518606</v>
      </c>
      <c r="K62" s="183">
        <f t="shared" si="4"/>
        <v>1.0217562869378387</v>
      </c>
      <c r="L62" s="183">
        <f t="shared" si="5"/>
        <v>1.0210678238159769</v>
      </c>
    </row>
    <row r="63" spans="1:12" x14ac:dyDescent="0.2">
      <c r="A63" t="s">
        <v>199</v>
      </c>
      <c r="B63" s="89">
        <v>3947329.7497717906</v>
      </c>
      <c r="C63" s="89">
        <v>3934135.6364740813</v>
      </c>
      <c r="D63" s="89">
        <v>4009982.0893798461</v>
      </c>
      <c r="E63" s="89">
        <v>4087968.6997953621</v>
      </c>
      <c r="F63" s="89">
        <v>4164080.2630226938</v>
      </c>
      <c r="H63" s="183">
        <f t="shared" si="1"/>
        <v>1</v>
      </c>
      <c r="I63" s="183">
        <f t="shared" si="2"/>
        <v>0.99665745855195598</v>
      </c>
      <c r="J63" s="183">
        <f t="shared" si="3"/>
        <v>1.0192790640471514</v>
      </c>
      <c r="K63" s="183">
        <f t="shared" si="4"/>
        <v>1.0194481193873803</v>
      </c>
      <c r="L63" s="183">
        <f t="shared" si="5"/>
        <v>1.0186184310146851</v>
      </c>
    </row>
    <row r="64" spans="1:12" x14ac:dyDescent="0.2">
      <c r="A64" t="s">
        <v>126</v>
      </c>
      <c r="B64" s="89">
        <v>43825570.548750766</v>
      </c>
      <c r="C64" s="89">
        <v>44218859.088613696</v>
      </c>
      <c r="D64" s="89">
        <v>44571467.307956934</v>
      </c>
      <c r="E64" s="89">
        <v>44697948.958462849</v>
      </c>
      <c r="F64" s="89">
        <v>45047953.482814036</v>
      </c>
      <c r="H64" s="183">
        <f t="shared" si="1"/>
        <v>1</v>
      </c>
      <c r="I64" s="183">
        <f t="shared" si="2"/>
        <v>1.0089739513927249</v>
      </c>
      <c r="J64" s="183">
        <f t="shared" si="3"/>
        <v>1.0079741591395792</v>
      </c>
      <c r="K64" s="183">
        <f t="shared" si="4"/>
        <v>1.0028377268720372</v>
      </c>
      <c r="L64" s="183">
        <f t="shared" si="5"/>
        <v>1.007830438141053</v>
      </c>
    </row>
    <row r="65" spans="1:12" x14ac:dyDescent="0.2">
      <c r="A65" t="s">
        <v>200</v>
      </c>
      <c r="B65" s="89">
        <v>75830319.657057986</v>
      </c>
      <c r="C65" s="89">
        <v>77512842.237595499</v>
      </c>
      <c r="D65" s="89">
        <v>79172028.889965892</v>
      </c>
      <c r="E65" s="89">
        <v>81079131.395481229</v>
      </c>
      <c r="F65" s="89">
        <v>82531806.152126014</v>
      </c>
      <c r="H65" s="183">
        <f t="shared" si="1"/>
        <v>1</v>
      </c>
      <c r="I65" s="183">
        <f t="shared" si="2"/>
        <v>1.0221879927204145</v>
      </c>
      <c r="J65" s="183">
        <f t="shared" si="3"/>
        <v>1.0214053130355429</v>
      </c>
      <c r="K65" s="183">
        <f t="shared" si="4"/>
        <v>1.0240880842925706</v>
      </c>
      <c r="L65" s="183">
        <f t="shared" si="5"/>
        <v>1.0179167528270505</v>
      </c>
    </row>
    <row r="66" spans="1:12" x14ac:dyDescent="0.2">
      <c r="A66" t="s">
        <v>201</v>
      </c>
      <c r="B66" s="89">
        <v>66695410.711615294</v>
      </c>
      <c r="C66" s="89">
        <v>68097910.111876696</v>
      </c>
      <c r="D66" s="89">
        <v>69414464.555553809</v>
      </c>
      <c r="E66" s="89">
        <v>70838813.895622954</v>
      </c>
      <c r="F66" s="89">
        <v>72091701.796857968</v>
      </c>
      <c r="H66" s="183">
        <f t="shared" si="1"/>
        <v>1</v>
      </c>
      <c r="I66" s="183">
        <f t="shared" si="2"/>
        <v>1.0210284243742898</v>
      </c>
      <c r="J66" s="183">
        <f t="shared" si="3"/>
        <v>1.0193332576802161</v>
      </c>
      <c r="K66" s="183">
        <f t="shared" si="4"/>
        <v>1.020519488973789</v>
      </c>
      <c r="L66" s="183">
        <f t="shared" si="5"/>
        <v>1.0176864607456737</v>
      </c>
    </row>
    <row r="67" spans="1:12" x14ac:dyDescent="0.2">
      <c r="A67" t="s">
        <v>202</v>
      </c>
      <c r="B67" s="89">
        <v>5080913.4084215676</v>
      </c>
      <c r="C67" s="89">
        <v>5165874.4886314701</v>
      </c>
      <c r="D67" s="89">
        <v>5253940.2928451532</v>
      </c>
      <c r="E67" s="89">
        <v>5344064.6412209254</v>
      </c>
      <c r="F67" s="89">
        <v>5435708.9460135838</v>
      </c>
      <c r="H67" s="183">
        <f t="shared" si="1"/>
        <v>1</v>
      </c>
      <c r="I67" s="183">
        <f t="shared" si="2"/>
        <v>1.016721615461716</v>
      </c>
      <c r="J67" s="183">
        <f t="shared" si="3"/>
        <v>1.0170476081847302</v>
      </c>
      <c r="K67" s="183">
        <f t="shared" si="4"/>
        <v>1.017153668171392</v>
      </c>
      <c r="L67" s="183">
        <f t="shared" si="5"/>
        <v>1.0171488016978254</v>
      </c>
    </row>
    <row r="68" spans="1:12" x14ac:dyDescent="0.2">
      <c r="A68" t="s">
        <v>203</v>
      </c>
      <c r="B68" s="89">
        <v>110976717.26402074</v>
      </c>
      <c r="C68" s="89">
        <v>112802298.94661468</v>
      </c>
      <c r="D68" s="89">
        <v>114532274.53844135</v>
      </c>
      <c r="E68" s="89">
        <v>116394798.75831732</v>
      </c>
      <c r="F68" s="89">
        <v>118058100.05198959</v>
      </c>
      <c r="H68" s="183">
        <f t="shared" si="1"/>
        <v>1</v>
      </c>
      <c r="I68" s="183">
        <f t="shared" si="2"/>
        <v>1.0164501323124451</v>
      </c>
      <c r="J68" s="183">
        <f t="shared" si="3"/>
        <v>1.0153363504820536</v>
      </c>
      <c r="K68" s="183">
        <f t="shared" si="4"/>
        <v>1.016262003242159</v>
      </c>
      <c r="L68" s="183">
        <f t="shared" si="5"/>
        <v>1.0142901685592149</v>
      </c>
    </row>
    <row r="69" spans="1:12" x14ac:dyDescent="0.2">
      <c r="A69" t="s">
        <v>204</v>
      </c>
      <c r="B69" s="89">
        <v>28412292.783595681</v>
      </c>
      <c r="C69" s="89">
        <v>28887309.590643823</v>
      </c>
      <c r="D69" s="89">
        <v>29465453.34607055</v>
      </c>
      <c r="E69" s="89">
        <v>29879589.601876855</v>
      </c>
      <c r="F69" s="89">
        <v>30402379.711701002</v>
      </c>
      <c r="H69" s="183">
        <f t="shared" si="1"/>
        <v>1</v>
      </c>
      <c r="I69" s="183">
        <f t="shared" si="2"/>
        <v>1.0167187073097599</v>
      </c>
      <c r="J69" s="183">
        <f t="shared" si="3"/>
        <v>1.0200137625697749</v>
      </c>
      <c r="K69" s="183">
        <f t="shared" si="4"/>
        <v>1.014054976549734</v>
      </c>
      <c r="L69" s="183">
        <f t="shared" si="5"/>
        <v>1.0174965625964056</v>
      </c>
    </row>
    <row r="70" spans="1:12" x14ac:dyDescent="0.2">
      <c r="A70" t="s">
        <v>205</v>
      </c>
      <c r="B70" s="89">
        <v>69051596.245116562</v>
      </c>
      <c r="C70" s="89">
        <v>70174265.868545532</v>
      </c>
      <c r="D70" s="89">
        <v>71184911.46232681</v>
      </c>
      <c r="E70" s="89">
        <v>72178692.344042227</v>
      </c>
      <c r="F70" s="89">
        <v>73231831.325831801</v>
      </c>
      <c r="H70" s="183">
        <f t="shared" ref="H70:H133" si="6">B70/B70</f>
        <v>1</v>
      </c>
      <c r="I70" s="183">
        <f t="shared" ref="I70:I133" si="7">C70/B70</f>
        <v>1.0162584166692361</v>
      </c>
      <c r="J70" s="183">
        <f t="shared" ref="J70:J133" si="8">D70/C70</f>
        <v>1.0144019403875841</v>
      </c>
      <c r="K70" s="183">
        <f t="shared" ref="K70:K133" si="9">E70/D70</f>
        <v>1.0139605551415394</v>
      </c>
      <c r="L70" s="183">
        <f t="shared" ref="L70:L133" si="10">F70/E70</f>
        <v>1.0145907185013792</v>
      </c>
    </row>
    <row r="71" spans="1:12" x14ac:dyDescent="0.2">
      <c r="A71" t="s">
        <v>206</v>
      </c>
      <c r="B71" s="89">
        <v>12611401.11897666</v>
      </c>
      <c r="C71" s="89">
        <v>12700625.179487789</v>
      </c>
      <c r="D71" s="89">
        <v>12805683.735757282</v>
      </c>
      <c r="E71" s="89">
        <v>12765059.847573861</v>
      </c>
      <c r="F71" s="89">
        <v>12887955.030253846</v>
      </c>
      <c r="H71" s="183">
        <f t="shared" si="6"/>
        <v>1</v>
      </c>
      <c r="I71" s="183">
        <f t="shared" si="7"/>
        <v>1.0070748729399204</v>
      </c>
      <c r="J71" s="183">
        <f t="shared" si="8"/>
        <v>1.0082719200657277</v>
      </c>
      <c r="K71" s="183">
        <f t="shared" si="9"/>
        <v>0.99682766738413298</v>
      </c>
      <c r="L71" s="183">
        <f t="shared" si="10"/>
        <v>1.0096274662357609</v>
      </c>
    </row>
    <row r="72" spans="1:12" x14ac:dyDescent="0.2">
      <c r="A72" t="s">
        <v>207</v>
      </c>
      <c r="B72" s="89">
        <v>26265322.466731075</v>
      </c>
      <c r="C72" s="89">
        <v>26630737.906086467</v>
      </c>
      <c r="D72" s="89">
        <v>26871274.418708719</v>
      </c>
      <c r="E72" s="89">
        <v>27247696.567538001</v>
      </c>
      <c r="F72" s="89">
        <v>27726350.960885528</v>
      </c>
      <c r="H72" s="183">
        <f t="shared" si="6"/>
        <v>1</v>
      </c>
      <c r="I72" s="183">
        <f t="shared" si="7"/>
        <v>1.0139124672776527</v>
      </c>
      <c r="J72" s="183">
        <f t="shared" si="8"/>
        <v>1.0090322886834944</v>
      </c>
      <c r="K72" s="183">
        <f t="shared" si="9"/>
        <v>1.01400834746294</v>
      </c>
      <c r="L72" s="183">
        <f t="shared" si="10"/>
        <v>1.0175667837522009</v>
      </c>
    </row>
    <row r="73" spans="1:12" x14ac:dyDescent="0.2">
      <c r="A73" t="s">
        <v>208</v>
      </c>
      <c r="B73" s="89">
        <v>2608259.9643722102</v>
      </c>
      <c r="C73" s="89">
        <v>2653932.2895541159</v>
      </c>
      <c r="D73" s="89">
        <v>2699897.3542964053</v>
      </c>
      <c r="E73" s="89">
        <v>2748678.1551842755</v>
      </c>
      <c r="F73" s="89">
        <v>2797819.625497953</v>
      </c>
      <c r="H73" s="183">
        <f t="shared" si="6"/>
        <v>1</v>
      </c>
      <c r="I73" s="183">
        <f t="shared" si="7"/>
        <v>1.0175106491706238</v>
      </c>
      <c r="J73" s="183">
        <f t="shared" si="8"/>
        <v>1.0173196071818442</v>
      </c>
      <c r="K73" s="183">
        <f t="shared" si="9"/>
        <v>1.0180676501683459</v>
      </c>
      <c r="L73" s="183">
        <f t="shared" si="10"/>
        <v>1.0178782191072433</v>
      </c>
    </row>
    <row r="74" spans="1:12" x14ac:dyDescent="0.2">
      <c r="A74" t="s">
        <v>209</v>
      </c>
      <c r="B74" s="89">
        <v>12000311.615111329</v>
      </c>
      <c r="C74" s="89">
        <v>12075067.294550324</v>
      </c>
      <c r="D74" s="89">
        <v>12345373.956876589</v>
      </c>
      <c r="E74" s="89">
        <v>12588781.945177224</v>
      </c>
      <c r="F74" s="89">
        <v>12920840.014037922</v>
      </c>
      <c r="H74" s="183">
        <f t="shared" si="6"/>
        <v>1</v>
      </c>
      <c r="I74" s="183">
        <f t="shared" si="7"/>
        <v>1.0062294781866215</v>
      </c>
      <c r="J74" s="183">
        <f t="shared" si="8"/>
        <v>1.0223855201575778</v>
      </c>
      <c r="K74" s="183">
        <f t="shared" si="9"/>
        <v>1.019716534237916</v>
      </c>
      <c r="L74" s="183">
        <f t="shared" si="10"/>
        <v>1.0263772992738118</v>
      </c>
    </row>
    <row r="75" spans="1:12" x14ac:dyDescent="0.2">
      <c r="A75" t="s">
        <v>210</v>
      </c>
      <c r="B75" s="89">
        <v>2492989.0728238234</v>
      </c>
      <c r="C75" s="89">
        <v>2568707.6180280773</v>
      </c>
      <c r="D75" s="89">
        <v>2609155.9686344052</v>
      </c>
      <c r="E75" s="89">
        <v>2652403.7872519754</v>
      </c>
      <c r="F75" s="89">
        <v>2696345.0780121968</v>
      </c>
      <c r="H75" s="183">
        <f t="shared" si="6"/>
        <v>1</v>
      </c>
      <c r="I75" s="183">
        <f t="shared" si="7"/>
        <v>1.0303725940998558</v>
      </c>
      <c r="J75" s="183">
        <f t="shared" si="8"/>
        <v>1.0157465763415219</v>
      </c>
      <c r="K75" s="183">
        <f t="shared" si="9"/>
        <v>1.0165754056627767</v>
      </c>
      <c r="L75" s="183">
        <f t="shared" si="10"/>
        <v>1.0165665917728715</v>
      </c>
    </row>
    <row r="76" spans="1:12" x14ac:dyDescent="0.2">
      <c r="A76" t="s">
        <v>211</v>
      </c>
      <c r="B76" s="89">
        <v>15437838.254373103</v>
      </c>
      <c r="C76" s="89">
        <v>15595317.917580971</v>
      </c>
      <c r="D76" s="89">
        <v>15701469.785579849</v>
      </c>
      <c r="E76" s="89">
        <v>15738190.476474252</v>
      </c>
      <c r="F76" s="89">
        <v>15989284.131351242</v>
      </c>
      <c r="H76" s="183">
        <f t="shared" si="6"/>
        <v>1</v>
      </c>
      <c r="I76" s="183">
        <f t="shared" si="7"/>
        <v>1.0102008882728939</v>
      </c>
      <c r="J76" s="183">
        <f t="shared" si="8"/>
        <v>1.0068066498265618</v>
      </c>
      <c r="K76" s="183">
        <f t="shared" si="9"/>
        <v>1.0023386785693227</v>
      </c>
      <c r="L76" s="183">
        <f t="shared" si="10"/>
        <v>1.0159544170756054</v>
      </c>
    </row>
    <row r="77" spans="1:12" x14ac:dyDescent="0.2">
      <c r="A77" t="s">
        <v>212</v>
      </c>
      <c r="B77" s="89">
        <v>8411576.8705829736</v>
      </c>
      <c r="C77" s="89">
        <v>8503135.257769065</v>
      </c>
      <c r="D77" s="89">
        <v>8596942.3054196201</v>
      </c>
      <c r="E77" s="89">
        <v>8694074.5345409103</v>
      </c>
      <c r="F77" s="89">
        <v>8771426.2874922287</v>
      </c>
      <c r="H77" s="183">
        <f t="shared" si="6"/>
        <v>1</v>
      </c>
      <c r="I77" s="183">
        <f t="shared" si="7"/>
        <v>1.0108848065701319</v>
      </c>
      <c r="J77" s="183">
        <f t="shared" si="8"/>
        <v>1.0110320540373443</v>
      </c>
      <c r="K77" s="183">
        <f t="shared" si="9"/>
        <v>1.0112984623684234</v>
      </c>
      <c r="L77" s="183">
        <f t="shared" si="10"/>
        <v>1.0088970657709462</v>
      </c>
    </row>
    <row r="78" spans="1:12" x14ac:dyDescent="0.2">
      <c r="A78" t="s">
        <v>213</v>
      </c>
      <c r="B78" s="89">
        <v>4841862.2965062866</v>
      </c>
      <c r="C78" s="89">
        <v>4884013.7325110994</v>
      </c>
      <c r="D78" s="89">
        <v>4961586.7896461859</v>
      </c>
      <c r="E78" s="89">
        <v>5072290.7988284305</v>
      </c>
      <c r="F78" s="89">
        <v>5154640.8255366543</v>
      </c>
      <c r="H78" s="183">
        <f t="shared" si="6"/>
        <v>1</v>
      </c>
      <c r="I78" s="183">
        <f t="shared" si="7"/>
        <v>1.0087056247004851</v>
      </c>
      <c r="J78" s="183">
        <f t="shared" si="8"/>
        <v>1.0158830546725761</v>
      </c>
      <c r="K78" s="183">
        <f t="shared" si="9"/>
        <v>1.0223122186259568</v>
      </c>
      <c r="L78" s="183">
        <f t="shared" si="10"/>
        <v>1.0162352731683373</v>
      </c>
    </row>
    <row r="79" spans="1:12" x14ac:dyDescent="0.2">
      <c r="A79" t="s">
        <v>214</v>
      </c>
      <c r="B79" s="89">
        <v>2222837.1389747602</v>
      </c>
      <c r="C79" s="89">
        <v>2235520.7971315482</v>
      </c>
      <c r="D79" s="89">
        <v>2275168.040367519</v>
      </c>
      <c r="E79" s="89">
        <v>2315512.8087593978</v>
      </c>
      <c r="F79" s="89">
        <v>2357422.1501485733</v>
      </c>
      <c r="H79" s="183">
        <f t="shared" si="6"/>
        <v>1</v>
      </c>
      <c r="I79" s="183">
        <f t="shared" si="7"/>
        <v>1.0057060672302056</v>
      </c>
      <c r="J79" s="183">
        <f t="shared" si="8"/>
        <v>1.0177351260998526</v>
      </c>
      <c r="K79" s="183">
        <f t="shared" si="9"/>
        <v>1.0177326543253313</v>
      </c>
      <c r="L79" s="183">
        <f t="shared" si="10"/>
        <v>1.0180993779134522</v>
      </c>
    </row>
    <row r="80" spans="1:12" x14ac:dyDescent="0.2">
      <c r="A80" t="s">
        <v>215</v>
      </c>
      <c r="B80" s="89">
        <v>29581094.326245248</v>
      </c>
      <c r="C80" s="89">
        <v>30138263.516358588</v>
      </c>
      <c r="D80" s="89">
        <v>30749363.319098596</v>
      </c>
      <c r="E80" s="89">
        <v>31407418.645130306</v>
      </c>
      <c r="F80" s="89">
        <v>31803627.934981864</v>
      </c>
      <c r="H80" s="183">
        <f t="shared" si="6"/>
        <v>1</v>
      </c>
      <c r="I80" s="183">
        <f t="shared" si="7"/>
        <v>1.0188353136624497</v>
      </c>
      <c r="J80" s="183">
        <f t="shared" si="8"/>
        <v>1.0202765432191643</v>
      </c>
      <c r="K80" s="183">
        <f t="shared" si="9"/>
        <v>1.0214006163055411</v>
      </c>
      <c r="L80" s="183">
        <f t="shared" si="10"/>
        <v>1.0126151497621723</v>
      </c>
    </row>
    <row r="81" spans="1:12" x14ac:dyDescent="0.2">
      <c r="A81" t="s">
        <v>216</v>
      </c>
      <c r="B81" s="89">
        <v>37714594.459376</v>
      </c>
      <c r="C81" s="89">
        <v>37999396.797880739</v>
      </c>
      <c r="D81" s="89">
        <v>38212903.020927861</v>
      </c>
      <c r="E81" s="89">
        <v>38551907.053146407</v>
      </c>
      <c r="F81" s="89">
        <v>38884400.682883464</v>
      </c>
      <c r="H81" s="183">
        <f t="shared" si="6"/>
        <v>1</v>
      </c>
      <c r="I81" s="183">
        <f t="shared" si="7"/>
        <v>1.0075515153374248</v>
      </c>
      <c r="J81" s="183">
        <f t="shared" si="8"/>
        <v>1.0056186740063997</v>
      </c>
      <c r="K81" s="183">
        <f t="shared" si="9"/>
        <v>1.0088714545459392</v>
      </c>
      <c r="L81" s="183">
        <f t="shared" si="10"/>
        <v>1.0086245702262846</v>
      </c>
    </row>
    <row r="82" spans="1:12" x14ac:dyDescent="0.2">
      <c r="A82" t="s">
        <v>217</v>
      </c>
      <c r="B82" s="89">
        <v>32038127.316199597</v>
      </c>
      <c r="C82" s="89">
        <v>32972324.849949285</v>
      </c>
      <c r="D82" s="89">
        <v>33819000.731177166</v>
      </c>
      <c r="E82" s="89">
        <v>34647911.463791303</v>
      </c>
      <c r="F82" s="89">
        <v>35548128.156895213</v>
      </c>
      <c r="H82" s="183">
        <f t="shared" si="6"/>
        <v>1</v>
      </c>
      <c r="I82" s="183">
        <f t="shared" si="7"/>
        <v>1.0291589306868547</v>
      </c>
      <c r="J82" s="183">
        <f t="shared" si="8"/>
        <v>1.0256783798255338</v>
      </c>
      <c r="K82" s="183">
        <f t="shared" si="9"/>
        <v>1.0245102077143864</v>
      </c>
      <c r="L82" s="183">
        <f t="shared" si="10"/>
        <v>1.0259818458046073</v>
      </c>
    </row>
    <row r="83" spans="1:12" x14ac:dyDescent="0.2">
      <c r="A83" t="s">
        <v>218</v>
      </c>
      <c r="B83" s="89">
        <v>9715651.2386382315</v>
      </c>
      <c r="C83" s="89">
        <v>10011206.996767873</v>
      </c>
      <c r="D83" s="89">
        <v>10119117.482488995</v>
      </c>
      <c r="E83" s="89">
        <v>10320048.422380086</v>
      </c>
      <c r="F83" s="89">
        <v>10526005.761922572</v>
      </c>
      <c r="H83" s="183">
        <f t="shared" si="6"/>
        <v>1</v>
      </c>
      <c r="I83" s="183">
        <f t="shared" si="7"/>
        <v>1.0304205812734657</v>
      </c>
      <c r="J83" s="183">
        <f t="shared" si="8"/>
        <v>1.0107789685855024</v>
      </c>
      <c r="K83" s="183">
        <f t="shared" si="9"/>
        <v>1.0198565675553031</v>
      </c>
      <c r="L83" s="183">
        <f t="shared" si="10"/>
        <v>1.019957012904692</v>
      </c>
    </row>
    <row r="84" spans="1:12" x14ac:dyDescent="0.2">
      <c r="A84" t="s">
        <v>219</v>
      </c>
      <c r="B84" s="89">
        <v>4896438.2832841473</v>
      </c>
      <c r="C84" s="89">
        <v>4975913.2872509221</v>
      </c>
      <c r="D84" s="89">
        <v>5058942.66302671</v>
      </c>
      <c r="E84" s="89">
        <v>5143315.4563162113</v>
      </c>
      <c r="F84" s="89">
        <v>5232272.3082712004</v>
      </c>
      <c r="H84" s="183">
        <f t="shared" si="6"/>
        <v>1</v>
      </c>
      <c r="I84" s="183">
        <f t="shared" si="7"/>
        <v>1.0162311867052614</v>
      </c>
      <c r="J84" s="183">
        <f t="shared" si="8"/>
        <v>1.0166862585786056</v>
      </c>
      <c r="K84" s="183">
        <f t="shared" si="9"/>
        <v>1.0166779500993637</v>
      </c>
      <c r="L84" s="183">
        <f t="shared" si="10"/>
        <v>1.0172956243323061</v>
      </c>
    </row>
    <row r="85" spans="1:12" x14ac:dyDescent="0.2">
      <c r="A85" t="s">
        <v>220</v>
      </c>
      <c r="B85" s="89">
        <v>47171127.30412022</v>
      </c>
      <c r="C85" s="89">
        <v>47709096.786884695</v>
      </c>
      <c r="D85" s="89">
        <v>48301208.541441172</v>
      </c>
      <c r="E85" s="89">
        <v>48755555.422548823</v>
      </c>
      <c r="F85" s="89">
        <v>49299350.603827849</v>
      </c>
      <c r="H85" s="183">
        <f t="shared" si="6"/>
        <v>1</v>
      </c>
      <c r="I85" s="183">
        <f t="shared" si="7"/>
        <v>1.0114046348584398</v>
      </c>
      <c r="J85" s="183">
        <f t="shared" si="8"/>
        <v>1.0124108774727265</v>
      </c>
      <c r="K85" s="183">
        <f t="shared" si="9"/>
        <v>1.0094065323586641</v>
      </c>
      <c r="L85" s="183">
        <f t="shared" si="10"/>
        <v>1.0111535019253934</v>
      </c>
    </row>
    <row r="86" spans="1:12" x14ac:dyDescent="0.2">
      <c r="A86" t="s">
        <v>222</v>
      </c>
      <c r="B86" s="89">
        <v>22472035.291660458</v>
      </c>
      <c r="C86" s="89">
        <v>22890575.370107248</v>
      </c>
      <c r="D86" s="89">
        <v>23360853.970386136</v>
      </c>
      <c r="E86" s="89">
        <v>23716236.428808309</v>
      </c>
      <c r="F86" s="89">
        <v>23974250.911144543</v>
      </c>
      <c r="H86" s="183">
        <f t="shared" si="6"/>
        <v>1</v>
      </c>
      <c r="I86" s="183">
        <f t="shared" si="7"/>
        <v>1.0186249297411043</v>
      </c>
      <c r="J86" s="183">
        <f t="shared" si="8"/>
        <v>1.0205446386853614</v>
      </c>
      <c r="K86" s="183">
        <f t="shared" si="9"/>
        <v>1.0152127340410022</v>
      </c>
      <c r="L86" s="183">
        <f t="shared" si="10"/>
        <v>1.010879233857815</v>
      </c>
    </row>
    <row r="87" spans="1:12" x14ac:dyDescent="0.2">
      <c r="A87" t="s">
        <v>223</v>
      </c>
      <c r="B87" s="89">
        <v>43581423.407639958</v>
      </c>
      <c r="C87" s="89">
        <v>44565591.571609564</v>
      </c>
      <c r="D87" s="89">
        <v>45499711.109917544</v>
      </c>
      <c r="E87" s="89">
        <v>46434397.42337288</v>
      </c>
      <c r="F87" s="89">
        <v>47431894.408706233</v>
      </c>
      <c r="H87" s="183">
        <f t="shared" si="6"/>
        <v>1</v>
      </c>
      <c r="I87" s="183">
        <f t="shared" si="7"/>
        <v>1.0225822859148992</v>
      </c>
      <c r="J87" s="183">
        <f t="shared" si="8"/>
        <v>1.020960555113624</v>
      </c>
      <c r="K87" s="183">
        <f t="shared" si="9"/>
        <v>1.0205426867699738</v>
      </c>
      <c r="L87" s="183">
        <f t="shared" si="10"/>
        <v>1.021481854846495</v>
      </c>
    </row>
    <row r="88" spans="1:12" x14ac:dyDescent="0.2">
      <c r="A88" t="s">
        <v>224</v>
      </c>
      <c r="B88" s="89">
        <v>68925701.634217799</v>
      </c>
      <c r="C88" s="89">
        <v>70564177.86005877</v>
      </c>
      <c r="D88" s="89">
        <v>71985634.682197198</v>
      </c>
      <c r="E88" s="89">
        <v>73509734.806856707</v>
      </c>
      <c r="F88" s="89">
        <v>75037116.953091264</v>
      </c>
      <c r="H88" s="183">
        <f t="shared" si="6"/>
        <v>1</v>
      </c>
      <c r="I88" s="183">
        <f t="shared" si="7"/>
        <v>1.023771629261552</v>
      </c>
      <c r="J88" s="183">
        <f t="shared" si="8"/>
        <v>1.0201441703885139</v>
      </c>
      <c r="K88" s="183">
        <f t="shared" si="9"/>
        <v>1.0211722815446183</v>
      </c>
      <c r="L88" s="183">
        <f t="shared" si="10"/>
        <v>1.0207779575079095</v>
      </c>
    </row>
    <row r="89" spans="1:12" x14ac:dyDescent="0.2">
      <c r="A89" t="s">
        <v>225</v>
      </c>
      <c r="B89" s="89">
        <v>22140170.085725401</v>
      </c>
      <c r="C89" s="89">
        <v>22502850.01334513</v>
      </c>
      <c r="D89" s="89">
        <v>22870873.936694141</v>
      </c>
      <c r="E89" s="89">
        <v>23075197.509366725</v>
      </c>
      <c r="F89" s="89">
        <v>23331980.975203875</v>
      </c>
      <c r="H89" s="183">
        <f t="shared" si="6"/>
        <v>1</v>
      </c>
      <c r="I89" s="183">
        <f t="shared" si="7"/>
        <v>1.0163810813654752</v>
      </c>
      <c r="J89" s="183">
        <f t="shared" si="8"/>
        <v>1.016354547229829</v>
      </c>
      <c r="K89" s="183">
        <f t="shared" si="9"/>
        <v>1.0089337894668189</v>
      </c>
      <c r="L89" s="183">
        <f t="shared" si="10"/>
        <v>1.0111281156199385</v>
      </c>
    </row>
    <row r="90" spans="1:12" x14ac:dyDescent="0.2">
      <c r="A90" t="s">
        <v>226</v>
      </c>
      <c r="B90" s="89">
        <v>13013964.105450368</v>
      </c>
      <c r="C90" s="89">
        <v>13092220.299840858</v>
      </c>
      <c r="D90" s="89">
        <v>13399391.133374372</v>
      </c>
      <c r="E90" s="89">
        <v>13486260.077530084</v>
      </c>
      <c r="F90" s="89">
        <v>13702608.724130984</v>
      </c>
      <c r="H90" s="183">
        <f t="shared" si="6"/>
        <v>1</v>
      </c>
      <c r="I90" s="183">
        <f t="shared" si="7"/>
        <v>1.0060132480585002</v>
      </c>
      <c r="J90" s="183">
        <f t="shared" si="8"/>
        <v>1.0234620886678212</v>
      </c>
      <c r="K90" s="183">
        <f t="shared" si="9"/>
        <v>1.0064830516021988</v>
      </c>
      <c r="L90" s="183">
        <f t="shared" si="10"/>
        <v>1.0160421529287698</v>
      </c>
    </row>
    <row r="91" spans="1:12" x14ac:dyDescent="0.2">
      <c r="A91" t="s">
        <v>227</v>
      </c>
      <c r="B91" s="89">
        <v>4650364.9857804514</v>
      </c>
      <c r="C91" s="89">
        <v>4734270.5793433748</v>
      </c>
      <c r="D91" s="89">
        <v>4819061.3298585946</v>
      </c>
      <c r="E91" s="89">
        <v>4906143.8511956697</v>
      </c>
      <c r="F91" s="89">
        <v>4996876.0007210923</v>
      </c>
      <c r="H91" s="183">
        <f t="shared" si="6"/>
        <v>1</v>
      </c>
      <c r="I91" s="183">
        <f t="shared" si="7"/>
        <v>1.0180427974620236</v>
      </c>
      <c r="J91" s="183">
        <f t="shared" si="8"/>
        <v>1.0179099924886381</v>
      </c>
      <c r="K91" s="183">
        <f t="shared" si="9"/>
        <v>1.0180704322639593</v>
      </c>
      <c r="L91" s="183">
        <f t="shared" si="10"/>
        <v>1.0184935770897363</v>
      </c>
    </row>
    <row r="92" spans="1:12" x14ac:dyDescent="0.2">
      <c r="A92" t="s">
        <v>228</v>
      </c>
      <c r="B92" s="89">
        <v>102066028.81780389</v>
      </c>
      <c r="C92" s="89">
        <v>103859576.16265467</v>
      </c>
      <c r="D92" s="89">
        <v>105607065.5627301</v>
      </c>
      <c r="E92" s="89">
        <v>107214337.73466346</v>
      </c>
      <c r="F92" s="89">
        <v>109156193.13440484</v>
      </c>
      <c r="H92" s="183">
        <f t="shared" si="6"/>
        <v>1</v>
      </c>
      <c r="I92" s="183">
        <f t="shared" si="7"/>
        <v>1.0175724221430462</v>
      </c>
      <c r="J92" s="183">
        <f t="shared" si="8"/>
        <v>1.0168255009758436</v>
      </c>
      <c r="K92" s="183">
        <f t="shared" si="9"/>
        <v>1.0152193621077241</v>
      </c>
      <c r="L92" s="183">
        <f t="shared" si="10"/>
        <v>1.0181119003369412</v>
      </c>
    </row>
    <row r="93" spans="1:12" x14ac:dyDescent="0.2">
      <c r="A93" t="s">
        <v>229</v>
      </c>
      <c r="B93" s="89">
        <v>22639976.730821777</v>
      </c>
      <c r="C93" s="89">
        <v>22838847.426448792</v>
      </c>
      <c r="D93" s="89">
        <v>22888742.495292805</v>
      </c>
      <c r="E93" s="89">
        <v>22887932.704482891</v>
      </c>
      <c r="F93" s="89">
        <v>23067915.159442395</v>
      </c>
      <c r="H93" s="183">
        <f t="shared" si="6"/>
        <v>1</v>
      </c>
      <c r="I93" s="183">
        <f t="shared" si="7"/>
        <v>1.0087840503544456</v>
      </c>
      <c r="J93" s="183">
        <f t="shared" si="8"/>
        <v>1.0021846579169416</v>
      </c>
      <c r="K93" s="183">
        <f t="shared" si="9"/>
        <v>0.99996462056357704</v>
      </c>
      <c r="L93" s="183">
        <f t="shared" si="10"/>
        <v>1.0078636396429221</v>
      </c>
    </row>
    <row r="94" spans="1:12" x14ac:dyDescent="0.2">
      <c r="A94" t="s">
        <v>230</v>
      </c>
      <c r="B94" s="89">
        <v>20049005.75305701</v>
      </c>
      <c r="C94" s="89">
        <v>20683123.422440317</v>
      </c>
      <c r="D94" s="89">
        <v>21198310.975076072</v>
      </c>
      <c r="E94" s="89">
        <v>21777621.434810635</v>
      </c>
      <c r="F94" s="89">
        <v>22391679.743833911</v>
      </c>
      <c r="H94" s="183">
        <f t="shared" si="6"/>
        <v>1</v>
      </c>
      <c r="I94" s="183">
        <f t="shared" si="7"/>
        <v>1.0316283848283407</v>
      </c>
      <c r="J94" s="183">
        <f t="shared" si="8"/>
        <v>1.0249085953853951</v>
      </c>
      <c r="K94" s="183">
        <f t="shared" si="9"/>
        <v>1.0273281423418916</v>
      </c>
      <c r="L94" s="183">
        <f t="shared" si="10"/>
        <v>1.0281967574310815</v>
      </c>
    </row>
    <row r="95" spans="1:12" x14ac:dyDescent="0.2">
      <c r="A95" t="s">
        <v>231</v>
      </c>
      <c r="B95" s="89">
        <v>18014286.866258852</v>
      </c>
      <c r="C95" s="89">
        <v>18149810.450917151</v>
      </c>
      <c r="D95" s="89">
        <v>18308819.22779388</v>
      </c>
      <c r="E95" s="89">
        <v>18475111.371740498</v>
      </c>
      <c r="F95" s="89">
        <v>18758984.805909544</v>
      </c>
      <c r="H95" s="183">
        <f t="shared" si="6"/>
        <v>1</v>
      </c>
      <c r="I95" s="183">
        <f t="shared" si="7"/>
        <v>1.007523116827463</v>
      </c>
      <c r="J95" s="183">
        <f t="shared" si="8"/>
        <v>1.0087609056472926</v>
      </c>
      <c r="K95" s="183">
        <f t="shared" si="9"/>
        <v>1.0090826252571317</v>
      </c>
      <c r="L95" s="183">
        <f t="shared" si="10"/>
        <v>1.0153651812136439</v>
      </c>
    </row>
    <row r="96" spans="1:12" x14ac:dyDescent="0.2">
      <c r="A96" t="s">
        <v>232</v>
      </c>
      <c r="B96" s="89">
        <v>2488820.258428399</v>
      </c>
      <c r="C96" s="89">
        <v>2494028.1399304075</v>
      </c>
      <c r="D96" s="89">
        <v>2534464.2195477346</v>
      </c>
      <c r="E96" s="89">
        <v>2576258.7174259285</v>
      </c>
      <c r="F96" s="89">
        <v>2582000.5318061677</v>
      </c>
      <c r="H96" s="183">
        <f t="shared" si="6"/>
        <v>1</v>
      </c>
      <c r="I96" s="183">
        <f t="shared" si="7"/>
        <v>1.0020925100896185</v>
      </c>
      <c r="J96" s="183">
        <f t="shared" si="8"/>
        <v>1.0162131609382945</v>
      </c>
      <c r="K96" s="183">
        <f t="shared" si="9"/>
        <v>1.0164904667250154</v>
      </c>
      <c r="L96" s="183">
        <f t="shared" si="10"/>
        <v>1.0022287413687925</v>
      </c>
    </row>
    <row r="97" spans="1:12" x14ac:dyDescent="0.2">
      <c r="A97" t="s">
        <v>233</v>
      </c>
      <c r="B97" s="89">
        <v>15781341.122957245</v>
      </c>
      <c r="C97" s="89">
        <v>15943078.812555971</v>
      </c>
      <c r="D97" s="89">
        <v>16013313.241968462</v>
      </c>
      <c r="E97" s="89">
        <v>16147807.397930581</v>
      </c>
      <c r="F97" s="89">
        <v>16262612.585182067</v>
      </c>
      <c r="H97" s="183">
        <f t="shared" si="6"/>
        <v>1</v>
      </c>
      <c r="I97" s="183">
        <f t="shared" si="7"/>
        <v>1.0102486657083565</v>
      </c>
      <c r="J97" s="183">
        <f t="shared" si="8"/>
        <v>1.0044053241057291</v>
      </c>
      <c r="K97" s="183">
        <f t="shared" si="9"/>
        <v>1.0083988962140347</v>
      </c>
      <c r="L97" s="183">
        <f t="shared" si="10"/>
        <v>1.0071096455650195</v>
      </c>
    </row>
    <row r="98" spans="1:12" x14ac:dyDescent="0.2">
      <c r="A98" t="s">
        <v>234</v>
      </c>
      <c r="B98" s="89">
        <v>113689971.3893519</v>
      </c>
      <c r="C98" s="89">
        <v>116240673.57773063</v>
      </c>
      <c r="D98" s="89">
        <v>118859668.55278416</v>
      </c>
      <c r="E98" s="89">
        <v>121249603.32974625</v>
      </c>
      <c r="F98" s="89">
        <v>123825953.29639693</v>
      </c>
      <c r="H98" s="183">
        <f t="shared" si="6"/>
        <v>1</v>
      </c>
      <c r="I98" s="183">
        <f t="shared" si="7"/>
        <v>1.0224355953054416</v>
      </c>
      <c r="J98" s="183">
        <f t="shared" si="8"/>
        <v>1.0225307966174353</v>
      </c>
      <c r="K98" s="183">
        <f t="shared" si="9"/>
        <v>1.020107197050619</v>
      </c>
      <c r="L98" s="183">
        <f t="shared" si="10"/>
        <v>1.0212483166616564</v>
      </c>
    </row>
    <row r="99" spans="1:12" x14ac:dyDescent="0.2">
      <c r="A99" t="s">
        <v>235</v>
      </c>
      <c r="B99" s="89">
        <v>9833707.2584907617</v>
      </c>
      <c r="C99" s="89">
        <v>10101518.62159371</v>
      </c>
      <c r="D99" s="89">
        <v>10248471.374904761</v>
      </c>
      <c r="E99" s="89">
        <v>10460726.188063668</v>
      </c>
      <c r="F99" s="89">
        <v>10634331.822213737</v>
      </c>
      <c r="H99" s="183">
        <f t="shared" si="6"/>
        <v>1</v>
      </c>
      <c r="I99" s="183">
        <f t="shared" si="7"/>
        <v>1.027234018266276</v>
      </c>
      <c r="J99" s="183">
        <f t="shared" si="8"/>
        <v>1.0145475902006371</v>
      </c>
      <c r="K99" s="183">
        <f t="shared" si="9"/>
        <v>1.020710875348557</v>
      </c>
      <c r="L99" s="183">
        <f t="shared" si="10"/>
        <v>1.0165959447775399</v>
      </c>
    </row>
    <row r="100" spans="1:12" x14ac:dyDescent="0.2">
      <c r="A100" t="s">
        <v>236</v>
      </c>
      <c r="B100" s="89">
        <v>6404365.9980200669</v>
      </c>
      <c r="C100" s="89">
        <v>6512381.3186252434</v>
      </c>
      <c r="D100" s="89">
        <v>6621159.0583755923</v>
      </c>
      <c r="E100" s="89">
        <v>6731697.0371442949</v>
      </c>
      <c r="F100" s="89">
        <v>6846121.5030689826</v>
      </c>
      <c r="H100" s="183">
        <f t="shared" si="6"/>
        <v>1</v>
      </c>
      <c r="I100" s="183">
        <f t="shared" si="7"/>
        <v>1.016865888151703</v>
      </c>
      <c r="J100" s="183">
        <f t="shared" si="8"/>
        <v>1.0167032202858342</v>
      </c>
      <c r="K100" s="183">
        <f t="shared" si="9"/>
        <v>1.0166946569013282</v>
      </c>
      <c r="L100" s="183">
        <f t="shared" si="10"/>
        <v>1.0169978632866741</v>
      </c>
    </row>
    <row r="101" spans="1:12" x14ac:dyDescent="0.2">
      <c r="A101" t="s">
        <v>237</v>
      </c>
      <c r="B101" s="89">
        <v>33807951.263200954</v>
      </c>
      <c r="C101" s="89">
        <v>34562888.906310208</v>
      </c>
      <c r="D101" s="89">
        <v>35521222.038422555</v>
      </c>
      <c r="E101" s="89">
        <v>36381720.325831011</v>
      </c>
      <c r="F101" s="89">
        <v>37140354.882661738</v>
      </c>
      <c r="H101" s="183">
        <f t="shared" si="6"/>
        <v>1</v>
      </c>
      <c r="I101" s="183">
        <f t="shared" si="7"/>
        <v>1.0223301801766078</v>
      </c>
      <c r="J101" s="183">
        <f t="shared" si="8"/>
        <v>1.0277272288988952</v>
      </c>
      <c r="K101" s="183">
        <f t="shared" si="9"/>
        <v>1.0242249066340587</v>
      </c>
      <c r="L101" s="183">
        <f t="shared" si="10"/>
        <v>1.0208520803864267</v>
      </c>
    </row>
    <row r="102" spans="1:12" x14ac:dyDescent="0.2">
      <c r="A102" t="s">
        <v>238</v>
      </c>
      <c r="B102" s="89">
        <v>5273025.3608080754</v>
      </c>
      <c r="C102" s="89">
        <v>5312011.7437102254</v>
      </c>
      <c r="D102" s="89">
        <v>5421389.0351425065</v>
      </c>
      <c r="E102" s="89">
        <v>5531306.4273176566</v>
      </c>
      <c r="F102" s="89">
        <v>5610062.9859412275</v>
      </c>
      <c r="H102" s="183">
        <f t="shared" si="6"/>
        <v>1</v>
      </c>
      <c r="I102" s="183">
        <f t="shared" si="7"/>
        <v>1.0073935511844714</v>
      </c>
      <c r="J102" s="183">
        <f t="shared" si="8"/>
        <v>1.0205905590404221</v>
      </c>
      <c r="K102" s="183">
        <f t="shared" si="9"/>
        <v>1.0202747656481843</v>
      </c>
      <c r="L102" s="183">
        <f t="shared" si="10"/>
        <v>1.0142383286224415</v>
      </c>
    </row>
    <row r="103" spans="1:12" x14ac:dyDescent="0.2">
      <c r="A103" t="s">
        <v>239</v>
      </c>
      <c r="B103" s="89">
        <v>5685479.5526888706</v>
      </c>
      <c r="C103" s="89">
        <v>5793294.6249368247</v>
      </c>
      <c r="D103" s="89">
        <v>5900856.9782242179</v>
      </c>
      <c r="E103" s="89">
        <v>6015105.7186219003</v>
      </c>
      <c r="F103" s="89">
        <v>6130377.6939164083</v>
      </c>
      <c r="H103" s="183">
        <f t="shared" si="6"/>
        <v>1</v>
      </c>
      <c r="I103" s="183">
        <f t="shared" si="7"/>
        <v>1.018963232784289</v>
      </c>
      <c r="J103" s="183">
        <f t="shared" si="8"/>
        <v>1.0185666982694783</v>
      </c>
      <c r="K103" s="183">
        <f t="shared" si="9"/>
        <v>1.0193613810365667</v>
      </c>
      <c r="L103" s="183">
        <f t="shared" si="10"/>
        <v>1.0191637488494412</v>
      </c>
    </row>
    <row r="104" spans="1:12" x14ac:dyDescent="0.2">
      <c r="A104" t="s">
        <v>240</v>
      </c>
      <c r="B104" s="89">
        <v>101213165.98096046</v>
      </c>
      <c r="C104" s="89">
        <v>102898579.3302702</v>
      </c>
      <c r="D104" s="89">
        <v>104908110.22892806</v>
      </c>
      <c r="E104" s="89">
        <v>106483608.20038715</v>
      </c>
      <c r="F104" s="89">
        <v>108010706.83797808</v>
      </c>
      <c r="H104" s="183">
        <f t="shared" si="6"/>
        <v>1</v>
      </c>
      <c r="I104" s="183">
        <f t="shared" si="7"/>
        <v>1.0166521156904309</v>
      </c>
      <c r="J104" s="183">
        <f t="shared" si="8"/>
        <v>1.0195292385156061</v>
      </c>
      <c r="K104" s="183">
        <f t="shared" si="9"/>
        <v>1.015017885347673</v>
      </c>
      <c r="L104" s="183">
        <f t="shared" si="10"/>
        <v>1.0143411616435569</v>
      </c>
    </row>
    <row r="105" spans="1:12" x14ac:dyDescent="0.2">
      <c r="A105" t="s">
        <v>241</v>
      </c>
      <c r="B105" s="89">
        <v>207949305.34554672</v>
      </c>
      <c r="C105" s="89">
        <v>211027100.42655572</v>
      </c>
      <c r="D105" s="89">
        <v>214245943.54051846</v>
      </c>
      <c r="E105" s="89">
        <v>217412773.99789014</v>
      </c>
      <c r="F105" s="89">
        <v>220870688.54475215</v>
      </c>
      <c r="H105" s="183">
        <f t="shared" si="6"/>
        <v>1</v>
      </c>
      <c r="I105" s="183">
        <f t="shared" si="7"/>
        <v>1.0148006990256335</v>
      </c>
      <c r="J105" s="183">
        <f t="shared" si="8"/>
        <v>1.0152532215410077</v>
      </c>
      <c r="K105" s="183">
        <f t="shared" si="9"/>
        <v>1.01478128549385</v>
      </c>
      <c r="L105" s="183">
        <f t="shared" si="10"/>
        <v>1.0159048361477396</v>
      </c>
    </row>
    <row r="106" spans="1:12" x14ac:dyDescent="0.2">
      <c r="A106" t="s">
        <v>242</v>
      </c>
      <c r="B106" s="89">
        <v>13668861.843986306</v>
      </c>
      <c r="C106" s="89">
        <v>13918149.633035658</v>
      </c>
      <c r="D106" s="89">
        <v>14269433.676549848</v>
      </c>
      <c r="E106" s="89">
        <v>14552713.442135485</v>
      </c>
      <c r="F106" s="89">
        <v>14819754.240473002</v>
      </c>
      <c r="H106" s="183">
        <f t="shared" si="6"/>
        <v>1</v>
      </c>
      <c r="I106" s="183">
        <f t="shared" si="7"/>
        <v>1.0182376405508136</v>
      </c>
      <c r="J106" s="183">
        <f t="shared" si="8"/>
        <v>1.0252392776896431</v>
      </c>
      <c r="K106" s="183">
        <f t="shared" si="9"/>
        <v>1.0198522080137753</v>
      </c>
      <c r="L106" s="183">
        <f t="shared" si="10"/>
        <v>1.0183498973850702</v>
      </c>
    </row>
    <row r="107" spans="1:12" x14ac:dyDescent="0.2">
      <c r="A107" t="s">
        <v>243</v>
      </c>
      <c r="B107" s="89">
        <v>15860539.786227329</v>
      </c>
      <c r="C107" s="89">
        <v>16084051.085483095</v>
      </c>
      <c r="D107" s="89">
        <v>16514856.972456466</v>
      </c>
      <c r="E107" s="89">
        <v>16768774.684236849</v>
      </c>
      <c r="F107" s="89">
        <v>16941244.746040747</v>
      </c>
      <c r="H107" s="183">
        <f t="shared" si="6"/>
        <v>1</v>
      </c>
      <c r="I107" s="183">
        <f t="shared" si="7"/>
        <v>1.0140922882996615</v>
      </c>
      <c r="J107" s="183">
        <f t="shared" si="8"/>
        <v>1.0267846629362054</v>
      </c>
      <c r="K107" s="183">
        <f t="shared" si="9"/>
        <v>1.0153751081346856</v>
      </c>
      <c r="L107" s="183">
        <f t="shared" si="10"/>
        <v>1.0102851916762901</v>
      </c>
    </row>
    <row r="108" spans="1:12" x14ac:dyDescent="0.2">
      <c r="A108" t="s">
        <v>244</v>
      </c>
      <c r="B108" s="89">
        <v>22737829.736462466</v>
      </c>
      <c r="C108" s="89">
        <v>22813818.917026713</v>
      </c>
      <c r="D108" s="89">
        <v>22922640.576971263</v>
      </c>
      <c r="E108" s="89">
        <v>22704252.598182209</v>
      </c>
      <c r="F108" s="89">
        <v>22810883.052829843</v>
      </c>
      <c r="H108" s="183">
        <f t="shared" si="6"/>
        <v>1</v>
      </c>
      <c r="I108" s="183">
        <f t="shared" si="7"/>
        <v>1.0033419715709451</v>
      </c>
      <c r="J108" s="183">
        <f t="shared" si="8"/>
        <v>1.004769988766034</v>
      </c>
      <c r="K108" s="183">
        <f t="shared" si="9"/>
        <v>0.99047282628474953</v>
      </c>
      <c r="L108" s="183">
        <f t="shared" si="10"/>
        <v>1.0046964970190726</v>
      </c>
    </row>
    <row r="109" spans="1:12" x14ac:dyDescent="0.2">
      <c r="A109" t="s">
        <v>245</v>
      </c>
      <c r="B109" s="89">
        <v>5662860.1843063906</v>
      </c>
      <c r="C109" s="89">
        <v>5728279.0160170048</v>
      </c>
      <c r="D109" s="89">
        <v>5801181.3153876038</v>
      </c>
      <c r="E109" s="89">
        <v>5825201.8463052679</v>
      </c>
      <c r="F109" s="89">
        <v>5915805.0557372449</v>
      </c>
      <c r="H109" s="183">
        <f t="shared" si="6"/>
        <v>1</v>
      </c>
      <c r="I109" s="183">
        <f t="shared" si="7"/>
        <v>1.0115522597382698</v>
      </c>
      <c r="J109" s="183">
        <f t="shared" si="8"/>
        <v>1.0127267368029307</v>
      </c>
      <c r="K109" s="183">
        <f t="shared" si="9"/>
        <v>1.0041406275052893</v>
      </c>
      <c r="L109" s="183">
        <f t="shared" si="10"/>
        <v>1.0155536600829451</v>
      </c>
    </row>
    <row r="110" spans="1:12" x14ac:dyDescent="0.2">
      <c r="A110" t="s">
        <v>246</v>
      </c>
      <c r="B110" s="89">
        <v>218279994.05016336</v>
      </c>
      <c r="C110" s="89">
        <v>224070365.04091477</v>
      </c>
      <c r="D110" s="89">
        <v>229834687.01777047</v>
      </c>
      <c r="E110" s="89">
        <v>236330977.61518908</v>
      </c>
      <c r="F110" s="89">
        <v>242588076.39329001</v>
      </c>
      <c r="H110" s="183">
        <f t="shared" si="6"/>
        <v>1</v>
      </c>
      <c r="I110" s="183">
        <f t="shared" si="7"/>
        <v>1.0265272638289551</v>
      </c>
      <c r="J110" s="183">
        <f t="shared" si="8"/>
        <v>1.0257254991118667</v>
      </c>
      <c r="K110" s="183">
        <f t="shared" si="9"/>
        <v>1.0282650572971013</v>
      </c>
      <c r="L110" s="183">
        <f t="shared" si="10"/>
        <v>1.0264759992161891</v>
      </c>
    </row>
    <row r="111" spans="1:12" x14ac:dyDescent="0.2">
      <c r="A111" t="s">
        <v>247</v>
      </c>
      <c r="B111" s="89">
        <v>9575853.3451595847</v>
      </c>
      <c r="C111" s="89">
        <v>9712379.7404250652</v>
      </c>
      <c r="D111" s="89">
        <v>9813877.8209832404</v>
      </c>
      <c r="E111" s="89">
        <v>9958036.2919499986</v>
      </c>
      <c r="F111" s="89">
        <v>10106632.466119258</v>
      </c>
      <c r="H111" s="183">
        <f t="shared" si="6"/>
        <v>1</v>
      </c>
      <c r="I111" s="183">
        <f t="shared" si="7"/>
        <v>1.0142573607118255</v>
      </c>
      <c r="J111" s="183">
        <f t="shared" si="8"/>
        <v>1.0104503822205095</v>
      </c>
      <c r="K111" s="183">
        <f t="shared" si="9"/>
        <v>1.0146892465543569</v>
      </c>
      <c r="L111" s="183">
        <f t="shared" si="10"/>
        <v>1.0149222366551709</v>
      </c>
    </row>
    <row r="112" spans="1:12" x14ac:dyDescent="0.2">
      <c r="A112" t="s">
        <v>248</v>
      </c>
      <c r="B112" s="89">
        <v>48201482.08705458</v>
      </c>
      <c r="C112" s="89">
        <v>48449360.230102979</v>
      </c>
      <c r="D112" s="89">
        <v>48859299.694449887</v>
      </c>
      <c r="E112" s="89">
        <v>49346179.634618856</v>
      </c>
      <c r="F112" s="89">
        <v>50020254.992289767</v>
      </c>
      <c r="H112" s="183">
        <f t="shared" si="6"/>
        <v>1</v>
      </c>
      <c r="I112" s="183">
        <f t="shared" si="7"/>
        <v>1.0051425419367961</v>
      </c>
      <c r="J112" s="183">
        <f t="shared" si="8"/>
        <v>1.0084611945833746</v>
      </c>
      <c r="K112" s="183">
        <f t="shared" si="9"/>
        <v>1.0099649389822154</v>
      </c>
      <c r="L112" s="183">
        <f t="shared" si="10"/>
        <v>1.0136601326113199</v>
      </c>
    </row>
    <row r="113" spans="1:12" x14ac:dyDescent="0.2">
      <c r="A113" t="s">
        <v>249</v>
      </c>
      <c r="B113" s="89">
        <v>1915285.9577804268</v>
      </c>
      <c r="C113" s="89">
        <v>1956631.9534457924</v>
      </c>
      <c r="D113" s="89">
        <v>1997800.9982110264</v>
      </c>
      <c r="E113" s="89">
        <v>2037660.9152989353</v>
      </c>
      <c r="F113" s="89">
        <v>2081648.8531301417</v>
      </c>
      <c r="H113" s="183">
        <f t="shared" si="6"/>
        <v>1</v>
      </c>
      <c r="I113" s="183">
        <f t="shared" si="7"/>
        <v>1.0215873747193762</v>
      </c>
      <c r="J113" s="183">
        <f t="shared" si="8"/>
        <v>1.0210407709496576</v>
      </c>
      <c r="K113" s="183">
        <f t="shared" si="9"/>
        <v>1.0199518956710916</v>
      </c>
      <c r="L113" s="183">
        <f t="shared" si="10"/>
        <v>1.0215874670318998</v>
      </c>
    </row>
    <row r="114" spans="1:12" x14ac:dyDescent="0.2">
      <c r="A114" t="s">
        <v>250</v>
      </c>
      <c r="B114" s="89">
        <v>32290968.050737131</v>
      </c>
      <c r="C114" s="89">
        <v>32197064.901157513</v>
      </c>
      <c r="D114" s="89">
        <v>32536314.98162014</v>
      </c>
      <c r="E114" s="89">
        <v>32625960.492973249</v>
      </c>
      <c r="F114" s="89">
        <v>32789024.952467568</v>
      </c>
      <c r="H114" s="183">
        <f t="shared" si="6"/>
        <v>1</v>
      </c>
      <c r="I114" s="183">
        <f t="shared" si="7"/>
        <v>0.99709196858291538</v>
      </c>
      <c r="J114" s="183">
        <f t="shared" si="8"/>
        <v>1.0105366772252098</v>
      </c>
      <c r="K114" s="183">
        <f t="shared" si="9"/>
        <v>1.0027552447597017</v>
      </c>
      <c r="L114" s="183">
        <f t="shared" si="10"/>
        <v>1.0049979972092911</v>
      </c>
    </row>
    <row r="115" spans="1:12" x14ac:dyDescent="0.2">
      <c r="A115" t="s">
        <v>310</v>
      </c>
      <c r="B115" s="89">
        <v>13952318.518851787</v>
      </c>
      <c r="C115" s="89">
        <v>14091567.726207497</v>
      </c>
      <c r="D115" s="89">
        <v>14279185.471684054</v>
      </c>
      <c r="E115" s="89">
        <v>14363811.249100745</v>
      </c>
      <c r="F115" s="89">
        <v>14614226.882869905</v>
      </c>
      <c r="H115" s="183">
        <f t="shared" si="6"/>
        <v>1</v>
      </c>
      <c r="I115" s="183">
        <f t="shared" si="7"/>
        <v>1.0099803632756492</v>
      </c>
      <c r="J115" s="183">
        <f t="shared" si="8"/>
        <v>1.0133141854137084</v>
      </c>
      <c r="K115" s="183">
        <f t="shared" si="9"/>
        <v>1.0059265129362249</v>
      </c>
      <c r="L115" s="183">
        <f t="shared" si="10"/>
        <v>1.0174337875530659</v>
      </c>
    </row>
    <row r="116" spans="1:12" x14ac:dyDescent="0.2">
      <c r="A116" t="s">
        <v>251</v>
      </c>
      <c r="B116" s="89">
        <v>2844085.9990616101</v>
      </c>
      <c r="C116" s="89">
        <v>2885145.5342371268</v>
      </c>
      <c r="D116" s="89">
        <v>2927419.6178097716</v>
      </c>
      <c r="E116" s="89">
        <v>2971669.5880049686</v>
      </c>
      <c r="F116" s="89">
        <v>3018582.6116385893</v>
      </c>
      <c r="H116" s="183">
        <f t="shared" si="6"/>
        <v>1</v>
      </c>
      <c r="I116" s="183">
        <f t="shared" si="7"/>
        <v>1.0144368121038057</v>
      </c>
      <c r="J116" s="183">
        <f t="shared" si="8"/>
        <v>1.0146523227584159</v>
      </c>
      <c r="K116" s="183">
        <f t="shared" si="9"/>
        <v>1.0151156909402363</v>
      </c>
      <c r="L116" s="183">
        <f t="shared" si="10"/>
        <v>1.0157867563146936</v>
      </c>
    </row>
    <row r="117" spans="1:12" x14ac:dyDescent="0.2">
      <c r="A117" t="s">
        <v>252</v>
      </c>
      <c r="B117" s="89">
        <v>8008742.5406757668</v>
      </c>
      <c r="C117" s="89">
        <v>8124007.4192022691</v>
      </c>
      <c r="D117" s="89">
        <v>8275437.9146777987</v>
      </c>
      <c r="E117" s="89">
        <v>8376943.4447596176</v>
      </c>
      <c r="F117" s="89">
        <v>8499346.8238914721</v>
      </c>
      <c r="H117" s="183">
        <f t="shared" si="6"/>
        <v>1</v>
      </c>
      <c r="I117" s="183">
        <f t="shared" si="7"/>
        <v>1.0143923815681526</v>
      </c>
      <c r="J117" s="183">
        <f t="shared" si="8"/>
        <v>1.0186398765611171</v>
      </c>
      <c r="K117" s="183">
        <f t="shared" si="9"/>
        <v>1.0122658802021562</v>
      </c>
      <c r="L117" s="183">
        <f t="shared" si="10"/>
        <v>1.014611938105948</v>
      </c>
    </row>
    <row r="118" spans="1:12" x14ac:dyDescent="0.2">
      <c r="A118" t="s">
        <v>253</v>
      </c>
      <c r="B118" s="89">
        <v>7853865.6283440441</v>
      </c>
      <c r="C118" s="89">
        <v>7960755.2372161215</v>
      </c>
      <c r="D118" s="89">
        <v>8029380.1402101889</v>
      </c>
      <c r="E118" s="89">
        <v>8078654.4094183445</v>
      </c>
      <c r="F118" s="89">
        <v>8256840.9705978092</v>
      </c>
      <c r="H118" s="183">
        <f t="shared" si="6"/>
        <v>1</v>
      </c>
      <c r="I118" s="183">
        <f t="shared" si="7"/>
        <v>1.0136098087146181</v>
      </c>
      <c r="J118" s="183">
        <f t="shared" si="8"/>
        <v>1.0086204010736632</v>
      </c>
      <c r="K118" s="183">
        <f t="shared" si="9"/>
        <v>1.0061367463425221</v>
      </c>
      <c r="L118" s="183">
        <f t="shared" si="10"/>
        <v>1.0220564653652877</v>
      </c>
    </row>
    <row r="119" spans="1:12" x14ac:dyDescent="0.2">
      <c r="A119" t="s">
        <v>221</v>
      </c>
      <c r="B119" s="89">
        <v>15919900.030829249</v>
      </c>
      <c r="C119" s="89">
        <v>16130409.319413241</v>
      </c>
      <c r="D119" s="89">
        <v>16071610.248678543</v>
      </c>
      <c r="E119" s="89">
        <v>16281303.452891076</v>
      </c>
      <c r="F119" s="89">
        <v>16312048.625177344</v>
      </c>
      <c r="H119" s="183">
        <f t="shared" si="6"/>
        <v>1</v>
      </c>
      <c r="I119" s="183">
        <f t="shared" si="7"/>
        <v>1.0132230282964301</v>
      </c>
      <c r="J119" s="183">
        <f t="shared" si="8"/>
        <v>0.99635476883627916</v>
      </c>
      <c r="K119" s="183">
        <f t="shared" si="9"/>
        <v>1.0130474296581311</v>
      </c>
      <c r="L119" s="183">
        <f t="shared" si="10"/>
        <v>1.0018883729042474</v>
      </c>
    </row>
    <row r="120" spans="1:12" x14ac:dyDescent="0.2">
      <c r="A120" t="s">
        <v>127</v>
      </c>
      <c r="B120" s="89">
        <v>14965191.355082974</v>
      </c>
      <c r="C120" s="89">
        <v>15022080.423756408</v>
      </c>
      <c r="D120" s="89">
        <v>15115464.643461479</v>
      </c>
      <c r="E120" s="89">
        <v>15197968.480421415</v>
      </c>
      <c r="F120" s="89">
        <v>15328249.112878699</v>
      </c>
      <c r="H120" s="183">
        <f t="shared" si="6"/>
        <v>1</v>
      </c>
      <c r="I120" s="183">
        <f t="shared" si="7"/>
        <v>1.0038014260775965</v>
      </c>
      <c r="J120" s="183">
        <f t="shared" si="8"/>
        <v>1.0062164638366196</v>
      </c>
      <c r="K120" s="183">
        <f t="shared" si="9"/>
        <v>1.0054582402133185</v>
      </c>
      <c r="L120" s="183">
        <f t="shared" si="10"/>
        <v>1.0085722399428001</v>
      </c>
    </row>
    <row r="121" spans="1:12" x14ac:dyDescent="0.2">
      <c r="A121" t="s">
        <v>254</v>
      </c>
      <c r="B121" s="89">
        <v>274701870.97725362</v>
      </c>
      <c r="C121" s="89">
        <v>280647340.01529288</v>
      </c>
      <c r="D121" s="89">
        <v>287209553.29105496</v>
      </c>
      <c r="E121" s="89">
        <v>293414113.87819237</v>
      </c>
      <c r="F121" s="89">
        <v>299478233.68212974</v>
      </c>
      <c r="H121" s="183">
        <f t="shared" si="6"/>
        <v>1</v>
      </c>
      <c r="I121" s="183">
        <f t="shared" si="7"/>
        <v>1.0216433510878111</v>
      </c>
      <c r="J121" s="183">
        <f t="shared" si="8"/>
        <v>1.0233824175044899</v>
      </c>
      <c r="K121" s="183">
        <f t="shared" si="9"/>
        <v>1.0216029046250066</v>
      </c>
      <c r="L121" s="183">
        <f t="shared" si="10"/>
        <v>1.0206674441245687</v>
      </c>
    </row>
    <row r="122" spans="1:12" x14ac:dyDescent="0.2">
      <c r="A122" t="s">
        <v>255</v>
      </c>
      <c r="B122" s="89">
        <v>17779466.133837949</v>
      </c>
      <c r="C122" s="89">
        <v>18281961.364198852</v>
      </c>
      <c r="D122" s="89">
        <v>18715765.034584083</v>
      </c>
      <c r="E122" s="89">
        <v>19223477.368547991</v>
      </c>
      <c r="F122" s="89">
        <v>19523756.576232817</v>
      </c>
      <c r="H122" s="183">
        <f t="shared" si="6"/>
        <v>1</v>
      </c>
      <c r="I122" s="183">
        <f t="shared" si="7"/>
        <v>1.0282626726009816</v>
      </c>
      <c r="J122" s="183">
        <f t="shared" si="8"/>
        <v>1.0237285082132783</v>
      </c>
      <c r="K122" s="183">
        <f t="shared" si="9"/>
        <v>1.0271275223334835</v>
      </c>
      <c r="L122" s="183">
        <f t="shared" si="10"/>
        <v>1.0156204417092674</v>
      </c>
    </row>
    <row r="123" spans="1:12" x14ac:dyDescent="0.2">
      <c r="A123" t="s">
        <v>256</v>
      </c>
      <c r="B123" s="89">
        <v>21005372.469476469</v>
      </c>
      <c r="C123" s="89">
        <v>21519265.969990101</v>
      </c>
      <c r="D123" s="89">
        <v>22063336.970840123</v>
      </c>
      <c r="E123" s="89">
        <v>22592517.699473884</v>
      </c>
      <c r="F123" s="89">
        <v>23048207.658861436</v>
      </c>
      <c r="H123" s="183">
        <f t="shared" si="6"/>
        <v>1</v>
      </c>
      <c r="I123" s="183">
        <f t="shared" si="7"/>
        <v>1.0244648601809079</v>
      </c>
      <c r="J123" s="183">
        <f t="shared" si="8"/>
        <v>1.0252829720869086</v>
      </c>
      <c r="K123" s="183">
        <f t="shared" si="9"/>
        <v>1.0239846188875759</v>
      </c>
      <c r="L123" s="183">
        <f t="shared" si="10"/>
        <v>1.0201699503105033</v>
      </c>
    </row>
    <row r="124" spans="1:12" x14ac:dyDescent="0.2">
      <c r="A124" t="s">
        <v>258</v>
      </c>
      <c r="B124" s="89">
        <v>22023371.281944089</v>
      </c>
      <c r="C124" s="89">
        <v>22262908.966368858</v>
      </c>
      <c r="D124" s="89">
        <v>22435996.183061812</v>
      </c>
      <c r="E124" s="89">
        <v>22729196.820780031</v>
      </c>
      <c r="F124" s="89">
        <v>22897984.54607024</v>
      </c>
      <c r="H124" s="183">
        <f t="shared" si="6"/>
        <v>1</v>
      </c>
      <c r="I124" s="183">
        <f t="shared" si="7"/>
        <v>1.0108765220981928</v>
      </c>
      <c r="J124" s="183">
        <f t="shared" si="8"/>
        <v>1.0077746900440741</v>
      </c>
      <c r="K124" s="183">
        <f t="shared" si="9"/>
        <v>1.013068313763557</v>
      </c>
      <c r="L124" s="183">
        <f t="shared" si="10"/>
        <v>1.0074260312241168</v>
      </c>
    </row>
    <row r="125" spans="1:12" x14ac:dyDescent="0.2">
      <c r="A125" t="s">
        <v>259</v>
      </c>
      <c r="B125" s="89">
        <v>6890089.5533361575</v>
      </c>
      <c r="C125" s="89">
        <v>6955061.4262406975</v>
      </c>
      <c r="D125" s="89">
        <v>7059688.0049023647</v>
      </c>
      <c r="E125" s="89">
        <v>7165735.79076719</v>
      </c>
      <c r="F125" s="89">
        <v>7277400.0399361402</v>
      </c>
      <c r="H125" s="183">
        <f t="shared" si="6"/>
        <v>1</v>
      </c>
      <c r="I125" s="183">
        <f t="shared" si="7"/>
        <v>1.0094297573930779</v>
      </c>
      <c r="J125" s="183">
        <f t="shared" si="8"/>
        <v>1.0150432285568209</v>
      </c>
      <c r="K125" s="183">
        <f t="shared" si="9"/>
        <v>1.0150215966755449</v>
      </c>
      <c r="L125" s="183">
        <f t="shared" si="10"/>
        <v>1.0155830821048168</v>
      </c>
    </row>
    <row r="126" spans="1:12" x14ac:dyDescent="0.2">
      <c r="A126" t="s">
        <v>260</v>
      </c>
      <c r="B126" s="89">
        <v>145955822.35078257</v>
      </c>
      <c r="C126" s="89">
        <v>148937204.93064052</v>
      </c>
      <c r="D126" s="89">
        <v>151925651.52627608</v>
      </c>
      <c r="E126" s="89">
        <v>155039667.329999</v>
      </c>
      <c r="F126" s="89">
        <v>158040235.75529185</v>
      </c>
      <c r="H126" s="183">
        <f t="shared" si="6"/>
        <v>1</v>
      </c>
      <c r="I126" s="183">
        <f t="shared" si="7"/>
        <v>1.0204266094482524</v>
      </c>
      <c r="J126" s="183">
        <f t="shared" si="8"/>
        <v>1.0200651448845657</v>
      </c>
      <c r="K126" s="183">
        <f t="shared" si="9"/>
        <v>1.0204969718572137</v>
      </c>
      <c r="L126" s="183">
        <f t="shared" si="10"/>
        <v>1.0193535530420494</v>
      </c>
    </row>
    <row r="127" spans="1:12" x14ac:dyDescent="0.2">
      <c r="A127" t="s">
        <v>257</v>
      </c>
      <c r="B127" s="89">
        <v>6233726.903772343</v>
      </c>
      <c r="C127" s="89">
        <v>6312118.9922729814</v>
      </c>
      <c r="D127" s="89">
        <v>6431664.3338155681</v>
      </c>
      <c r="E127" s="89">
        <v>6552751.5183084188</v>
      </c>
      <c r="F127" s="89">
        <v>6677604.2384562735</v>
      </c>
      <c r="H127" s="183">
        <f t="shared" si="6"/>
        <v>1</v>
      </c>
      <c r="I127" s="183">
        <f t="shared" si="7"/>
        <v>1.01257547687134</v>
      </c>
      <c r="J127" s="183">
        <f t="shared" si="8"/>
        <v>1.0189390190027989</v>
      </c>
      <c r="K127" s="183">
        <f t="shared" si="9"/>
        <v>1.0188267263663333</v>
      </c>
      <c r="L127" s="183">
        <f t="shared" si="10"/>
        <v>1.0190534800227073</v>
      </c>
    </row>
    <row r="128" spans="1:12" x14ac:dyDescent="0.2">
      <c r="A128" t="s">
        <v>261</v>
      </c>
      <c r="B128" s="89">
        <v>33863345.269338079</v>
      </c>
      <c r="C128" s="89">
        <v>34668808.575447723</v>
      </c>
      <c r="D128" s="89">
        <v>35615940.045635678</v>
      </c>
      <c r="E128" s="89">
        <v>36477617.361344099</v>
      </c>
      <c r="F128" s="89">
        <v>37284265.27662468</v>
      </c>
      <c r="H128" s="183">
        <f t="shared" si="6"/>
        <v>1</v>
      </c>
      <c r="I128" s="183">
        <f t="shared" si="7"/>
        <v>1.0237856980668405</v>
      </c>
      <c r="J128" s="183">
        <f t="shared" si="8"/>
        <v>1.0273194121490148</v>
      </c>
      <c r="K128" s="183">
        <f t="shared" si="9"/>
        <v>1.0241935862033777</v>
      </c>
      <c r="L128" s="183">
        <f t="shared" si="10"/>
        <v>1.0221135033927791</v>
      </c>
    </row>
    <row r="129" spans="1:12" x14ac:dyDescent="0.2">
      <c r="A129" t="s">
        <v>262</v>
      </c>
      <c r="B129" s="89">
        <v>46517732.710421495</v>
      </c>
      <c r="C129" s="89">
        <v>47502657.362882368</v>
      </c>
      <c r="D129" s="89">
        <v>48459577.833157785</v>
      </c>
      <c r="E129" s="89">
        <v>49587171.190382808</v>
      </c>
      <c r="F129" s="89">
        <v>50692213.357865863</v>
      </c>
      <c r="H129" s="183">
        <f t="shared" si="6"/>
        <v>1</v>
      </c>
      <c r="I129" s="183">
        <f t="shared" si="7"/>
        <v>1.0211731009890819</v>
      </c>
      <c r="J129" s="183">
        <f t="shared" si="8"/>
        <v>1.0201445671336933</v>
      </c>
      <c r="K129" s="183">
        <f t="shared" si="9"/>
        <v>1.0232687408278138</v>
      </c>
      <c r="L129" s="183">
        <f t="shared" si="10"/>
        <v>1.0222848398276321</v>
      </c>
    </row>
    <row r="130" spans="1:12" x14ac:dyDescent="0.2">
      <c r="A130" t="s">
        <v>263</v>
      </c>
      <c r="B130" s="89">
        <v>6774975.0962793715</v>
      </c>
      <c r="C130" s="89">
        <v>6891244.0744379964</v>
      </c>
      <c r="D130" s="89">
        <v>6992425.3265751507</v>
      </c>
      <c r="E130" s="89">
        <v>7131219.5957440715</v>
      </c>
      <c r="F130" s="89">
        <v>7274267.6197212012</v>
      </c>
      <c r="H130" s="183">
        <f t="shared" si="6"/>
        <v>1</v>
      </c>
      <c r="I130" s="183">
        <f t="shared" si="7"/>
        <v>1.0171615358737593</v>
      </c>
      <c r="J130" s="183">
        <f t="shared" si="8"/>
        <v>1.0146825814097153</v>
      </c>
      <c r="K130" s="183">
        <f t="shared" si="9"/>
        <v>1.0198492315164847</v>
      </c>
      <c r="L130" s="183">
        <f t="shared" si="10"/>
        <v>1.020059405275151</v>
      </c>
    </row>
    <row r="131" spans="1:12" x14ac:dyDescent="0.2">
      <c r="A131" t="s">
        <v>264</v>
      </c>
      <c r="B131" s="89">
        <v>49937992.454146393</v>
      </c>
      <c r="C131" s="89">
        <v>51347741.068043195</v>
      </c>
      <c r="D131" s="89">
        <v>52667717.560633808</v>
      </c>
      <c r="E131" s="89">
        <v>53942397.192748718</v>
      </c>
      <c r="F131" s="89">
        <v>55143582.490347929</v>
      </c>
      <c r="H131" s="183">
        <f t="shared" si="6"/>
        <v>1</v>
      </c>
      <c r="I131" s="183">
        <f t="shared" si="7"/>
        <v>1.0282299817156497</v>
      </c>
      <c r="J131" s="183">
        <f t="shared" si="8"/>
        <v>1.0257066126987253</v>
      </c>
      <c r="K131" s="183">
        <f t="shared" si="9"/>
        <v>1.0242022949000482</v>
      </c>
      <c r="L131" s="183">
        <f t="shared" si="10"/>
        <v>1.0222679257895622</v>
      </c>
    </row>
    <row r="132" spans="1:12" x14ac:dyDescent="0.2">
      <c r="A132" t="s">
        <v>265</v>
      </c>
      <c r="B132" s="89">
        <v>18716496.972409241</v>
      </c>
      <c r="C132" s="89">
        <v>18856561.457442351</v>
      </c>
      <c r="D132" s="89">
        <v>19022838.350578438</v>
      </c>
      <c r="E132" s="89">
        <v>19186169.910879068</v>
      </c>
      <c r="F132" s="89">
        <v>19307304.205803312</v>
      </c>
      <c r="H132" s="183">
        <f t="shared" si="6"/>
        <v>1</v>
      </c>
      <c r="I132" s="183">
        <f t="shared" si="7"/>
        <v>1.0074834775567023</v>
      </c>
      <c r="J132" s="183">
        <f t="shared" si="8"/>
        <v>1.0088179859043422</v>
      </c>
      <c r="K132" s="183">
        <f t="shared" si="9"/>
        <v>1.0085860772872342</v>
      </c>
      <c r="L132" s="183">
        <f t="shared" si="10"/>
        <v>1.0063136256734366</v>
      </c>
    </row>
    <row r="133" spans="1:12" x14ac:dyDescent="0.2">
      <c r="A133" t="s">
        <v>266</v>
      </c>
      <c r="B133" s="89">
        <v>2101977.4474509587</v>
      </c>
      <c r="C133" s="89">
        <v>2137221.7470203429</v>
      </c>
      <c r="D133" s="89">
        <v>2140721.2661972069</v>
      </c>
      <c r="E133" s="89">
        <v>2179963.6698661726</v>
      </c>
      <c r="F133" s="89">
        <v>2218736.5777828209</v>
      </c>
      <c r="H133" s="183">
        <f t="shared" si="6"/>
        <v>1</v>
      </c>
      <c r="I133" s="183">
        <f t="shared" si="7"/>
        <v>1.0167672110907395</v>
      </c>
      <c r="J133" s="183">
        <f t="shared" si="8"/>
        <v>1.0016374151076008</v>
      </c>
      <c r="K133" s="183">
        <f t="shared" si="9"/>
        <v>1.018331393389984</v>
      </c>
      <c r="L133" s="183">
        <f t="shared" si="10"/>
        <v>1.0177860339842399</v>
      </c>
    </row>
    <row r="134" spans="1:12" x14ac:dyDescent="0.2">
      <c r="A134" t="s">
        <v>267</v>
      </c>
      <c r="B134" s="89">
        <v>21473626.138111662</v>
      </c>
      <c r="C134" s="89">
        <v>21907294.73487803</v>
      </c>
      <c r="D134" s="89">
        <v>22245890.210061803</v>
      </c>
      <c r="E134" s="89">
        <v>22598427.985126205</v>
      </c>
      <c r="F134" s="89">
        <v>22841764.846767861</v>
      </c>
      <c r="H134" s="183">
        <f t="shared" ref="H134:H197" si="11">B134/B134</f>
        <v>1</v>
      </c>
      <c r="I134" s="183">
        <f t="shared" ref="I134:I197" si="12">C134/B134</f>
        <v>1.0201954059355018</v>
      </c>
      <c r="J134" s="183">
        <f t="shared" ref="J134:J197" si="13">D134/C134</f>
        <v>1.0154558323737117</v>
      </c>
      <c r="K134" s="183">
        <f t="shared" ref="K134:K197" si="14">E134/D134</f>
        <v>1.0158473215382924</v>
      </c>
      <c r="L134" s="183">
        <f t="shared" ref="L134:L197" si="15">F134/E134</f>
        <v>1.0107678667649722</v>
      </c>
    </row>
    <row r="135" spans="1:12" x14ac:dyDescent="0.2">
      <c r="A135" t="s">
        <v>268</v>
      </c>
      <c r="B135" s="89">
        <v>38168550.391047262</v>
      </c>
      <c r="C135" s="89">
        <v>39114001.267066151</v>
      </c>
      <c r="D135" s="89">
        <v>40151409.199526578</v>
      </c>
      <c r="E135" s="89">
        <v>41196011.9459861</v>
      </c>
      <c r="F135" s="89">
        <v>42219428.400846303</v>
      </c>
      <c r="H135" s="183">
        <f t="shared" si="11"/>
        <v>1</v>
      </c>
      <c r="I135" s="183">
        <f t="shared" si="12"/>
        <v>1.0247704161235489</v>
      </c>
      <c r="J135" s="183">
        <f t="shared" si="13"/>
        <v>1.0265226747163279</v>
      </c>
      <c r="K135" s="183">
        <f t="shared" si="14"/>
        <v>1.0260165898852645</v>
      </c>
      <c r="L135" s="183">
        <f t="shared" si="15"/>
        <v>1.0248426099157864</v>
      </c>
    </row>
    <row r="136" spans="1:12" x14ac:dyDescent="0.2">
      <c r="A136" t="s">
        <v>269</v>
      </c>
      <c r="B136" s="89">
        <v>28820117.30247296</v>
      </c>
      <c r="C136" s="89">
        <v>29372131.089894451</v>
      </c>
      <c r="D136" s="89">
        <v>29875620.480127648</v>
      </c>
      <c r="E136" s="89">
        <v>30334773.642500747</v>
      </c>
      <c r="F136" s="89">
        <v>30997202.693931945</v>
      </c>
      <c r="H136" s="183">
        <f t="shared" si="11"/>
        <v>1</v>
      </c>
      <c r="I136" s="183">
        <f t="shared" si="12"/>
        <v>1.0191537661567438</v>
      </c>
      <c r="J136" s="183">
        <f t="shared" si="13"/>
        <v>1.0171417384966808</v>
      </c>
      <c r="K136" s="183">
        <f t="shared" si="14"/>
        <v>1.015368824312068</v>
      </c>
      <c r="L136" s="183">
        <f t="shared" si="15"/>
        <v>1.0218372834832397</v>
      </c>
    </row>
    <row r="137" spans="1:12" x14ac:dyDescent="0.2">
      <c r="A137" t="s">
        <v>270</v>
      </c>
      <c r="B137" s="89">
        <v>24648939.243327186</v>
      </c>
      <c r="C137" s="89">
        <v>25073665.409361757</v>
      </c>
      <c r="D137" s="89">
        <v>25509903.479706071</v>
      </c>
      <c r="E137" s="89">
        <v>25936748.6426211</v>
      </c>
      <c r="F137" s="89">
        <v>26308954.988414116</v>
      </c>
      <c r="H137" s="183">
        <f t="shared" si="11"/>
        <v>1</v>
      </c>
      <c r="I137" s="183">
        <f t="shared" si="12"/>
        <v>1.0172310119247647</v>
      </c>
      <c r="J137" s="183">
        <f t="shared" si="13"/>
        <v>1.0173982568253239</v>
      </c>
      <c r="K137" s="183">
        <f t="shared" si="14"/>
        <v>1.0167325275556058</v>
      </c>
      <c r="L137" s="183">
        <f t="shared" si="15"/>
        <v>1.0143505398815247</v>
      </c>
    </row>
    <row r="138" spans="1:12" x14ac:dyDescent="0.2">
      <c r="A138" t="s">
        <v>272</v>
      </c>
      <c r="B138" s="89">
        <v>30109406.156938024</v>
      </c>
      <c r="C138" s="89">
        <v>30708223.339197978</v>
      </c>
      <c r="D138" s="89">
        <v>30986777.309690114</v>
      </c>
      <c r="E138" s="89">
        <v>31403273.970895685</v>
      </c>
      <c r="F138" s="89">
        <v>31769256.134497542</v>
      </c>
      <c r="H138" s="183">
        <f t="shared" si="11"/>
        <v>1</v>
      </c>
      <c r="I138" s="183">
        <f t="shared" si="12"/>
        <v>1.019888043594708</v>
      </c>
      <c r="J138" s="183">
        <f t="shared" si="13"/>
        <v>1.0090709894680416</v>
      </c>
      <c r="K138" s="183">
        <f t="shared" si="14"/>
        <v>1.0134411093171449</v>
      </c>
      <c r="L138" s="183">
        <f t="shared" si="15"/>
        <v>1.0116542677665088</v>
      </c>
    </row>
    <row r="139" spans="1:12" x14ac:dyDescent="0.2">
      <c r="A139" t="s">
        <v>273</v>
      </c>
      <c r="B139" s="89">
        <v>16783561.674441498</v>
      </c>
      <c r="C139" s="89">
        <v>16981924.131618198</v>
      </c>
      <c r="D139" s="89">
        <v>17228929.422462314</v>
      </c>
      <c r="E139" s="89">
        <v>17391070.314459626</v>
      </c>
      <c r="F139" s="89">
        <v>17675848.020873278</v>
      </c>
      <c r="H139" s="183">
        <f t="shared" si="11"/>
        <v>1</v>
      </c>
      <c r="I139" s="183">
        <f t="shared" si="12"/>
        <v>1.0118188535320707</v>
      </c>
      <c r="J139" s="183">
        <f t="shared" si="13"/>
        <v>1.014545188691794</v>
      </c>
      <c r="K139" s="183">
        <f t="shared" si="14"/>
        <v>1.0094109673341582</v>
      </c>
      <c r="L139" s="183">
        <f t="shared" si="15"/>
        <v>1.0163749384749987</v>
      </c>
    </row>
    <row r="140" spans="1:12" x14ac:dyDescent="0.2">
      <c r="A140" t="s">
        <v>274</v>
      </c>
      <c r="B140" s="89">
        <v>40891554.301417954</v>
      </c>
      <c r="C140" s="89">
        <v>41686878.970693715</v>
      </c>
      <c r="D140" s="89">
        <v>42278728.571282044</v>
      </c>
      <c r="E140" s="89">
        <v>43076818.174074888</v>
      </c>
      <c r="F140" s="89">
        <v>43920298.516891584</v>
      </c>
      <c r="H140" s="183">
        <f t="shared" si="11"/>
        <v>1</v>
      </c>
      <c r="I140" s="183">
        <f t="shared" si="12"/>
        <v>1.0194496072077206</v>
      </c>
      <c r="J140" s="183">
        <f t="shared" si="13"/>
        <v>1.0141975032720585</v>
      </c>
      <c r="K140" s="183">
        <f t="shared" si="14"/>
        <v>1.0188768591147972</v>
      </c>
      <c r="L140" s="183">
        <f t="shared" si="15"/>
        <v>1.0195808413566703</v>
      </c>
    </row>
    <row r="141" spans="1:12" x14ac:dyDescent="0.2">
      <c r="A141" t="s">
        <v>275</v>
      </c>
      <c r="B141" s="89">
        <v>1774399.7402139471</v>
      </c>
      <c r="C141" s="89">
        <v>1800750.7174077732</v>
      </c>
      <c r="D141" s="89">
        <v>1827449.7434113985</v>
      </c>
      <c r="E141" s="89">
        <v>1817881.0044050065</v>
      </c>
      <c r="F141" s="89">
        <v>1845927.5971979522</v>
      </c>
      <c r="H141" s="183">
        <f t="shared" si="11"/>
        <v>1</v>
      </c>
      <c r="I141" s="183">
        <f t="shared" si="12"/>
        <v>1.0148506430634672</v>
      </c>
      <c r="J141" s="183">
        <f t="shared" si="13"/>
        <v>1.0148266085613777</v>
      </c>
      <c r="K141" s="183">
        <f t="shared" si="14"/>
        <v>0.99476388390931647</v>
      </c>
      <c r="L141" s="183">
        <f t="shared" si="15"/>
        <v>1.0154281785908894</v>
      </c>
    </row>
    <row r="142" spans="1:12" x14ac:dyDescent="0.2">
      <c r="A142" t="s">
        <v>276</v>
      </c>
      <c r="B142" s="89">
        <v>5311236.2723422153</v>
      </c>
      <c r="C142" s="89">
        <v>5508029.9098992087</v>
      </c>
      <c r="D142" s="89">
        <v>5587505.9850701652</v>
      </c>
      <c r="E142" s="89">
        <v>5704066.5175238745</v>
      </c>
      <c r="F142" s="89">
        <v>5819635.5269689877</v>
      </c>
      <c r="H142" s="183">
        <f t="shared" si="11"/>
        <v>1</v>
      </c>
      <c r="I142" s="183">
        <f t="shared" si="12"/>
        <v>1.0370523221837782</v>
      </c>
      <c r="J142" s="183">
        <f t="shared" si="13"/>
        <v>1.0144291291933836</v>
      </c>
      <c r="K142" s="183">
        <f t="shared" si="14"/>
        <v>1.0208609230603349</v>
      </c>
      <c r="L142" s="183">
        <f t="shared" si="15"/>
        <v>1.0202608102640573</v>
      </c>
    </row>
    <row r="143" spans="1:12" x14ac:dyDescent="0.2">
      <c r="A143" t="s">
        <v>277</v>
      </c>
      <c r="B143" s="89">
        <v>14552214.807606315</v>
      </c>
      <c r="C143" s="89">
        <v>15055557.258286767</v>
      </c>
      <c r="D143" s="89">
        <v>15575478.936260285</v>
      </c>
      <c r="E143" s="89">
        <v>16057019.812404817</v>
      </c>
      <c r="F143" s="89">
        <v>16461728.926647222</v>
      </c>
      <c r="H143" s="183">
        <f t="shared" si="11"/>
        <v>1</v>
      </c>
      <c r="I143" s="183">
        <f t="shared" si="12"/>
        <v>1.0345887177543145</v>
      </c>
      <c r="J143" s="183">
        <f t="shared" si="13"/>
        <v>1.0345335392808093</v>
      </c>
      <c r="K143" s="183">
        <f t="shared" si="14"/>
        <v>1.0309166015449764</v>
      </c>
      <c r="L143" s="183">
        <f t="shared" si="15"/>
        <v>1.0252044974080277</v>
      </c>
    </row>
    <row r="144" spans="1:12" x14ac:dyDescent="0.2">
      <c r="A144" t="s">
        <v>278</v>
      </c>
      <c r="B144" s="89">
        <v>8945408.6478965599</v>
      </c>
      <c r="C144" s="89">
        <v>9095481.0066282153</v>
      </c>
      <c r="D144" s="89">
        <v>9220737.5288632344</v>
      </c>
      <c r="E144" s="89">
        <v>9380112.472125072</v>
      </c>
      <c r="F144" s="89">
        <v>9510969.5864177439</v>
      </c>
      <c r="H144" s="183">
        <f t="shared" si="11"/>
        <v>1</v>
      </c>
      <c r="I144" s="183">
        <f t="shared" si="12"/>
        <v>1.016776467642643</v>
      </c>
      <c r="J144" s="183">
        <f t="shared" si="13"/>
        <v>1.0137712917154948</v>
      </c>
      <c r="K144" s="183">
        <f t="shared" si="14"/>
        <v>1.0172844029843551</v>
      </c>
      <c r="L144" s="183">
        <f t="shared" si="15"/>
        <v>1.0139504845684464</v>
      </c>
    </row>
    <row r="145" spans="1:12" x14ac:dyDescent="0.2">
      <c r="A145" t="s">
        <v>271</v>
      </c>
      <c r="B145" s="89">
        <v>101040264.66439018</v>
      </c>
      <c r="C145" s="89">
        <v>102607176.39848511</v>
      </c>
      <c r="D145" s="89">
        <v>103848421.4803746</v>
      </c>
      <c r="E145" s="89">
        <v>105424578.45298202</v>
      </c>
      <c r="F145" s="89">
        <v>107115511.7939641</v>
      </c>
      <c r="H145" s="183">
        <f t="shared" si="11"/>
        <v>1</v>
      </c>
      <c r="I145" s="183">
        <f t="shared" si="12"/>
        <v>1.0155077952269771</v>
      </c>
      <c r="J145" s="183">
        <f t="shared" si="13"/>
        <v>1.0120970591478806</v>
      </c>
      <c r="K145" s="183">
        <f t="shared" si="14"/>
        <v>1.0151774764617416</v>
      </c>
      <c r="L145" s="183">
        <f t="shared" si="15"/>
        <v>1.0160392705932062</v>
      </c>
    </row>
    <row r="146" spans="1:12" x14ac:dyDescent="0.2">
      <c r="A146" t="s">
        <v>128</v>
      </c>
      <c r="B146" s="89">
        <v>37010256.400475681</v>
      </c>
      <c r="C146" s="89">
        <v>37563234.652481981</v>
      </c>
      <c r="D146" s="89">
        <v>38153241.696523555</v>
      </c>
      <c r="E146" s="89">
        <v>38711023.374963321</v>
      </c>
      <c r="F146" s="89">
        <v>39528028.928701252</v>
      </c>
      <c r="H146" s="183">
        <f t="shared" si="11"/>
        <v>1</v>
      </c>
      <c r="I146" s="183">
        <f t="shared" si="12"/>
        <v>1.0149412164569385</v>
      </c>
      <c r="J146" s="183">
        <f t="shared" si="13"/>
        <v>1.0157070350703301</v>
      </c>
      <c r="K146" s="183">
        <f t="shared" si="14"/>
        <v>1.0146195094738331</v>
      </c>
      <c r="L146" s="183">
        <f t="shared" si="15"/>
        <v>1.0211052429646263</v>
      </c>
    </row>
    <row r="147" spans="1:12" x14ac:dyDescent="0.2">
      <c r="A147" t="s">
        <v>280</v>
      </c>
      <c r="B147" s="89">
        <v>14514283.413817121</v>
      </c>
      <c r="C147" s="89">
        <v>14821579.624042151</v>
      </c>
      <c r="D147" s="89">
        <v>15218300.207142452</v>
      </c>
      <c r="E147" s="89">
        <v>15428084.752379395</v>
      </c>
      <c r="F147" s="89">
        <v>15614837.841686672</v>
      </c>
      <c r="H147" s="183">
        <f t="shared" si="11"/>
        <v>1</v>
      </c>
      <c r="I147" s="183">
        <f t="shared" si="12"/>
        <v>1.0211719863436381</v>
      </c>
      <c r="J147" s="183">
        <f t="shared" si="13"/>
        <v>1.0267664171541324</v>
      </c>
      <c r="K147" s="183">
        <f t="shared" si="14"/>
        <v>1.0137850181939823</v>
      </c>
      <c r="L147" s="183">
        <f t="shared" si="15"/>
        <v>1.0121047487296486</v>
      </c>
    </row>
    <row r="148" spans="1:12" x14ac:dyDescent="0.2">
      <c r="A148" t="s">
        <v>281</v>
      </c>
      <c r="B148" s="89">
        <v>4359616.0679338742</v>
      </c>
      <c r="C148" s="89">
        <v>4456182.8286589039</v>
      </c>
      <c r="D148" s="89">
        <v>4551921.4084220808</v>
      </c>
      <c r="E148" s="89">
        <v>4650480.4333903836</v>
      </c>
      <c r="F148" s="89">
        <v>4752670.1081358176</v>
      </c>
      <c r="H148" s="183">
        <f t="shared" si="11"/>
        <v>1</v>
      </c>
      <c r="I148" s="183">
        <f t="shared" si="12"/>
        <v>1.0221502901219452</v>
      </c>
      <c r="J148" s="183">
        <f t="shared" si="13"/>
        <v>1.0214844371167755</v>
      </c>
      <c r="K148" s="183">
        <f t="shared" si="14"/>
        <v>1.0216521807221772</v>
      </c>
      <c r="L148" s="183">
        <f t="shared" si="15"/>
        <v>1.0219740038065128</v>
      </c>
    </row>
    <row r="149" spans="1:12" x14ac:dyDescent="0.2">
      <c r="A149" t="s">
        <v>282</v>
      </c>
      <c r="B149" s="89">
        <v>20565242.182304196</v>
      </c>
      <c r="C149" s="89">
        <v>20776644.383511178</v>
      </c>
      <c r="D149" s="89">
        <v>21119665.089085221</v>
      </c>
      <c r="E149" s="89">
        <v>21514283.793039806</v>
      </c>
      <c r="F149" s="89">
        <v>21899590.289408695</v>
      </c>
      <c r="H149" s="183">
        <f t="shared" si="11"/>
        <v>1</v>
      </c>
      <c r="I149" s="183">
        <f t="shared" si="12"/>
        <v>1.0102795872439998</v>
      </c>
      <c r="J149" s="183">
        <f t="shared" si="13"/>
        <v>1.0165099185047548</v>
      </c>
      <c r="K149" s="183">
        <f t="shared" si="14"/>
        <v>1.0186848940212847</v>
      </c>
      <c r="L149" s="183">
        <f t="shared" si="15"/>
        <v>1.0179093340998664</v>
      </c>
    </row>
    <row r="150" spans="1:12" x14ac:dyDescent="0.2">
      <c r="A150" t="s">
        <v>283</v>
      </c>
      <c r="B150" s="89">
        <v>2549354.086794863</v>
      </c>
      <c r="C150" s="89">
        <v>2593632.5908073075</v>
      </c>
      <c r="D150" s="89">
        <v>2638667.818672121</v>
      </c>
      <c r="E150" s="89">
        <v>2653814.055244911</v>
      </c>
      <c r="F150" s="89">
        <v>2700565.2219951488</v>
      </c>
      <c r="H150" s="183">
        <f t="shared" si="11"/>
        <v>1</v>
      </c>
      <c r="I150" s="183">
        <f t="shared" si="12"/>
        <v>1.0173685186541164</v>
      </c>
      <c r="J150" s="183">
        <f t="shared" si="13"/>
        <v>1.0173637654093464</v>
      </c>
      <c r="K150" s="183">
        <f t="shared" si="14"/>
        <v>1.0057401073623629</v>
      </c>
      <c r="L150" s="183">
        <f t="shared" si="15"/>
        <v>1.0176165947489202</v>
      </c>
    </row>
    <row r="151" spans="1:12" x14ac:dyDescent="0.2">
      <c r="A151" t="s">
        <v>284</v>
      </c>
      <c r="B151" s="89">
        <v>7696111.3384877732</v>
      </c>
      <c r="C151" s="89">
        <v>7657357.6919217166</v>
      </c>
      <c r="D151" s="89">
        <v>7771199.4548478117</v>
      </c>
      <c r="E151" s="89">
        <v>7888867.7877359306</v>
      </c>
      <c r="F151" s="89">
        <v>8010131.133299375</v>
      </c>
      <c r="H151" s="183">
        <f t="shared" si="11"/>
        <v>1</v>
      </c>
      <c r="I151" s="183">
        <f t="shared" si="12"/>
        <v>0.9949645158624133</v>
      </c>
      <c r="J151" s="183">
        <f t="shared" si="13"/>
        <v>1.0148669772924668</v>
      </c>
      <c r="K151" s="183">
        <f t="shared" si="14"/>
        <v>1.0151415921791476</v>
      </c>
      <c r="L151" s="183">
        <f t="shared" si="15"/>
        <v>1.0153714511164658</v>
      </c>
    </row>
    <row r="152" spans="1:12" x14ac:dyDescent="0.2">
      <c r="A152" t="s">
        <v>285</v>
      </c>
      <c r="B152" s="89">
        <v>4342958.5001932234</v>
      </c>
      <c r="C152" s="89">
        <v>4379395.4411309687</v>
      </c>
      <c r="D152" s="89">
        <v>4446818.0759516377</v>
      </c>
      <c r="E152" s="89">
        <v>4517339.7469604407</v>
      </c>
      <c r="F152" s="89">
        <v>4556396.273421092</v>
      </c>
      <c r="H152" s="183">
        <f t="shared" si="11"/>
        <v>1</v>
      </c>
      <c r="I152" s="183">
        <f t="shared" si="12"/>
        <v>1.0083898892738958</v>
      </c>
      <c r="J152" s="183">
        <f t="shared" si="13"/>
        <v>1.0153954206070182</v>
      </c>
      <c r="K152" s="183">
        <f t="shared" si="14"/>
        <v>1.0158589062570793</v>
      </c>
      <c r="L152" s="183">
        <f t="shared" si="15"/>
        <v>1.0086459130037608</v>
      </c>
    </row>
    <row r="153" spans="1:12" x14ac:dyDescent="0.2">
      <c r="A153" t="s">
        <v>286</v>
      </c>
      <c r="B153" s="89">
        <v>122690011.27557118</v>
      </c>
      <c r="C153" s="89">
        <v>125074592.34477076</v>
      </c>
      <c r="D153" s="89">
        <v>127114360.32222733</v>
      </c>
      <c r="E153" s="89">
        <v>129498449.7994134</v>
      </c>
      <c r="F153" s="89">
        <v>132154080.83940229</v>
      </c>
      <c r="H153" s="183">
        <f t="shared" si="11"/>
        <v>1</v>
      </c>
      <c r="I153" s="183">
        <f t="shared" si="12"/>
        <v>1.0194358207681931</v>
      </c>
      <c r="J153" s="183">
        <f t="shared" si="13"/>
        <v>1.0163084119581529</v>
      </c>
      <c r="K153" s="183">
        <f t="shared" si="14"/>
        <v>1.0187554692573093</v>
      </c>
      <c r="L153" s="183">
        <f t="shared" si="15"/>
        <v>1.0205070488805259</v>
      </c>
    </row>
    <row r="154" spans="1:12" x14ac:dyDescent="0.2">
      <c r="A154" t="s">
        <v>287</v>
      </c>
      <c r="B154" s="89">
        <v>21158684.034087118</v>
      </c>
      <c r="C154" s="89">
        <v>21473318.807112228</v>
      </c>
      <c r="D154" s="89">
        <v>21716884.469500676</v>
      </c>
      <c r="E154" s="89">
        <v>21961618.799197957</v>
      </c>
      <c r="F154" s="89">
        <v>22302590.394087259</v>
      </c>
      <c r="H154" s="183">
        <f t="shared" si="11"/>
        <v>1</v>
      </c>
      <c r="I154" s="183">
        <f t="shared" si="12"/>
        <v>1.0148702429942347</v>
      </c>
      <c r="J154" s="183">
        <f t="shared" si="13"/>
        <v>1.0113427116030045</v>
      </c>
      <c r="K154" s="183">
        <f t="shared" si="14"/>
        <v>1.0112693112145523</v>
      </c>
      <c r="L154" s="183">
        <f t="shared" si="15"/>
        <v>1.0155257951614092</v>
      </c>
    </row>
    <row r="155" spans="1:12" x14ac:dyDescent="0.2">
      <c r="A155" t="s">
        <v>288</v>
      </c>
      <c r="B155" s="89">
        <v>3904613.1129341372</v>
      </c>
      <c r="C155" s="89">
        <v>3963923.7652298734</v>
      </c>
      <c r="D155" s="89">
        <v>4066534.8350316049</v>
      </c>
      <c r="E155" s="89">
        <v>4089663.5406382154</v>
      </c>
      <c r="F155" s="89">
        <v>4153926.8296395894</v>
      </c>
      <c r="H155" s="183">
        <f t="shared" si="11"/>
        <v>1</v>
      </c>
      <c r="I155" s="183">
        <f t="shared" si="12"/>
        <v>1.0151898922070584</v>
      </c>
      <c r="J155" s="183">
        <f t="shared" si="13"/>
        <v>1.02588623694073</v>
      </c>
      <c r="K155" s="183">
        <f t="shared" si="14"/>
        <v>1.0056875710020643</v>
      </c>
      <c r="L155" s="183">
        <f t="shared" si="15"/>
        <v>1.0157135882604527</v>
      </c>
    </row>
    <row r="156" spans="1:12" x14ac:dyDescent="0.2">
      <c r="A156" t="s">
        <v>289</v>
      </c>
      <c r="B156" s="89">
        <v>6886483.2501651542</v>
      </c>
      <c r="C156" s="89">
        <v>7059223.7210655967</v>
      </c>
      <c r="D156" s="89">
        <v>7200158.3085867791</v>
      </c>
      <c r="E156" s="89">
        <v>7346801.8059631679</v>
      </c>
      <c r="F156" s="89">
        <v>7529445.1591893528</v>
      </c>
      <c r="H156" s="183">
        <f t="shared" si="11"/>
        <v>1</v>
      </c>
      <c r="I156" s="183">
        <f t="shared" si="12"/>
        <v>1.0250839891168397</v>
      </c>
      <c r="J156" s="183">
        <f t="shared" si="13"/>
        <v>1.0199646013626988</v>
      </c>
      <c r="K156" s="183">
        <f t="shared" si="14"/>
        <v>1.0203667046044675</v>
      </c>
      <c r="L156" s="183">
        <f t="shared" si="15"/>
        <v>1.024860253216296</v>
      </c>
    </row>
    <row r="157" spans="1:12" x14ac:dyDescent="0.2">
      <c r="A157" t="s">
        <v>290</v>
      </c>
      <c r="B157" s="89">
        <v>42985402.633746549</v>
      </c>
      <c r="C157" s="89">
        <v>44034884.495941192</v>
      </c>
      <c r="D157" s="89">
        <v>45190685.48912321</v>
      </c>
      <c r="E157" s="89">
        <v>46313224.001985304</v>
      </c>
      <c r="F157" s="89">
        <v>47484719.027118281</v>
      </c>
      <c r="H157" s="183">
        <f t="shared" si="11"/>
        <v>1</v>
      </c>
      <c r="I157" s="183">
        <f t="shared" si="12"/>
        <v>1.0244148431302753</v>
      </c>
      <c r="J157" s="183">
        <f t="shared" si="13"/>
        <v>1.0262473946829258</v>
      </c>
      <c r="K157" s="183">
        <f t="shared" si="14"/>
        <v>1.0248400417190457</v>
      </c>
      <c r="L157" s="183">
        <f t="shared" si="15"/>
        <v>1.0252950437024804</v>
      </c>
    </row>
    <row r="158" spans="1:12" x14ac:dyDescent="0.2">
      <c r="A158" t="s">
        <v>291</v>
      </c>
      <c r="B158" s="89">
        <v>22924307.380551256</v>
      </c>
      <c r="C158" s="89">
        <v>23391004.77048631</v>
      </c>
      <c r="D158" s="89">
        <v>23782710.542771731</v>
      </c>
      <c r="E158" s="89">
        <v>24237675.239622395</v>
      </c>
      <c r="F158" s="89">
        <v>24668811.837263431</v>
      </c>
      <c r="H158" s="183">
        <f t="shared" si="11"/>
        <v>1</v>
      </c>
      <c r="I158" s="183">
        <f t="shared" si="12"/>
        <v>1.0203581893309892</v>
      </c>
      <c r="J158" s="183">
        <f t="shared" si="13"/>
        <v>1.0167460002735607</v>
      </c>
      <c r="K158" s="183">
        <f t="shared" si="14"/>
        <v>1.0191300607234166</v>
      </c>
      <c r="L158" s="183">
        <f t="shared" si="15"/>
        <v>1.0177878692316265</v>
      </c>
    </row>
    <row r="159" spans="1:12" x14ac:dyDescent="0.2">
      <c r="A159" t="s">
        <v>292</v>
      </c>
      <c r="B159" s="89">
        <v>15857705.966063527</v>
      </c>
      <c r="C159" s="89">
        <v>16012014.57620349</v>
      </c>
      <c r="D159" s="89">
        <v>16303208.76097111</v>
      </c>
      <c r="E159" s="89">
        <v>16571513.874075083</v>
      </c>
      <c r="F159" s="89">
        <v>16725500.684329694</v>
      </c>
      <c r="H159" s="183">
        <f t="shared" si="11"/>
        <v>1</v>
      </c>
      <c r="I159" s="183">
        <f t="shared" si="12"/>
        <v>1.0097308280573616</v>
      </c>
      <c r="J159" s="183">
        <f t="shared" si="13"/>
        <v>1.0181859804949456</v>
      </c>
      <c r="K159" s="183">
        <f t="shared" si="14"/>
        <v>1.0164571966805871</v>
      </c>
      <c r="L159" s="183">
        <f t="shared" si="15"/>
        <v>1.0092922596827747</v>
      </c>
    </row>
    <row r="160" spans="1:12" x14ac:dyDescent="0.2">
      <c r="A160" t="s">
        <v>293</v>
      </c>
      <c r="B160" s="89">
        <v>3920207.1199559439</v>
      </c>
      <c r="C160" s="89">
        <v>3966836.3246070822</v>
      </c>
      <c r="D160" s="89">
        <v>4048935.6286080964</v>
      </c>
      <c r="E160" s="89">
        <v>4131980.0146101504</v>
      </c>
      <c r="F160" s="89">
        <v>4179371.0362782278</v>
      </c>
      <c r="H160" s="183">
        <f t="shared" si="11"/>
        <v>1</v>
      </c>
      <c r="I160" s="183">
        <f t="shared" si="12"/>
        <v>1.0118945767976826</v>
      </c>
      <c r="J160" s="183">
        <f t="shared" si="13"/>
        <v>1.0206964183250353</v>
      </c>
      <c r="K160" s="183">
        <f t="shared" si="14"/>
        <v>1.0205101769006395</v>
      </c>
      <c r="L160" s="183">
        <f t="shared" si="15"/>
        <v>1.011469324996856</v>
      </c>
    </row>
    <row r="161" spans="1:12" x14ac:dyDescent="0.2">
      <c r="A161" t="s">
        <v>294</v>
      </c>
      <c r="B161" s="89">
        <v>45366680.065354697</v>
      </c>
      <c r="C161" s="89">
        <v>46287856.219709449</v>
      </c>
      <c r="D161" s="89">
        <v>47160712.758096285</v>
      </c>
      <c r="E161" s="89">
        <v>48094379.577085488</v>
      </c>
      <c r="F161" s="89">
        <v>48824509.009321868</v>
      </c>
      <c r="H161" s="183">
        <f t="shared" si="11"/>
        <v>1</v>
      </c>
      <c r="I161" s="183">
        <f t="shared" si="12"/>
        <v>1.0203051259873483</v>
      </c>
      <c r="J161" s="183">
        <f t="shared" si="13"/>
        <v>1.0188571389922174</v>
      </c>
      <c r="K161" s="183">
        <f t="shared" si="14"/>
        <v>1.0197975553036762</v>
      </c>
      <c r="L161" s="183">
        <f t="shared" si="15"/>
        <v>1.0151811799768855</v>
      </c>
    </row>
    <row r="162" spans="1:12" x14ac:dyDescent="0.2">
      <c r="A162" t="s">
        <v>296</v>
      </c>
      <c r="B162" s="89">
        <v>14351305.07901061</v>
      </c>
      <c r="C162" s="89">
        <v>14397555.404091608</v>
      </c>
      <c r="D162" s="89">
        <v>14670738.931821194</v>
      </c>
      <c r="E162" s="89">
        <v>14884891.713990027</v>
      </c>
      <c r="F162" s="89">
        <v>14965606.012468638</v>
      </c>
      <c r="H162" s="183">
        <f t="shared" si="11"/>
        <v>1</v>
      </c>
      <c r="I162" s="183">
        <f t="shared" si="12"/>
        <v>1.0032227260744837</v>
      </c>
      <c r="J162" s="183">
        <f t="shared" si="13"/>
        <v>1.0189742994600286</v>
      </c>
      <c r="K162" s="183">
        <f t="shared" si="14"/>
        <v>1.0145972730592547</v>
      </c>
      <c r="L162" s="183">
        <f t="shared" si="15"/>
        <v>1.005422565379011</v>
      </c>
    </row>
    <row r="163" spans="1:12" x14ac:dyDescent="0.2">
      <c r="A163" t="s">
        <v>295</v>
      </c>
      <c r="B163" s="89">
        <v>21056284.628258351</v>
      </c>
      <c r="C163" s="89">
        <v>21203952.941526409</v>
      </c>
      <c r="D163" s="89">
        <v>21297876.804189347</v>
      </c>
      <c r="E163" s="89">
        <v>21452244.784778804</v>
      </c>
      <c r="F163" s="89">
        <v>21484775.110638771</v>
      </c>
      <c r="H163" s="183">
        <f t="shared" si="11"/>
        <v>1</v>
      </c>
      <c r="I163" s="183">
        <f t="shared" si="12"/>
        <v>1.0070130279807237</v>
      </c>
      <c r="J163" s="183">
        <f t="shared" si="13"/>
        <v>1.0044295449495644</v>
      </c>
      <c r="K163" s="183">
        <f t="shared" si="14"/>
        <v>1.0072480455215653</v>
      </c>
      <c r="L163" s="183">
        <f t="shared" si="15"/>
        <v>1.0015164066132161</v>
      </c>
    </row>
    <row r="164" spans="1:12" x14ac:dyDescent="0.2">
      <c r="A164" t="s">
        <v>297</v>
      </c>
      <c r="B164" s="89">
        <v>35791162.13585984</v>
      </c>
      <c r="C164" s="89">
        <v>36154767.010576315</v>
      </c>
      <c r="D164" s="89">
        <v>36532647.7553363</v>
      </c>
      <c r="E164" s="89">
        <v>36906617.829131141</v>
      </c>
      <c r="F164" s="89">
        <v>37180632.926698573</v>
      </c>
      <c r="H164" s="183">
        <f t="shared" si="11"/>
        <v>1</v>
      </c>
      <c r="I164" s="183">
        <f t="shared" si="12"/>
        <v>1.0101590686923287</v>
      </c>
      <c r="J164" s="183">
        <f t="shared" si="13"/>
        <v>1.0104517543882787</v>
      </c>
      <c r="K164" s="183">
        <f t="shared" si="14"/>
        <v>1.0102365992276106</v>
      </c>
      <c r="L164" s="183">
        <f t="shared" si="15"/>
        <v>1.0074245518469358</v>
      </c>
    </row>
    <row r="165" spans="1:12" x14ac:dyDescent="0.2">
      <c r="A165" t="s">
        <v>298</v>
      </c>
      <c r="B165" s="89">
        <v>10921909.335610701</v>
      </c>
      <c r="C165" s="89">
        <v>11055947.429152925</v>
      </c>
      <c r="D165" s="89">
        <v>11152115.588400731</v>
      </c>
      <c r="E165" s="89">
        <v>11356824.679840291</v>
      </c>
      <c r="F165" s="89">
        <v>11568400.889118817</v>
      </c>
      <c r="H165" s="183">
        <f t="shared" si="11"/>
        <v>1</v>
      </c>
      <c r="I165" s="183">
        <f t="shared" si="12"/>
        <v>1.0122724048903422</v>
      </c>
      <c r="J165" s="183">
        <f t="shared" si="13"/>
        <v>1.0086983191503087</v>
      </c>
      <c r="K165" s="183">
        <f t="shared" si="14"/>
        <v>1.0183560769090734</v>
      </c>
      <c r="L165" s="183">
        <f t="shared" si="15"/>
        <v>1.0186298736876778</v>
      </c>
    </row>
    <row r="166" spans="1:12" x14ac:dyDescent="0.2">
      <c r="A166" t="s">
        <v>299</v>
      </c>
      <c r="B166" s="89">
        <v>28082732.346690197</v>
      </c>
      <c r="C166" s="89">
        <v>28621073.261275321</v>
      </c>
      <c r="D166" s="89">
        <v>29005695.593060784</v>
      </c>
      <c r="E166" s="89">
        <v>29486694.837607335</v>
      </c>
      <c r="F166" s="89">
        <v>29849513.330212601</v>
      </c>
      <c r="H166" s="183">
        <f t="shared" si="11"/>
        <v>1</v>
      </c>
      <c r="I166" s="183">
        <f t="shared" si="12"/>
        <v>1.0191698196578287</v>
      </c>
      <c r="J166" s="183">
        <f t="shared" si="13"/>
        <v>1.0134384314757987</v>
      </c>
      <c r="K166" s="183">
        <f t="shared" si="14"/>
        <v>1.0165829239641342</v>
      </c>
      <c r="L166" s="183">
        <f t="shared" si="15"/>
        <v>1.0123044815501847</v>
      </c>
    </row>
    <row r="167" spans="1:12" x14ac:dyDescent="0.2">
      <c r="A167" t="s">
        <v>300</v>
      </c>
      <c r="B167" s="89">
        <v>66769302.143170252</v>
      </c>
      <c r="C167" s="89">
        <v>68083667.642978087</v>
      </c>
      <c r="D167" s="89">
        <v>69327698.283986732</v>
      </c>
      <c r="E167" s="89">
        <v>70385370.960596979</v>
      </c>
      <c r="F167" s="89">
        <v>71459687.856406346</v>
      </c>
      <c r="H167" s="183">
        <f t="shared" si="11"/>
        <v>1</v>
      </c>
      <c r="I167" s="183">
        <f t="shared" si="12"/>
        <v>1.0196851765350117</v>
      </c>
      <c r="J167" s="183">
        <f t="shared" si="13"/>
        <v>1.0182720861562891</v>
      </c>
      <c r="K167" s="183">
        <f t="shared" si="14"/>
        <v>1.0152561343126913</v>
      </c>
      <c r="L167" s="183">
        <f t="shared" si="15"/>
        <v>1.0152633548867815</v>
      </c>
    </row>
    <row r="168" spans="1:12" x14ac:dyDescent="0.2">
      <c r="A168" t="s">
        <v>301</v>
      </c>
      <c r="B168" s="89">
        <v>11179314.459523497</v>
      </c>
      <c r="C168" s="89">
        <v>11453370.224641448</v>
      </c>
      <c r="D168" s="89">
        <v>11627926.917190569</v>
      </c>
      <c r="E168" s="89">
        <v>11884944.970746348</v>
      </c>
      <c r="F168" s="89">
        <v>12146335.969379626</v>
      </c>
      <c r="H168" s="183">
        <f t="shared" si="11"/>
        <v>1</v>
      </c>
      <c r="I168" s="183">
        <f t="shared" si="12"/>
        <v>1.024514541218982</v>
      </c>
      <c r="J168" s="183">
        <f t="shared" si="13"/>
        <v>1.0152406400147242</v>
      </c>
      <c r="K168" s="183">
        <f t="shared" si="14"/>
        <v>1.0221035147009574</v>
      </c>
      <c r="L168" s="183">
        <f t="shared" si="15"/>
        <v>1.0219934546837757</v>
      </c>
    </row>
    <row r="169" spans="1:12" x14ac:dyDescent="0.2">
      <c r="A169" t="s">
        <v>302</v>
      </c>
      <c r="B169" s="89">
        <v>17855321.729300167</v>
      </c>
      <c r="C169" s="89">
        <v>17883844.659254432</v>
      </c>
      <c r="D169" s="89">
        <v>18057059.751150183</v>
      </c>
      <c r="E169" s="89">
        <v>18230356.136454459</v>
      </c>
      <c r="F169" s="89">
        <v>18488034.646118749</v>
      </c>
      <c r="H169" s="183">
        <f t="shared" si="11"/>
        <v>1</v>
      </c>
      <c r="I169" s="183">
        <f t="shared" si="12"/>
        <v>1.0015974469901294</v>
      </c>
      <c r="J169" s="183">
        <f t="shared" si="13"/>
        <v>1.0096855623159373</v>
      </c>
      <c r="K169" s="183">
        <f t="shared" si="14"/>
        <v>1.0095971541154831</v>
      </c>
      <c r="L169" s="183">
        <f t="shared" si="15"/>
        <v>1.0141345845213094</v>
      </c>
    </row>
    <row r="170" spans="1:12" x14ac:dyDescent="0.2">
      <c r="A170" t="s">
        <v>303</v>
      </c>
      <c r="B170" s="89">
        <v>90799710.421896055</v>
      </c>
      <c r="C170" s="89">
        <v>92194212.455064759</v>
      </c>
      <c r="D170" s="89">
        <v>93768016.997632116</v>
      </c>
      <c r="E170" s="89">
        <v>95602827.059802264</v>
      </c>
      <c r="F170" s="89">
        <v>97362593.502754569</v>
      </c>
      <c r="H170" s="183">
        <f t="shared" si="11"/>
        <v>1</v>
      </c>
      <c r="I170" s="183">
        <f t="shared" si="12"/>
        <v>1.0153580008866683</v>
      </c>
      <c r="J170" s="183">
        <f t="shared" si="13"/>
        <v>1.0170705351307645</v>
      </c>
      <c r="K170" s="183">
        <f t="shared" si="14"/>
        <v>1.0195675468130725</v>
      </c>
      <c r="L170" s="183">
        <f t="shared" si="15"/>
        <v>1.0184070544467427</v>
      </c>
    </row>
    <row r="171" spans="1:12" x14ac:dyDescent="0.2">
      <c r="A171" t="s">
        <v>304</v>
      </c>
      <c r="B171" s="89">
        <v>22505196.067961749</v>
      </c>
      <c r="C171" s="89">
        <v>23069040.047595259</v>
      </c>
      <c r="D171" s="89">
        <v>23510141.767843135</v>
      </c>
      <c r="E171" s="89">
        <v>24085252.19982506</v>
      </c>
      <c r="F171" s="89">
        <v>24549754.711187128</v>
      </c>
      <c r="H171" s="183">
        <f t="shared" si="11"/>
        <v>1</v>
      </c>
      <c r="I171" s="183">
        <f t="shared" si="12"/>
        <v>1.0250539465610875</v>
      </c>
      <c r="J171" s="183">
        <f t="shared" si="13"/>
        <v>1.0191209395509224</v>
      </c>
      <c r="K171" s="183">
        <f t="shared" si="14"/>
        <v>1.0244622273085802</v>
      </c>
      <c r="L171" s="183">
        <f t="shared" si="15"/>
        <v>1.0192857648949776</v>
      </c>
    </row>
    <row r="172" spans="1:12" x14ac:dyDescent="0.2">
      <c r="A172" t="s">
        <v>305</v>
      </c>
      <c r="B172" s="89">
        <v>32222447.727632362</v>
      </c>
      <c r="C172" s="89">
        <v>32562253.177011929</v>
      </c>
      <c r="D172" s="89">
        <v>33002951.931468718</v>
      </c>
      <c r="E172" s="89">
        <v>33496911.170985203</v>
      </c>
      <c r="F172" s="89">
        <v>33799718.893417731</v>
      </c>
      <c r="H172" s="183">
        <f t="shared" si="11"/>
        <v>1</v>
      </c>
      <c r="I172" s="183">
        <f t="shared" si="12"/>
        <v>1.010545612557179</v>
      </c>
      <c r="J172" s="183">
        <f t="shared" si="13"/>
        <v>1.0135340374654389</v>
      </c>
      <c r="K172" s="183">
        <f t="shared" si="14"/>
        <v>1.0149671229574313</v>
      </c>
      <c r="L172" s="183">
        <f t="shared" si="15"/>
        <v>1.0090398700013516</v>
      </c>
    </row>
    <row r="173" spans="1:12" x14ac:dyDescent="0.2">
      <c r="A173" t="s">
        <v>306</v>
      </c>
      <c r="B173" s="89">
        <v>2527905.2944572028</v>
      </c>
      <c r="C173" s="89">
        <v>2578802.331287933</v>
      </c>
      <c r="D173" s="89">
        <v>2630728.1739964797</v>
      </c>
      <c r="E173" s="89">
        <v>2683704.3981253835</v>
      </c>
      <c r="F173" s="89">
        <v>2738268.5262805405</v>
      </c>
      <c r="H173" s="183">
        <f t="shared" si="11"/>
        <v>1</v>
      </c>
      <c r="I173" s="183">
        <f t="shared" si="12"/>
        <v>1.0201340758066884</v>
      </c>
      <c r="J173" s="183">
        <f t="shared" si="13"/>
        <v>1.0201356428441777</v>
      </c>
      <c r="K173" s="183">
        <f t="shared" si="14"/>
        <v>1.0201374754915955</v>
      </c>
      <c r="L173" s="183">
        <f t="shared" si="15"/>
        <v>1.0203316461355696</v>
      </c>
    </row>
    <row r="174" spans="1:12" x14ac:dyDescent="0.2">
      <c r="A174" t="s">
        <v>307</v>
      </c>
      <c r="B174" s="89">
        <v>21260014.612824362</v>
      </c>
      <c r="C174" s="89">
        <v>21488968.130202778</v>
      </c>
      <c r="D174" s="89">
        <v>21652146.07124259</v>
      </c>
      <c r="E174" s="89">
        <v>21996588.869060047</v>
      </c>
      <c r="F174" s="89">
        <v>22350018.902779859</v>
      </c>
      <c r="H174" s="183">
        <f t="shared" si="11"/>
        <v>1</v>
      </c>
      <c r="I174" s="183">
        <f t="shared" si="12"/>
        <v>1.010769207902628</v>
      </c>
      <c r="J174" s="183">
        <f t="shared" si="13"/>
        <v>1.0075935680136481</v>
      </c>
      <c r="K174" s="183">
        <f t="shared" si="14"/>
        <v>1.0159080211580012</v>
      </c>
      <c r="L174" s="183">
        <f t="shared" si="15"/>
        <v>1.0160674928200772</v>
      </c>
    </row>
    <row r="175" spans="1:12" x14ac:dyDescent="0.2">
      <c r="A175" t="s">
        <v>308</v>
      </c>
      <c r="B175" s="89">
        <v>19074878.590839785</v>
      </c>
      <c r="C175" s="89">
        <v>19217887.486450434</v>
      </c>
      <c r="D175" s="89">
        <v>19363138.299871303</v>
      </c>
      <c r="E175" s="89">
        <v>19512038.482728884</v>
      </c>
      <c r="F175" s="89">
        <v>19647326.745170165</v>
      </c>
      <c r="H175" s="183">
        <f t="shared" si="11"/>
        <v>1</v>
      </c>
      <c r="I175" s="183">
        <f t="shared" si="12"/>
        <v>1.0074972375278617</v>
      </c>
      <c r="J175" s="183">
        <f t="shared" si="13"/>
        <v>1.0075581050999116</v>
      </c>
      <c r="K175" s="183">
        <f t="shared" si="14"/>
        <v>1.0076898786008552</v>
      </c>
      <c r="L175" s="183">
        <f t="shared" si="15"/>
        <v>1.0069335791112257</v>
      </c>
    </row>
    <row r="176" spans="1:12" x14ac:dyDescent="0.2">
      <c r="A176" t="s">
        <v>309</v>
      </c>
      <c r="B176" s="89">
        <v>447162774.59191018</v>
      </c>
      <c r="C176" s="89">
        <v>458470426.51781607</v>
      </c>
      <c r="D176" s="89">
        <v>469346897.08807594</v>
      </c>
      <c r="E176" s="89">
        <v>480461428.7837193</v>
      </c>
      <c r="F176" s="89">
        <v>491097875.90725523</v>
      </c>
      <c r="H176" s="183">
        <f t="shared" si="11"/>
        <v>1</v>
      </c>
      <c r="I176" s="183">
        <f t="shared" si="12"/>
        <v>1.0252875520244848</v>
      </c>
      <c r="J176" s="183">
        <f t="shared" si="13"/>
        <v>1.0237233852854351</v>
      </c>
      <c r="K176" s="183">
        <f t="shared" si="14"/>
        <v>1.0236808462239768</v>
      </c>
      <c r="L176" s="183">
        <f t="shared" si="15"/>
        <v>1.0221379833766508</v>
      </c>
    </row>
    <row r="177" spans="1:12" x14ac:dyDescent="0.2">
      <c r="A177" t="s">
        <v>311</v>
      </c>
      <c r="B177" s="89">
        <v>5937700.638334576</v>
      </c>
      <c r="C177" s="89">
        <v>5991617.5982873887</v>
      </c>
      <c r="D177" s="89">
        <v>6082046.2162090503</v>
      </c>
      <c r="E177" s="89">
        <v>6176584.2394215371</v>
      </c>
      <c r="F177" s="89">
        <v>6274440.2133600656</v>
      </c>
      <c r="H177" s="183">
        <f t="shared" si="11"/>
        <v>1</v>
      </c>
      <c r="I177" s="183">
        <f t="shared" si="12"/>
        <v>1.0090804443061203</v>
      </c>
      <c r="J177" s="183">
        <f t="shared" si="13"/>
        <v>1.015092521583405</v>
      </c>
      <c r="K177" s="183">
        <f t="shared" si="14"/>
        <v>1.0155437857345668</v>
      </c>
      <c r="L177" s="183">
        <f t="shared" si="15"/>
        <v>1.0158430566386467</v>
      </c>
    </row>
    <row r="178" spans="1:12" x14ac:dyDescent="0.2">
      <c r="A178" t="s">
        <v>312</v>
      </c>
      <c r="B178" s="89">
        <v>24056451.677048679</v>
      </c>
      <c r="C178" s="89">
        <v>24591487.319336966</v>
      </c>
      <c r="D178" s="89">
        <v>25291225.373319514</v>
      </c>
      <c r="E178" s="89">
        <v>25817059.955031324</v>
      </c>
      <c r="F178" s="89">
        <v>26431567.853177778</v>
      </c>
      <c r="H178" s="183">
        <f t="shared" si="11"/>
        <v>1</v>
      </c>
      <c r="I178" s="183">
        <f t="shared" si="12"/>
        <v>1.0222408379037355</v>
      </c>
      <c r="J178" s="183">
        <f t="shared" si="13"/>
        <v>1.0284544828418054</v>
      </c>
      <c r="K178" s="183">
        <f t="shared" si="14"/>
        <v>1.0207911864273105</v>
      </c>
      <c r="L178" s="183">
        <f t="shared" si="15"/>
        <v>1.0238023965245002</v>
      </c>
    </row>
    <row r="179" spans="1:12" x14ac:dyDescent="0.2">
      <c r="A179" t="s">
        <v>313</v>
      </c>
      <c r="B179" s="89">
        <v>8973226.6280354653</v>
      </c>
      <c r="C179" s="89">
        <v>9055628.7726991046</v>
      </c>
      <c r="D179" s="89">
        <v>9143265.8538524099</v>
      </c>
      <c r="E179" s="89">
        <v>9208483.6046363451</v>
      </c>
      <c r="F179" s="89">
        <v>9408833.0696611349</v>
      </c>
      <c r="H179" s="183">
        <f t="shared" si="11"/>
        <v>1</v>
      </c>
      <c r="I179" s="183">
        <f t="shared" si="12"/>
        <v>1.0091831119484029</v>
      </c>
      <c r="J179" s="183">
        <f t="shared" si="13"/>
        <v>1.0096776362363167</v>
      </c>
      <c r="K179" s="183">
        <f t="shared" si="14"/>
        <v>1.007132872632863</v>
      </c>
      <c r="L179" s="183">
        <f t="shared" si="15"/>
        <v>1.0217570529119384</v>
      </c>
    </row>
    <row r="180" spans="1:12" x14ac:dyDescent="0.2">
      <c r="A180" t="s">
        <v>314</v>
      </c>
      <c r="B180" s="89">
        <v>9460403.5883054063</v>
      </c>
      <c r="C180" s="89">
        <v>9530320.520608902</v>
      </c>
      <c r="D180" s="89">
        <v>9588968.2820745111</v>
      </c>
      <c r="E180" s="89">
        <v>9695046.9020622093</v>
      </c>
      <c r="F180" s="89">
        <v>9803703.0011068452</v>
      </c>
      <c r="H180" s="183">
        <f t="shared" si="11"/>
        <v>1</v>
      </c>
      <c r="I180" s="183">
        <f t="shared" si="12"/>
        <v>1.0073904809293679</v>
      </c>
      <c r="J180" s="183">
        <f t="shared" si="13"/>
        <v>1.0061538078744345</v>
      </c>
      <c r="K180" s="183">
        <f t="shared" si="14"/>
        <v>1.0110625686588202</v>
      </c>
      <c r="L180" s="183">
        <f t="shared" si="15"/>
        <v>1.0112073825059602</v>
      </c>
    </row>
    <row r="181" spans="1:12" x14ac:dyDescent="0.2">
      <c r="A181" t="s">
        <v>315</v>
      </c>
      <c r="B181" s="89">
        <v>13547551.574692424</v>
      </c>
      <c r="C181" s="89">
        <v>13696488.859445149</v>
      </c>
      <c r="D181" s="89">
        <v>13893091.336185884</v>
      </c>
      <c r="E181" s="89">
        <v>14003584.187984336</v>
      </c>
      <c r="F181" s="89">
        <v>14076424.104187053</v>
      </c>
      <c r="H181" s="183">
        <f t="shared" si="11"/>
        <v>1</v>
      </c>
      <c r="I181" s="183">
        <f t="shared" si="12"/>
        <v>1.0109936680389502</v>
      </c>
      <c r="J181" s="183">
        <f t="shared" si="13"/>
        <v>1.0143542245577162</v>
      </c>
      <c r="K181" s="183">
        <f t="shared" si="14"/>
        <v>1.0079530789170488</v>
      </c>
      <c r="L181" s="183">
        <f t="shared" si="15"/>
        <v>1.0052015194985022</v>
      </c>
    </row>
    <row r="182" spans="1:12" x14ac:dyDescent="0.2">
      <c r="A182" t="s">
        <v>316</v>
      </c>
      <c r="B182" s="89">
        <v>2965825.2320964593</v>
      </c>
      <c r="C182" s="89">
        <v>3013294.9831336937</v>
      </c>
      <c r="D182" s="89">
        <v>3063193.2692943481</v>
      </c>
      <c r="E182" s="89">
        <v>3117378.4278937308</v>
      </c>
      <c r="F182" s="89">
        <v>3167168.2392782662</v>
      </c>
      <c r="H182" s="183">
        <f t="shared" si="11"/>
        <v>1</v>
      </c>
      <c r="I182" s="183">
        <f t="shared" si="12"/>
        <v>1.0160055793320226</v>
      </c>
      <c r="J182" s="183">
        <f t="shared" si="13"/>
        <v>1.0165593765097509</v>
      </c>
      <c r="K182" s="183">
        <f t="shared" si="14"/>
        <v>1.0176891086640005</v>
      </c>
      <c r="L182" s="183">
        <f t="shared" si="15"/>
        <v>1.0159716930543385</v>
      </c>
    </row>
    <row r="183" spans="1:12" x14ac:dyDescent="0.2">
      <c r="A183" t="s">
        <v>318</v>
      </c>
      <c r="B183" s="89">
        <v>7677410.0076908637</v>
      </c>
      <c r="C183" s="89">
        <v>7761455.3549004858</v>
      </c>
      <c r="D183" s="89">
        <v>7898885.0577614009</v>
      </c>
      <c r="E183" s="89">
        <v>8039661.2026441097</v>
      </c>
      <c r="F183" s="89">
        <v>8181965.1558369119</v>
      </c>
      <c r="H183" s="183">
        <f t="shared" si="11"/>
        <v>1</v>
      </c>
      <c r="I183" s="183">
        <f t="shared" si="12"/>
        <v>1.0109470963678415</v>
      </c>
      <c r="J183" s="183">
        <f t="shared" si="13"/>
        <v>1.0177066924406315</v>
      </c>
      <c r="K183" s="183">
        <f t="shared" si="14"/>
        <v>1.017822280467847</v>
      </c>
      <c r="L183" s="183">
        <f t="shared" si="15"/>
        <v>1.0177002425358423</v>
      </c>
    </row>
    <row r="184" spans="1:12" x14ac:dyDescent="0.2">
      <c r="A184" t="s">
        <v>319</v>
      </c>
      <c r="B184" s="89">
        <v>4345801.5946143772</v>
      </c>
      <c r="C184" s="89">
        <v>4416525.7642093245</v>
      </c>
      <c r="D184" s="89">
        <v>4489256.7489409307</v>
      </c>
      <c r="E184" s="89">
        <v>4564990.1893178588</v>
      </c>
      <c r="F184" s="89">
        <v>4641966.8221516665</v>
      </c>
      <c r="H184" s="183">
        <f t="shared" si="11"/>
        <v>1</v>
      </c>
      <c r="I184" s="183">
        <f t="shared" si="12"/>
        <v>1.0162741367858563</v>
      </c>
      <c r="J184" s="183">
        <f t="shared" si="13"/>
        <v>1.0164679181362428</v>
      </c>
      <c r="K184" s="183">
        <f t="shared" si="14"/>
        <v>1.0168699285009248</v>
      </c>
      <c r="L184" s="183">
        <f t="shared" si="15"/>
        <v>1.0168623873527558</v>
      </c>
    </row>
    <row r="185" spans="1:12" x14ac:dyDescent="0.2">
      <c r="A185" t="s">
        <v>320</v>
      </c>
      <c r="B185" s="89">
        <v>11350357.771960137</v>
      </c>
      <c r="C185" s="89">
        <v>11531210.422465228</v>
      </c>
      <c r="D185" s="89">
        <v>11769176.184195794</v>
      </c>
      <c r="E185" s="89">
        <v>12011175.513887206</v>
      </c>
      <c r="F185" s="89">
        <v>12255130.133206472</v>
      </c>
      <c r="H185" s="183">
        <f t="shared" si="11"/>
        <v>1</v>
      </c>
      <c r="I185" s="183">
        <f t="shared" si="12"/>
        <v>1.0159336519727922</v>
      </c>
      <c r="J185" s="183">
        <f t="shared" si="13"/>
        <v>1.0206366680523806</v>
      </c>
      <c r="K185" s="183">
        <f t="shared" si="14"/>
        <v>1.0205621299149537</v>
      </c>
      <c r="L185" s="183">
        <f t="shared" si="15"/>
        <v>1.0203106364599541</v>
      </c>
    </row>
    <row r="186" spans="1:12" x14ac:dyDescent="0.2">
      <c r="A186" t="s">
        <v>321</v>
      </c>
      <c r="B186" s="89">
        <v>33789121.715694271</v>
      </c>
      <c r="C186" s="89">
        <v>34115253.994621247</v>
      </c>
      <c r="D186" s="89">
        <v>34397298.066515245</v>
      </c>
      <c r="E186" s="89">
        <v>34715685.245303206</v>
      </c>
      <c r="F186" s="89">
        <v>34988795.699264728</v>
      </c>
      <c r="H186" s="183">
        <f t="shared" si="11"/>
        <v>1</v>
      </c>
      <c r="I186" s="183">
        <f t="shared" si="12"/>
        <v>1.0096519904148764</v>
      </c>
      <c r="J186" s="183">
        <f t="shared" si="13"/>
        <v>1.0082673888911531</v>
      </c>
      <c r="K186" s="183">
        <f t="shared" si="14"/>
        <v>1.0092561682656669</v>
      </c>
      <c r="L186" s="183">
        <f t="shared" si="15"/>
        <v>1.0078670621660413</v>
      </c>
    </row>
    <row r="187" spans="1:12" x14ac:dyDescent="0.2">
      <c r="A187" t="s">
        <v>322</v>
      </c>
      <c r="B187" s="89">
        <v>9498150.8499633875</v>
      </c>
      <c r="C187" s="89">
        <v>9589578.4088742342</v>
      </c>
      <c r="D187" s="89">
        <v>9737061.3239727542</v>
      </c>
      <c r="E187" s="89">
        <v>9940993.367329061</v>
      </c>
      <c r="F187" s="89">
        <v>10024957.240375048</v>
      </c>
      <c r="H187" s="183">
        <f t="shared" si="11"/>
        <v>1</v>
      </c>
      <c r="I187" s="183">
        <f t="shared" si="12"/>
        <v>1.0096258272115355</v>
      </c>
      <c r="J187" s="183">
        <f t="shared" si="13"/>
        <v>1.0153794993700702</v>
      </c>
      <c r="K187" s="183">
        <f t="shared" si="14"/>
        <v>1.0209439004819887</v>
      </c>
      <c r="L187" s="183">
        <f t="shared" si="15"/>
        <v>1.0084462256379663</v>
      </c>
    </row>
    <row r="188" spans="1:12" x14ac:dyDescent="0.2">
      <c r="A188" t="s">
        <v>323</v>
      </c>
      <c r="B188" s="89">
        <v>44342126.210880406</v>
      </c>
      <c r="C188" s="89">
        <v>45258698.493401311</v>
      </c>
      <c r="D188" s="89">
        <v>45781515.265254296</v>
      </c>
      <c r="E188" s="89">
        <v>46489213.178884</v>
      </c>
      <c r="F188" s="89">
        <v>47210453.955979593</v>
      </c>
      <c r="H188" s="183">
        <f t="shared" si="11"/>
        <v>1</v>
      </c>
      <c r="I188" s="183">
        <f t="shared" si="12"/>
        <v>1.0206704630752685</v>
      </c>
      <c r="J188" s="183">
        <f t="shared" si="13"/>
        <v>1.0115517411957662</v>
      </c>
      <c r="K188" s="183">
        <f t="shared" si="14"/>
        <v>1.0154581583752604</v>
      </c>
      <c r="L188" s="183">
        <f t="shared" si="15"/>
        <v>1.0155141532363725</v>
      </c>
    </row>
    <row r="189" spans="1:12" x14ac:dyDescent="0.2">
      <c r="A189" t="s">
        <v>129</v>
      </c>
      <c r="B189" s="89">
        <v>27255101.623226732</v>
      </c>
      <c r="C189" s="89">
        <v>27848484.085374862</v>
      </c>
      <c r="D189" s="89">
        <v>28481763.160690583</v>
      </c>
      <c r="E189" s="89">
        <v>28961133.708340395</v>
      </c>
      <c r="F189" s="89">
        <v>29327174.579204053</v>
      </c>
      <c r="H189" s="183">
        <f t="shared" si="11"/>
        <v>1</v>
      </c>
      <c r="I189" s="183">
        <f t="shared" si="12"/>
        <v>1.0217714272487779</v>
      </c>
      <c r="J189" s="183">
        <f t="shared" si="13"/>
        <v>1.0227401632840869</v>
      </c>
      <c r="K189" s="183">
        <f t="shared" si="14"/>
        <v>1.0168307890542192</v>
      </c>
      <c r="L189" s="183">
        <f t="shared" si="15"/>
        <v>1.0126390380483705</v>
      </c>
    </row>
    <row r="190" spans="1:12" x14ac:dyDescent="0.2">
      <c r="A190" t="s">
        <v>324</v>
      </c>
      <c r="B190" s="89">
        <v>10959385.748213435</v>
      </c>
      <c r="C190" s="89">
        <v>10919954.011071866</v>
      </c>
      <c r="D190" s="89">
        <v>11058772.271975379</v>
      </c>
      <c r="E190" s="89">
        <v>11222907.305839198</v>
      </c>
      <c r="F190" s="89">
        <v>11335002.099328745</v>
      </c>
      <c r="H190" s="183">
        <f t="shared" si="11"/>
        <v>1</v>
      </c>
      <c r="I190" s="183">
        <f t="shared" si="12"/>
        <v>0.99640201211568846</v>
      </c>
      <c r="J190" s="183">
        <f t="shared" si="13"/>
        <v>1.012712348491831</v>
      </c>
      <c r="K190" s="183">
        <f t="shared" si="14"/>
        <v>1.0148420665357005</v>
      </c>
      <c r="L190" s="183">
        <f t="shared" si="15"/>
        <v>1.0099880352242796</v>
      </c>
    </row>
    <row r="191" spans="1:12" x14ac:dyDescent="0.2">
      <c r="A191" t="s">
        <v>325</v>
      </c>
      <c r="B191" s="89">
        <v>45058283.372370459</v>
      </c>
      <c r="C191" s="89">
        <v>46304971.338023931</v>
      </c>
      <c r="D191" s="89">
        <v>47722726.210451819</v>
      </c>
      <c r="E191" s="89">
        <v>49080130.152348526</v>
      </c>
      <c r="F191" s="89">
        <v>50480768.919846103</v>
      </c>
      <c r="H191" s="183">
        <f t="shared" si="11"/>
        <v>1</v>
      </c>
      <c r="I191" s="183">
        <f t="shared" si="12"/>
        <v>1.0276683413646854</v>
      </c>
      <c r="J191" s="183">
        <f t="shared" si="13"/>
        <v>1.030617768059467</v>
      </c>
      <c r="K191" s="183">
        <f t="shared" si="14"/>
        <v>1.0284435540398658</v>
      </c>
      <c r="L191" s="183">
        <f t="shared" si="15"/>
        <v>1.0285377965207079</v>
      </c>
    </row>
    <row r="192" spans="1:12" x14ac:dyDescent="0.2">
      <c r="A192" t="s">
        <v>326</v>
      </c>
      <c r="B192" s="89">
        <v>10404944.042948475</v>
      </c>
      <c r="C192" s="89">
        <v>10552433.796160974</v>
      </c>
      <c r="D192" s="89">
        <v>10677551.603378752</v>
      </c>
      <c r="E192" s="89">
        <v>10936988.547615077</v>
      </c>
      <c r="F192" s="89">
        <v>11137209.498990154</v>
      </c>
      <c r="H192" s="183">
        <f t="shared" si="11"/>
        <v>1</v>
      </c>
      <c r="I192" s="183">
        <f t="shared" si="12"/>
        <v>1.0141749684192154</v>
      </c>
      <c r="J192" s="183">
        <f t="shared" si="13"/>
        <v>1.0118567725355734</v>
      </c>
      <c r="K192" s="183">
        <f t="shared" si="14"/>
        <v>1.024297418909615</v>
      </c>
      <c r="L192" s="183">
        <f t="shared" si="15"/>
        <v>1.0183067716038467</v>
      </c>
    </row>
    <row r="193" spans="1:12" x14ac:dyDescent="0.2">
      <c r="A193" t="s">
        <v>327</v>
      </c>
      <c r="B193" s="89">
        <v>5203388.2393529862</v>
      </c>
      <c r="C193" s="89">
        <v>5280370.5472139288</v>
      </c>
      <c r="D193" s="89">
        <v>5359732.3766897172</v>
      </c>
      <c r="E193" s="89">
        <v>5404322.6226726538</v>
      </c>
      <c r="F193" s="89">
        <v>5529255.6544975396</v>
      </c>
      <c r="H193" s="183">
        <f t="shared" si="11"/>
        <v>1</v>
      </c>
      <c r="I193" s="183">
        <f t="shared" si="12"/>
        <v>1.0147946500087632</v>
      </c>
      <c r="J193" s="183">
        <f t="shared" si="13"/>
        <v>1.0150295947540391</v>
      </c>
      <c r="K193" s="183">
        <f t="shared" si="14"/>
        <v>1.0083194911329652</v>
      </c>
      <c r="L193" s="183">
        <f t="shared" si="15"/>
        <v>1.0231172416133627</v>
      </c>
    </row>
    <row r="194" spans="1:12" x14ac:dyDescent="0.2">
      <c r="A194" t="s">
        <v>328</v>
      </c>
      <c r="B194" s="89">
        <v>135377339.61092618</v>
      </c>
      <c r="C194" s="89">
        <v>138220358.90946713</v>
      </c>
      <c r="D194" s="89">
        <v>140477116.95287046</v>
      </c>
      <c r="E194" s="89">
        <v>143190013.62771136</v>
      </c>
      <c r="F194" s="89">
        <v>146001383.16189989</v>
      </c>
      <c r="H194" s="183">
        <f t="shared" si="11"/>
        <v>1</v>
      </c>
      <c r="I194" s="183">
        <f t="shared" si="12"/>
        <v>1.021000702973716</v>
      </c>
      <c r="J194" s="183">
        <f t="shared" si="13"/>
        <v>1.0163272477456196</v>
      </c>
      <c r="K194" s="183">
        <f t="shared" si="14"/>
        <v>1.0193120184531625</v>
      </c>
      <c r="L194" s="183">
        <f t="shared" si="15"/>
        <v>1.0196338380237744</v>
      </c>
    </row>
    <row r="195" spans="1:12" x14ac:dyDescent="0.2">
      <c r="A195" t="s">
        <v>329</v>
      </c>
      <c r="B195" s="89">
        <v>11054783.709351439</v>
      </c>
      <c r="C195" s="89">
        <v>11181196.982125908</v>
      </c>
      <c r="D195" s="89">
        <v>11223499.682436252</v>
      </c>
      <c r="E195" s="89">
        <v>11300601.317472221</v>
      </c>
      <c r="F195" s="89">
        <v>11458700.530616159</v>
      </c>
      <c r="H195" s="183">
        <f t="shared" si="11"/>
        <v>1</v>
      </c>
      <c r="I195" s="183">
        <f t="shared" si="12"/>
        <v>1.0114351647303179</v>
      </c>
      <c r="J195" s="183">
        <f t="shared" si="13"/>
        <v>1.0037833785039265</v>
      </c>
      <c r="K195" s="183">
        <f t="shared" si="14"/>
        <v>1.0068696607312804</v>
      </c>
      <c r="L195" s="183">
        <f t="shared" si="15"/>
        <v>1.0139903363283416</v>
      </c>
    </row>
    <row r="196" spans="1:12" x14ac:dyDescent="0.2">
      <c r="A196" t="s">
        <v>331</v>
      </c>
      <c r="B196" s="89">
        <v>7049827.7939305538</v>
      </c>
      <c r="C196" s="89">
        <v>7177993.2082537394</v>
      </c>
      <c r="D196" s="89">
        <v>7240679.1182210427</v>
      </c>
      <c r="E196" s="89">
        <v>7343007.5198370116</v>
      </c>
      <c r="F196" s="89">
        <v>7389910.3147630244</v>
      </c>
      <c r="H196" s="183">
        <f t="shared" si="11"/>
        <v>1</v>
      </c>
      <c r="I196" s="183">
        <f t="shared" si="12"/>
        <v>1.018179935463605</v>
      </c>
      <c r="J196" s="183">
        <f t="shared" si="13"/>
        <v>1.0087330689997343</v>
      </c>
      <c r="K196" s="183">
        <f t="shared" si="14"/>
        <v>1.0141324314950597</v>
      </c>
      <c r="L196" s="183">
        <f t="shared" si="15"/>
        <v>1.006387409354996</v>
      </c>
    </row>
    <row r="197" spans="1:12" x14ac:dyDescent="0.2">
      <c r="A197" t="s">
        <v>332</v>
      </c>
      <c r="B197" s="89">
        <v>22229703.508266583</v>
      </c>
      <c r="C197" s="89">
        <v>22310962.584033981</v>
      </c>
      <c r="D197" s="89">
        <v>22513670.907961726</v>
      </c>
      <c r="E197" s="89">
        <v>22660708.696113005</v>
      </c>
      <c r="F197" s="89">
        <v>22729608.603333034</v>
      </c>
      <c r="H197" s="183">
        <f t="shared" si="11"/>
        <v>1</v>
      </c>
      <c r="I197" s="183">
        <f t="shared" si="12"/>
        <v>1.0036554277809948</v>
      </c>
      <c r="J197" s="183">
        <f t="shared" si="13"/>
        <v>1.0090855929305715</v>
      </c>
      <c r="K197" s="183">
        <f t="shared" si="14"/>
        <v>1.006531044570758</v>
      </c>
      <c r="L197" s="183">
        <f t="shared" si="15"/>
        <v>1.0030405009897967</v>
      </c>
    </row>
    <row r="198" spans="1:12" x14ac:dyDescent="0.2">
      <c r="A198" t="s">
        <v>333</v>
      </c>
      <c r="B198" s="89">
        <v>4700052.7967241779</v>
      </c>
      <c r="C198" s="89">
        <v>4796518.6002043337</v>
      </c>
      <c r="D198" s="89">
        <v>4897701.6743071098</v>
      </c>
      <c r="E198" s="89">
        <v>5000322.3278178265</v>
      </c>
      <c r="F198" s="89">
        <v>5105095.0011682045</v>
      </c>
      <c r="H198" s="183">
        <f t="shared" ref="H198:H261" si="16">B198/B198</f>
        <v>1</v>
      </c>
      <c r="I198" s="183">
        <f t="shared" ref="I198:I261" si="17">C198/B198</f>
        <v>1.020524408480558</v>
      </c>
      <c r="J198" s="183">
        <f t="shared" ref="J198:J261" si="18">D198/C198</f>
        <v>1.0210951072093133</v>
      </c>
      <c r="K198" s="183">
        <f t="shared" ref="K198:K261" si="19">E198/D198</f>
        <v>1.0209528183492791</v>
      </c>
      <c r="L198" s="183">
        <f t="shared" ref="L198:L261" si="20">F198/E198</f>
        <v>1.0209531839112662</v>
      </c>
    </row>
    <row r="199" spans="1:12" x14ac:dyDescent="0.2">
      <c r="A199" t="s">
        <v>334</v>
      </c>
      <c r="B199" s="89">
        <v>7469498.8985362155</v>
      </c>
      <c r="C199" s="89">
        <v>7627269.7809383785</v>
      </c>
      <c r="D199" s="89">
        <v>7712344.8062377898</v>
      </c>
      <c r="E199" s="89">
        <v>7839995.3051769426</v>
      </c>
      <c r="F199" s="89">
        <v>7972014.8818418281</v>
      </c>
      <c r="H199" s="183">
        <f t="shared" si="16"/>
        <v>1</v>
      </c>
      <c r="I199" s="183">
        <f t="shared" si="17"/>
        <v>1.0211220169579356</v>
      </c>
      <c r="J199" s="183">
        <f t="shared" si="18"/>
        <v>1.0111540600690467</v>
      </c>
      <c r="K199" s="183">
        <f t="shared" si="19"/>
        <v>1.0165514512312661</v>
      </c>
      <c r="L199" s="183">
        <f t="shared" si="20"/>
        <v>1.0168392418012941</v>
      </c>
    </row>
    <row r="200" spans="1:12" x14ac:dyDescent="0.2">
      <c r="A200" t="s">
        <v>335</v>
      </c>
      <c r="B200" s="89">
        <v>6546089.6699669557</v>
      </c>
      <c r="C200" s="89">
        <v>6632531.8748082817</v>
      </c>
      <c r="D200" s="89">
        <v>6721081.4172575669</v>
      </c>
      <c r="E200" s="89">
        <v>6815645.9143707035</v>
      </c>
      <c r="F200" s="89">
        <v>6912623.2786371578</v>
      </c>
      <c r="H200" s="183">
        <f t="shared" si="16"/>
        <v>1</v>
      </c>
      <c r="I200" s="183">
        <f t="shared" si="17"/>
        <v>1.013205166626103</v>
      </c>
      <c r="J200" s="183">
        <f t="shared" si="18"/>
        <v>1.0133507903347763</v>
      </c>
      <c r="K200" s="183">
        <f t="shared" si="19"/>
        <v>1.0140698335940888</v>
      </c>
      <c r="L200" s="183">
        <f t="shared" si="20"/>
        <v>1.0142286388531392</v>
      </c>
    </row>
    <row r="201" spans="1:12" x14ac:dyDescent="0.2">
      <c r="A201" t="s">
        <v>336</v>
      </c>
      <c r="B201" s="89">
        <v>6077944.4072752614</v>
      </c>
      <c r="C201" s="89">
        <v>6155996.9155413546</v>
      </c>
      <c r="D201" s="89">
        <v>6194782.1834028596</v>
      </c>
      <c r="E201" s="89">
        <v>6277798.592301622</v>
      </c>
      <c r="F201" s="89">
        <v>6406220.1958245765</v>
      </c>
      <c r="H201" s="183">
        <f t="shared" si="16"/>
        <v>1</v>
      </c>
      <c r="I201" s="183">
        <f t="shared" si="17"/>
        <v>1.0128419253346024</v>
      </c>
      <c r="J201" s="183">
        <f t="shared" si="18"/>
        <v>1.0063004040439962</v>
      </c>
      <c r="K201" s="183">
        <f t="shared" si="19"/>
        <v>1.0134010214469171</v>
      </c>
      <c r="L201" s="183">
        <f t="shared" si="20"/>
        <v>1.0204564707890496</v>
      </c>
    </row>
    <row r="202" spans="1:12" x14ac:dyDescent="0.2">
      <c r="A202" t="s">
        <v>130</v>
      </c>
      <c r="B202" s="89">
        <v>12271908.760621833</v>
      </c>
      <c r="C202" s="89">
        <v>12482017.845555611</v>
      </c>
      <c r="D202" s="89">
        <v>12704536.075539246</v>
      </c>
      <c r="E202" s="89">
        <v>13004861.259108918</v>
      </c>
      <c r="F202" s="89">
        <v>13244003.428011458</v>
      </c>
      <c r="H202" s="183">
        <f t="shared" si="16"/>
        <v>1</v>
      </c>
      <c r="I202" s="183">
        <f t="shared" si="17"/>
        <v>1.0171211413833174</v>
      </c>
      <c r="J202" s="183">
        <f t="shared" si="18"/>
        <v>1.0178271039776525</v>
      </c>
      <c r="K202" s="183">
        <f t="shared" si="19"/>
        <v>1.0236392090025157</v>
      </c>
      <c r="L202" s="183">
        <f t="shared" si="20"/>
        <v>1.0183886751375406</v>
      </c>
    </row>
    <row r="203" spans="1:12" x14ac:dyDescent="0.2">
      <c r="A203" t="s">
        <v>337</v>
      </c>
      <c r="B203" s="89">
        <v>9185848.202172393</v>
      </c>
      <c r="C203" s="89">
        <v>9403702.2922515497</v>
      </c>
      <c r="D203" s="89">
        <v>9581179.0959978886</v>
      </c>
      <c r="E203" s="89">
        <v>9762755.6556747686</v>
      </c>
      <c r="F203" s="89">
        <v>9948539.932760492</v>
      </c>
      <c r="H203" s="183">
        <f t="shared" si="16"/>
        <v>1</v>
      </c>
      <c r="I203" s="183">
        <f t="shared" si="17"/>
        <v>1.0237162736945333</v>
      </c>
      <c r="J203" s="183">
        <f t="shared" si="18"/>
        <v>1.0188730776699062</v>
      </c>
      <c r="K203" s="183">
        <f t="shared" si="19"/>
        <v>1.0189513793508698</v>
      </c>
      <c r="L203" s="183">
        <f t="shared" si="20"/>
        <v>1.0190299013555393</v>
      </c>
    </row>
    <row r="204" spans="1:12" x14ac:dyDescent="0.2">
      <c r="A204" t="s">
        <v>131</v>
      </c>
      <c r="B204" s="89">
        <v>11732680.484618913</v>
      </c>
      <c r="C204" s="89">
        <v>11684320.181825779</v>
      </c>
      <c r="D204" s="89">
        <v>11703612.518724967</v>
      </c>
      <c r="E204" s="89">
        <v>11841914.46933477</v>
      </c>
      <c r="F204" s="89">
        <v>11909687.17171354</v>
      </c>
      <c r="H204" s="183">
        <f t="shared" si="16"/>
        <v>1</v>
      </c>
      <c r="I204" s="183">
        <f t="shared" si="17"/>
        <v>0.99587815394303691</v>
      </c>
      <c r="J204" s="183">
        <f t="shared" si="18"/>
        <v>1.0016511304550859</v>
      </c>
      <c r="K204" s="183">
        <f t="shared" si="19"/>
        <v>1.0118170308858507</v>
      </c>
      <c r="L204" s="183">
        <f t="shared" si="20"/>
        <v>1.0057231204088048</v>
      </c>
    </row>
    <row r="205" spans="1:12" x14ac:dyDescent="0.2">
      <c r="A205" t="s">
        <v>338</v>
      </c>
      <c r="B205" s="89">
        <v>3927457.0281520095</v>
      </c>
      <c r="C205" s="89">
        <v>4001757.7084039622</v>
      </c>
      <c r="D205" s="89">
        <v>4073744.0872311112</v>
      </c>
      <c r="E205" s="89">
        <v>4147017.0231580236</v>
      </c>
      <c r="F205" s="89">
        <v>4221599.3044494009</v>
      </c>
      <c r="H205" s="183">
        <f t="shared" si="16"/>
        <v>1</v>
      </c>
      <c r="I205" s="183">
        <f t="shared" si="17"/>
        <v>1.0189182668885657</v>
      </c>
      <c r="J205" s="183">
        <f t="shared" si="18"/>
        <v>1.0179886899888948</v>
      </c>
      <c r="K205" s="183">
        <f t="shared" si="19"/>
        <v>1.0179866320411686</v>
      </c>
      <c r="L205" s="183">
        <f t="shared" si="20"/>
        <v>1.0179845611616472</v>
      </c>
    </row>
    <row r="206" spans="1:12" x14ac:dyDescent="0.2">
      <c r="A206" t="s">
        <v>339</v>
      </c>
      <c r="B206" s="89">
        <v>6807479.6218938585</v>
      </c>
      <c r="C206" s="89">
        <v>6927273.662403998</v>
      </c>
      <c r="D206" s="89">
        <v>7050061.0408917982</v>
      </c>
      <c r="E206" s="89">
        <v>7174999.8511542827</v>
      </c>
      <c r="F206" s="89">
        <v>7304029.7089067902</v>
      </c>
      <c r="H206" s="183">
        <f t="shared" si="16"/>
        <v>1</v>
      </c>
      <c r="I206" s="183">
        <f t="shared" si="17"/>
        <v>1.0175974144858053</v>
      </c>
      <c r="J206" s="183">
        <f t="shared" si="18"/>
        <v>1.0177252097248874</v>
      </c>
      <c r="K206" s="183">
        <f t="shared" si="19"/>
        <v>1.017721663619338</v>
      </c>
      <c r="L206" s="183">
        <f t="shared" si="20"/>
        <v>1.017983255808953</v>
      </c>
    </row>
    <row r="207" spans="1:12" x14ac:dyDescent="0.2">
      <c r="A207" t="s">
        <v>340</v>
      </c>
      <c r="B207" s="89">
        <v>14442312.180870911</v>
      </c>
      <c r="C207" s="89">
        <v>14528763.521478806</v>
      </c>
      <c r="D207" s="89">
        <v>14585487.697634157</v>
      </c>
      <c r="E207" s="89">
        <v>14699073.57909655</v>
      </c>
      <c r="F207" s="89">
        <v>14791549.280561464</v>
      </c>
      <c r="H207" s="183">
        <f t="shared" si="16"/>
        <v>1</v>
      </c>
      <c r="I207" s="183">
        <f t="shared" si="17"/>
        <v>1.0059859764506685</v>
      </c>
      <c r="J207" s="183">
        <f t="shared" si="18"/>
        <v>1.0039042672882308</v>
      </c>
      <c r="K207" s="183">
        <f t="shared" si="19"/>
        <v>1.0077875957127451</v>
      </c>
      <c r="L207" s="183">
        <f t="shared" si="20"/>
        <v>1.0062912605319849</v>
      </c>
    </row>
    <row r="208" spans="1:12" x14ac:dyDescent="0.2">
      <c r="A208" t="s">
        <v>341</v>
      </c>
      <c r="B208" s="89">
        <v>20338672.035265513</v>
      </c>
      <c r="C208" s="89">
        <v>20820808.873138364</v>
      </c>
      <c r="D208" s="89">
        <v>21400698.260984976</v>
      </c>
      <c r="E208" s="89">
        <v>21839635.14985393</v>
      </c>
      <c r="F208" s="89">
        <v>22247315.667656295</v>
      </c>
      <c r="H208" s="183">
        <f t="shared" si="16"/>
        <v>1</v>
      </c>
      <c r="I208" s="183">
        <f t="shared" si="17"/>
        <v>1.0237054236892589</v>
      </c>
      <c r="J208" s="183">
        <f t="shared" si="18"/>
        <v>1.0278514341772162</v>
      </c>
      <c r="K208" s="183">
        <f t="shared" si="19"/>
        <v>1.0205104003390939</v>
      </c>
      <c r="L208" s="183">
        <f t="shared" si="20"/>
        <v>1.0186670022189035</v>
      </c>
    </row>
    <row r="209" spans="1:12" x14ac:dyDescent="0.2">
      <c r="A209" t="s">
        <v>330</v>
      </c>
      <c r="B209" s="89">
        <v>105090454.18557759</v>
      </c>
      <c r="C209" s="89">
        <v>107023035.55190304</v>
      </c>
      <c r="D209" s="89">
        <v>109019616.49369542</v>
      </c>
      <c r="E209" s="89">
        <v>111059877.33846012</v>
      </c>
      <c r="F209" s="89">
        <v>113266091.04077581</v>
      </c>
      <c r="H209" s="183">
        <f t="shared" si="16"/>
        <v>1</v>
      </c>
      <c r="I209" s="183">
        <f t="shared" si="17"/>
        <v>1.0183896946806676</v>
      </c>
      <c r="J209" s="183">
        <f t="shared" si="18"/>
        <v>1.0186556186852325</v>
      </c>
      <c r="K209" s="183">
        <f t="shared" si="19"/>
        <v>1.0187146213716747</v>
      </c>
      <c r="L209" s="183">
        <f t="shared" si="20"/>
        <v>1.0198650831892435</v>
      </c>
    </row>
    <row r="210" spans="1:12" x14ac:dyDescent="0.2">
      <c r="A210" t="s">
        <v>342</v>
      </c>
      <c r="B210" s="89">
        <v>54210649.261547178</v>
      </c>
      <c r="C210" s="89">
        <v>54830049.738120757</v>
      </c>
      <c r="D210" s="89">
        <v>55514427.752225481</v>
      </c>
      <c r="E210" s="89">
        <v>56003345.865413085</v>
      </c>
      <c r="F210" s="89">
        <v>56550906.226618402</v>
      </c>
      <c r="H210" s="183">
        <f t="shared" si="16"/>
        <v>1</v>
      </c>
      <c r="I210" s="183">
        <f t="shared" si="17"/>
        <v>1.011425808120932</v>
      </c>
      <c r="J210" s="183">
        <f t="shared" si="18"/>
        <v>1.0124818054583837</v>
      </c>
      <c r="K210" s="183">
        <f t="shared" si="19"/>
        <v>1.0088070458975056</v>
      </c>
      <c r="L210" s="183">
        <f t="shared" si="20"/>
        <v>1.0097772794240045</v>
      </c>
    </row>
    <row r="211" spans="1:12" x14ac:dyDescent="0.2">
      <c r="A211" t="s">
        <v>343</v>
      </c>
      <c r="B211" s="89">
        <v>46790161.755157053</v>
      </c>
      <c r="C211" s="89">
        <v>47733194.049759448</v>
      </c>
      <c r="D211" s="89">
        <v>48615557.809830002</v>
      </c>
      <c r="E211" s="89">
        <v>49454049.255014978</v>
      </c>
      <c r="F211" s="89">
        <v>50204053.735130891</v>
      </c>
      <c r="H211" s="183">
        <f t="shared" si="16"/>
        <v>1</v>
      </c>
      <c r="I211" s="183">
        <f t="shared" si="17"/>
        <v>1.0201544995620464</v>
      </c>
      <c r="J211" s="183">
        <f t="shared" si="18"/>
        <v>1.018485328242454</v>
      </c>
      <c r="K211" s="183">
        <f t="shared" si="19"/>
        <v>1.0172473891683997</v>
      </c>
      <c r="L211" s="183">
        <f t="shared" si="20"/>
        <v>1.0151656839311263</v>
      </c>
    </row>
    <row r="212" spans="1:12" x14ac:dyDescent="0.2">
      <c r="A212" t="s">
        <v>344</v>
      </c>
      <c r="B212" s="89">
        <v>8255374.020881041</v>
      </c>
      <c r="C212" s="89">
        <v>8340088.2204354582</v>
      </c>
      <c r="D212" s="89">
        <v>8502321.6532986965</v>
      </c>
      <c r="E212" s="89">
        <v>8632518.3053018451</v>
      </c>
      <c r="F212" s="89">
        <v>8728627.1308657266</v>
      </c>
      <c r="H212" s="183">
        <f t="shared" si="16"/>
        <v>1</v>
      </c>
      <c r="I212" s="183">
        <f t="shared" si="17"/>
        <v>1.0102617033874106</v>
      </c>
      <c r="J212" s="183">
        <f t="shared" si="18"/>
        <v>1.0194522442179597</v>
      </c>
      <c r="K212" s="183">
        <f t="shared" si="19"/>
        <v>1.0153130706308477</v>
      </c>
      <c r="L212" s="183">
        <f t="shared" si="20"/>
        <v>1.0111333474387021</v>
      </c>
    </row>
    <row r="213" spans="1:12" x14ac:dyDescent="0.2">
      <c r="A213" t="s">
        <v>345</v>
      </c>
      <c r="B213" s="89">
        <v>10836721.784080897</v>
      </c>
      <c r="C213" s="89">
        <v>11004090.529999964</v>
      </c>
      <c r="D213" s="89">
        <v>11174754.653701227</v>
      </c>
      <c r="E213" s="89">
        <v>11299258.337364949</v>
      </c>
      <c r="F213" s="89">
        <v>11536891.115616115</v>
      </c>
      <c r="H213" s="183">
        <f t="shared" si="16"/>
        <v>1</v>
      </c>
      <c r="I213" s="183">
        <f t="shared" si="17"/>
        <v>1.0154445919396888</v>
      </c>
      <c r="J213" s="183">
        <f t="shared" si="18"/>
        <v>1.0155091530041478</v>
      </c>
      <c r="K213" s="183">
        <f t="shared" si="19"/>
        <v>1.0111415138427657</v>
      </c>
      <c r="L213" s="183">
        <f t="shared" si="20"/>
        <v>1.0210308297373245</v>
      </c>
    </row>
    <row r="214" spans="1:12" x14ac:dyDescent="0.2">
      <c r="A214" t="s">
        <v>346</v>
      </c>
      <c r="B214" s="89">
        <v>70125426.1916233</v>
      </c>
      <c r="C214" s="89">
        <v>71547279.78603898</v>
      </c>
      <c r="D214" s="89">
        <v>72752313.303598031</v>
      </c>
      <c r="E214" s="89">
        <v>74080374.661132082</v>
      </c>
      <c r="F214" s="89">
        <v>75641253.127190188</v>
      </c>
      <c r="H214" s="183">
        <f t="shared" si="16"/>
        <v>1</v>
      </c>
      <c r="I214" s="183">
        <f t="shared" si="17"/>
        <v>1.0202758638575735</v>
      </c>
      <c r="J214" s="183">
        <f t="shared" si="18"/>
        <v>1.0168424784445012</v>
      </c>
      <c r="K214" s="183">
        <f t="shared" si="19"/>
        <v>1.0182545584769518</v>
      </c>
      <c r="L214" s="183">
        <f t="shared" si="20"/>
        <v>1.0210700671155899</v>
      </c>
    </row>
    <row r="215" spans="1:12" x14ac:dyDescent="0.2">
      <c r="A215" t="s">
        <v>347</v>
      </c>
      <c r="B215" s="89">
        <v>7975203.458822282</v>
      </c>
      <c r="C215" s="89">
        <v>8005797.7542103557</v>
      </c>
      <c r="D215" s="89">
        <v>8199689.0195455123</v>
      </c>
      <c r="E215" s="89">
        <v>8334409.206066587</v>
      </c>
      <c r="F215" s="89">
        <v>8471254.8374530971</v>
      </c>
      <c r="H215" s="183">
        <f t="shared" si="16"/>
        <v>1</v>
      </c>
      <c r="I215" s="183">
        <f t="shared" si="17"/>
        <v>1.0038361774149134</v>
      </c>
      <c r="J215" s="183">
        <f t="shared" si="18"/>
        <v>1.024218856294888</v>
      </c>
      <c r="K215" s="183">
        <f t="shared" si="19"/>
        <v>1.0164299141345414</v>
      </c>
      <c r="L215" s="183">
        <f t="shared" si="20"/>
        <v>1.0164193559498975</v>
      </c>
    </row>
    <row r="216" spans="1:12" x14ac:dyDescent="0.2">
      <c r="A216" t="s">
        <v>348</v>
      </c>
      <c r="B216" s="89">
        <v>4930380.2405507984</v>
      </c>
      <c r="C216" s="89">
        <v>4989289.3479034584</v>
      </c>
      <c r="D216" s="89">
        <v>5050345.3713985318</v>
      </c>
      <c r="E216" s="89">
        <v>5113646.1195483143</v>
      </c>
      <c r="F216" s="89">
        <v>5177469.1491429005</v>
      </c>
      <c r="H216" s="183">
        <f t="shared" si="16"/>
        <v>1</v>
      </c>
      <c r="I216" s="183">
        <f t="shared" si="17"/>
        <v>1.0119481874578662</v>
      </c>
      <c r="J216" s="183">
        <f t="shared" si="18"/>
        <v>1.0122374188461789</v>
      </c>
      <c r="K216" s="183">
        <f t="shared" si="19"/>
        <v>1.0125339444126478</v>
      </c>
      <c r="L216" s="183">
        <f t="shared" si="20"/>
        <v>1.0124809241982164</v>
      </c>
    </row>
    <row r="217" spans="1:12" x14ac:dyDescent="0.2">
      <c r="A217" t="s">
        <v>349</v>
      </c>
      <c r="B217" s="89">
        <v>7055417.0866537457</v>
      </c>
      <c r="C217" s="89">
        <v>7124474.6628865236</v>
      </c>
      <c r="D217" s="89">
        <v>7229806.1456184089</v>
      </c>
      <c r="E217" s="89">
        <v>7338822.144402626</v>
      </c>
      <c r="F217" s="89">
        <v>7450891.4558450915</v>
      </c>
      <c r="H217" s="183">
        <f t="shared" si="16"/>
        <v>1</v>
      </c>
      <c r="I217" s="183">
        <f t="shared" si="17"/>
        <v>1.0097878800621738</v>
      </c>
      <c r="J217" s="183">
        <f t="shared" si="18"/>
        <v>1.014784456077946</v>
      </c>
      <c r="K217" s="183">
        <f t="shared" si="19"/>
        <v>1.015078689053134</v>
      </c>
      <c r="L217" s="183">
        <f t="shared" si="20"/>
        <v>1.0152707490708086</v>
      </c>
    </row>
    <row r="218" spans="1:12" x14ac:dyDescent="0.2">
      <c r="A218" t="s">
        <v>350</v>
      </c>
      <c r="B218" s="89">
        <v>6983102.1017443249</v>
      </c>
      <c r="C218" s="89">
        <v>7176383.4524575332</v>
      </c>
      <c r="D218" s="89">
        <v>7294048.1405740846</v>
      </c>
      <c r="E218" s="89">
        <v>7414697.7362241996</v>
      </c>
      <c r="F218" s="89">
        <v>7539583.6814925205</v>
      </c>
      <c r="H218" s="183">
        <f t="shared" si="16"/>
        <v>1</v>
      </c>
      <c r="I218" s="183">
        <f t="shared" si="17"/>
        <v>1.0276784368747707</v>
      </c>
      <c r="J218" s="183">
        <f t="shared" si="18"/>
        <v>1.0163960982430862</v>
      </c>
      <c r="K218" s="183">
        <f t="shared" si="19"/>
        <v>1.0165408279908363</v>
      </c>
      <c r="L218" s="183">
        <f t="shared" si="20"/>
        <v>1.0168430257997161</v>
      </c>
    </row>
    <row r="219" spans="1:12" x14ac:dyDescent="0.2">
      <c r="A219" t="s">
        <v>351</v>
      </c>
      <c r="B219" s="89">
        <v>56311413.117097393</v>
      </c>
      <c r="C219" s="89">
        <v>57338129.52277717</v>
      </c>
      <c r="D219" s="89">
        <v>58298382.112173885</v>
      </c>
      <c r="E219" s="89">
        <v>59271108.271099575</v>
      </c>
      <c r="F219" s="89">
        <v>60198171.758677848</v>
      </c>
      <c r="H219" s="183">
        <f t="shared" si="16"/>
        <v>1</v>
      </c>
      <c r="I219" s="183">
        <f t="shared" si="17"/>
        <v>1.0182328297026531</v>
      </c>
      <c r="J219" s="183">
        <f t="shared" si="18"/>
        <v>1.0167471906982117</v>
      </c>
      <c r="K219" s="183">
        <f t="shared" si="19"/>
        <v>1.0166853028108744</v>
      </c>
      <c r="L219" s="183">
        <f t="shared" si="20"/>
        <v>1.015641068888707</v>
      </c>
    </row>
    <row r="220" spans="1:12" x14ac:dyDescent="0.2">
      <c r="A220" t="s">
        <v>352</v>
      </c>
      <c r="B220" s="89">
        <v>3603413.0882873568</v>
      </c>
      <c r="C220" s="89">
        <v>3653209.4583846945</v>
      </c>
      <c r="D220" s="89">
        <v>3705175.7798502771</v>
      </c>
      <c r="E220" s="89">
        <v>3761056.1760690412</v>
      </c>
      <c r="F220" s="89">
        <v>3821051.6706813276</v>
      </c>
      <c r="H220" s="183">
        <f t="shared" si="16"/>
        <v>1</v>
      </c>
      <c r="I220" s="183">
        <f t="shared" si="17"/>
        <v>1.013819223296712</v>
      </c>
      <c r="J220" s="183">
        <f t="shared" si="18"/>
        <v>1.0142248403924148</v>
      </c>
      <c r="K220" s="183">
        <f t="shared" si="19"/>
        <v>1.0150817125931397</v>
      </c>
      <c r="L220" s="183">
        <f t="shared" si="20"/>
        <v>1.0159517677491836</v>
      </c>
    </row>
    <row r="221" spans="1:12" x14ac:dyDescent="0.2">
      <c r="A221" t="s">
        <v>353</v>
      </c>
      <c r="B221" s="89">
        <v>152313186.08529204</v>
      </c>
      <c r="C221" s="89">
        <v>156391591.12931973</v>
      </c>
      <c r="D221" s="89">
        <v>160066486.65187031</v>
      </c>
      <c r="E221" s="89">
        <v>163594674.92911747</v>
      </c>
      <c r="F221" s="89">
        <v>166618783.83127412</v>
      </c>
      <c r="H221" s="183">
        <f t="shared" si="16"/>
        <v>1</v>
      </c>
      <c r="I221" s="183">
        <f t="shared" si="17"/>
        <v>1.0267764410216189</v>
      </c>
      <c r="J221" s="183">
        <f t="shared" si="18"/>
        <v>1.0234980378165717</v>
      </c>
      <c r="K221" s="183">
        <f t="shared" si="19"/>
        <v>1.0220420173582034</v>
      </c>
      <c r="L221" s="183">
        <f t="shared" si="20"/>
        <v>1.0184853749271909</v>
      </c>
    </row>
    <row r="222" spans="1:12" x14ac:dyDescent="0.2">
      <c r="A222" t="s">
        <v>354</v>
      </c>
      <c r="B222" s="89">
        <v>9838922.043566091</v>
      </c>
      <c r="C222" s="89">
        <v>9874408.1759706624</v>
      </c>
      <c r="D222" s="89">
        <v>9872653.2215854954</v>
      </c>
      <c r="E222" s="89">
        <v>9935869.0910209678</v>
      </c>
      <c r="F222" s="89">
        <v>9955176.5719236284</v>
      </c>
      <c r="H222" s="183">
        <f t="shared" si="16"/>
        <v>1</v>
      </c>
      <c r="I222" s="183">
        <f t="shared" si="17"/>
        <v>1.0036067093780641</v>
      </c>
      <c r="J222" s="183">
        <f t="shared" si="18"/>
        <v>0.99982227244874911</v>
      </c>
      <c r="K222" s="183">
        <f t="shared" si="19"/>
        <v>1.0064031287250379</v>
      </c>
      <c r="L222" s="183">
        <f t="shared" si="20"/>
        <v>1.0019432100730985</v>
      </c>
    </row>
    <row r="223" spans="1:12" x14ac:dyDescent="0.2">
      <c r="A223" t="s">
        <v>355</v>
      </c>
      <c r="B223" s="89">
        <v>8055592.5669742525</v>
      </c>
      <c r="C223" s="89">
        <v>8090549.3257723497</v>
      </c>
      <c r="D223" s="89">
        <v>8220817.5981176216</v>
      </c>
      <c r="E223" s="89">
        <v>8316476.5327662621</v>
      </c>
      <c r="F223" s="89">
        <v>8448332.6503632125</v>
      </c>
      <c r="H223" s="183">
        <f t="shared" si="16"/>
        <v>1</v>
      </c>
      <c r="I223" s="183">
        <f t="shared" si="17"/>
        <v>1.0043394397752203</v>
      </c>
      <c r="J223" s="183">
        <f t="shared" si="18"/>
        <v>1.0161012889360064</v>
      </c>
      <c r="K223" s="183">
        <f t="shared" si="19"/>
        <v>1.0116361825946052</v>
      </c>
      <c r="L223" s="183">
        <f t="shared" si="20"/>
        <v>1.0158548054668883</v>
      </c>
    </row>
    <row r="224" spans="1:12" x14ac:dyDescent="0.2">
      <c r="A224" t="s">
        <v>356</v>
      </c>
      <c r="B224" s="89">
        <v>12307821.364641918</v>
      </c>
      <c r="C224" s="89">
        <v>12581585.718872346</v>
      </c>
      <c r="D224" s="89">
        <v>12953627.198670492</v>
      </c>
      <c r="E224" s="89">
        <v>13216776.11363589</v>
      </c>
      <c r="F224" s="89">
        <v>13480822.795595037</v>
      </c>
      <c r="H224" s="183">
        <f t="shared" si="16"/>
        <v>1</v>
      </c>
      <c r="I224" s="183">
        <f t="shared" si="17"/>
        <v>1.0222431205425928</v>
      </c>
      <c r="J224" s="183">
        <f t="shared" si="18"/>
        <v>1.0295703171373767</v>
      </c>
      <c r="K224" s="183">
        <f t="shared" si="19"/>
        <v>1.0203146895405797</v>
      </c>
      <c r="L224" s="183">
        <f t="shared" si="20"/>
        <v>1.0199781459327837</v>
      </c>
    </row>
    <row r="225" spans="1:12" x14ac:dyDescent="0.2">
      <c r="A225" t="s">
        <v>357</v>
      </c>
      <c r="B225" s="89">
        <v>4496395.5979947764</v>
      </c>
      <c r="C225" s="89">
        <v>4529443.0654916922</v>
      </c>
      <c r="D225" s="89">
        <v>4598148.9741638051</v>
      </c>
      <c r="E225" s="89">
        <v>4669811.4489564952</v>
      </c>
      <c r="F225" s="89">
        <v>4746608.6441754913</v>
      </c>
      <c r="H225" s="183">
        <f t="shared" si="16"/>
        <v>1</v>
      </c>
      <c r="I225" s="183">
        <f t="shared" si="17"/>
        <v>1.0073497686706334</v>
      </c>
      <c r="J225" s="183">
        <f t="shared" si="18"/>
        <v>1.0151687321550766</v>
      </c>
      <c r="K225" s="183">
        <f t="shared" si="19"/>
        <v>1.0155850702522577</v>
      </c>
      <c r="L225" s="183">
        <f t="shared" si="20"/>
        <v>1.0164454595348078</v>
      </c>
    </row>
    <row r="226" spans="1:12" x14ac:dyDescent="0.2">
      <c r="A226" t="s">
        <v>132</v>
      </c>
      <c r="B226" s="89">
        <v>63430447.929720633</v>
      </c>
      <c r="C226" s="89">
        <v>63855702.267402433</v>
      </c>
      <c r="D226" s="89">
        <v>64731196.268851139</v>
      </c>
      <c r="E226" s="89">
        <v>65407984.257591262</v>
      </c>
      <c r="F226" s="89">
        <v>66195713.059987806</v>
      </c>
      <c r="H226" s="183">
        <f t="shared" si="16"/>
        <v>1</v>
      </c>
      <c r="I226" s="183">
        <f t="shared" si="17"/>
        <v>1.0067042619366802</v>
      </c>
      <c r="J226" s="183">
        <f t="shared" si="18"/>
        <v>1.0137105061938319</v>
      </c>
      <c r="K226" s="183">
        <f t="shared" si="19"/>
        <v>1.0104553604405702</v>
      </c>
      <c r="L226" s="183">
        <f t="shared" si="20"/>
        <v>1.0120433126221149</v>
      </c>
    </row>
    <row r="227" spans="1:12" x14ac:dyDescent="0.2">
      <c r="A227" t="s">
        <v>358</v>
      </c>
      <c r="B227" s="89">
        <v>18121603.589114208</v>
      </c>
      <c r="C227" s="89">
        <v>18269054.384653725</v>
      </c>
      <c r="D227" s="89">
        <v>18299221.120073762</v>
      </c>
      <c r="E227" s="89">
        <v>18438202.605731912</v>
      </c>
      <c r="F227" s="89">
        <v>18508183.689951375</v>
      </c>
      <c r="H227" s="183">
        <f t="shared" si="16"/>
        <v>1</v>
      </c>
      <c r="I227" s="183">
        <f t="shared" si="17"/>
        <v>1.0081367410347775</v>
      </c>
      <c r="J227" s="183">
        <f t="shared" si="18"/>
        <v>1.001651247775877</v>
      </c>
      <c r="K227" s="183">
        <f t="shared" si="19"/>
        <v>1.0075949399565258</v>
      </c>
      <c r="L227" s="183">
        <f t="shared" si="20"/>
        <v>1.0037954395944053</v>
      </c>
    </row>
    <row r="228" spans="1:12" x14ac:dyDescent="0.2">
      <c r="A228" t="s">
        <v>359</v>
      </c>
      <c r="B228" s="89">
        <v>9249447.8488868345</v>
      </c>
      <c r="C228" s="89">
        <v>9376746.6049393807</v>
      </c>
      <c r="D228" s="89">
        <v>9478113.993221825</v>
      </c>
      <c r="E228" s="89">
        <v>9581429.9585032649</v>
      </c>
      <c r="F228" s="89">
        <v>9650045.109370904</v>
      </c>
      <c r="H228" s="183">
        <f t="shared" si="16"/>
        <v>1</v>
      </c>
      <c r="I228" s="183">
        <f t="shared" si="17"/>
        <v>1.01376284921352</v>
      </c>
      <c r="J228" s="183">
        <f t="shared" si="18"/>
        <v>1.0108105073703333</v>
      </c>
      <c r="K228" s="183">
        <f t="shared" si="19"/>
        <v>1.0109004771788275</v>
      </c>
      <c r="L228" s="183">
        <f t="shared" si="20"/>
        <v>1.0071612641500076</v>
      </c>
    </row>
    <row r="229" spans="1:12" x14ac:dyDescent="0.2">
      <c r="A229" t="s">
        <v>360</v>
      </c>
      <c r="B229" s="89">
        <v>107332250.38611865</v>
      </c>
      <c r="C229" s="89">
        <v>108313781.96743466</v>
      </c>
      <c r="D229" s="89">
        <v>109207649.8609063</v>
      </c>
      <c r="E229" s="89">
        <v>109709343.28400402</v>
      </c>
      <c r="F229" s="89">
        <v>110588837.13464622</v>
      </c>
      <c r="H229" s="183">
        <f t="shared" si="16"/>
        <v>1</v>
      </c>
      <c r="I229" s="183">
        <f t="shared" si="17"/>
        <v>1.0091447964408184</v>
      </c>
      <c r="J229" s="183">
        <f t="shared" si="18"/>
        <v>1.0082525776243358</v>
      </c>
      <c r="K229" s="183">
        <f t="shared" si="19"/>
        <v>1.0045939402938961</v>
      </c>
      <c r="L229" s="183">
        <f t="shared" si="20"/>
        <v>1.0080165811253237</v>
      </c>
    </row>
    <row r="230" spans="1:12" x14ac:dyDescent="0.2">
      <c r="A230" t="s">
        <v>361</v>
      </c>
      <c r="B230" s="89">
        <v>6627862.055227017</v>
      </c>
      <c r="C230" s="89">
        <v>6761081.1154894456</v>
      </c>
      <c r="D230" s="89">
        <v>6896729.9564358406</v>
      </c>
      <c r="E230" s="89">
        <v>6973207.3046107963</v>
      </c>
      <c r="F230" s="89">
        <v>7176280.6952753551</v>
      </c>
      <c r="H230" s="183">
        <f t="shared" si="16"/>
        <v>1</v>
      </c>
      <c r="I230" s="183">
        <f t="shared" si="17"/>
        <v>1.0200998540935786</v>
      </c>
      <c r="J230" s="183">
        <f t="shared" si="18"/>
        <v>1.0200631879176287</v>
      </c>
      <c r="K230" s="183">
        <f t="shared" si="19"/>
        <v>1.011088928906603</v>
      </c>
      <c r="L230" s="183">
        <f t="shared" si="20"/>
        <v>1.0291219494550641</v>
      </c>
    </row>
    <row r="231" spans="1:12" x14ac:dyDescent="0.2">
      <c r="A231" t="s">
        <v>362</v>
      </c>
      <c r="B231" s="89">
        <v>8113007.288345377</v>
      </c>
      <c r="C231" s="89">
        <v>8231947.7066051774</v>
      </c>
      <c r="D231" s="89">
        <v>8312217.9592175754</v>
      </c>
      <c r="E231" s="89">
        <v>8396837.6973075103</v>
      </c>
      <c r="F231" s="89">
        <v>8526005.1421997454</v>
      </c>
      <c r="H231" s="183">
        <f t="shared" si="16"/>
        <v>1</v>
      </c>
      <c r="I231" s="183">
        <f t="shared" si="17"/>
        <v>1.0146604599296567</v>
      </c>
      <c r="J231" s="183">
        <f t="shared" si="18"/>
        <v>1.0097510644471162</v>
      </c>
      <c r="K231" s="183">
        <f t="shared" si="19"/>
        <v>1.010180163526162</v>
      </c>
      <c r="L231" s="183">
        <f t="shared" si="20"/>
        <v>1.0153828678781838</v>
      </c>
    </row>
    <row r="232" spans="1:12" x14ac:dyDescent="0.2">
      <c r="A232" t="s">
        <v>363</v>
      </c>
      <c r="B232" s="89">
        <v>64704025.071046717</v>
      </c>
      <c r="C232" s="89">
        <v>65442046.09245076</v>
      </c>
      <c r="D232" s="89">
        <v>66091588.029871553</v>
      </c>
      <c r="E232" s="89">
        <v>66839191.699879557</v>
      </c>
      <c r="F232" s="89">
        <v>67563970.895490125</v>
      </c>
      <c r="H232" s="183">
        <f t="shared" si="16"/>
        <v>1</v>
      </c>
      <c r="I232" s="183">
        <f t="shared" si="17"/>
        <v>1.0114061068162865</v>
      </c>
      <c r="J232" s="183">
        <f t="shared" si="18"/>
        <v>1.0099254527663022</v>
      </c>
      <c r="K232" s="183">
        <f t="shared" si="19"/>
        <v>1.0113116312119799</v>
      </c>
      <c r="L232" s="183">
        <f t="shared" si="20"/>
        <v>1.010843625980173</v>
      </c>
    </row>
    <row r="233" spans="1:12" x14ac:dyDescent="0.2">
      <c r="A233" t="s">
        <v>364</v>
      </c>
      <c r="B233" s="89">
        <v>3116364.3628878705</v>
      </c>
      <c r="C233" s="89">
        <v>3208280.8159900135</v>
      </c>
      <c r="D233" s="89">
        <v>3260151.8514626278</v>
      </c>
      <c r="E233" s="89">
        <v>3310057.3031721739</v>
      </c>
      <c r="F233" s="89">
        <v>3364887.3680773173</v>
      </c>
      <c r="H233" s="183">
        <f t="shared" si="16"/>
        <v>1</v>
      </c>
      <c r="I233" s="183">
        <f t="shared" si="17"/>
        <v>1.0294947709570668</v>
      </c>
      <c r="J233" s="183">
        <f t="shared" si="18"/>
        <v>1.0161678601243662</v>
      </c>
      <c r="K233" s="183">
        <f t="shared" si="19"/>
        <v>1.0153077077336619</v>
      </c>
      <c r="L233" s="183">
        <f t="shared" si="20"/>
        <v>1.0165646875214509</v>
      </c>
    </row>
    <row r="234" spans="1:12" x14ac:dyDescent="0.2">
      <c r="A234" t="s">
        <v>365</v>
      </c>
      <c r="B234" s="89">
        <v>149247945.68321574</v>
      </c>
      <c r="C234" s="89">
        <v>153383673.0631969</v>
      </c>
      <c r="D234" s="89">
        <v>157688616.01871839</v>
      </c>
      <c r="E234" s="89">
        <v>162378874.2128996</v>
      </c>
      <c r="F234" s="89">
        <v>166454076.48823783</v>
      </c>
      <c r="H234" s="183">
        <f t="shared" si="16"/>
        <v>1</v>
      </c>
      <c r="I234" s="183">
        <f t="shared" si="17"/>
        <v>1.0277104476115162</v>
      </c>
      <c r="J234" s="183">
        <f t="shared" si="18"/>
        <v>1.0280665006225778</v>
      </c>
      <c r="K234" s="183">
        <f t="shared" si="19"/>
        <v>1.0297437970641106</v>
      </c>
      <c r="L234" s="183">
        <f t="shared" si="20"/>
        <v>1.0250968747941627</v>
      </c>
    </row>
    <row r="235" spans="1:12" x14ac:dyDescent="0.2">
      <c r="A235" t="s">
        <v>366</v>
      </c>
      <c r="B235" s="89">
        <v>14099054.021852382</v>
      </c>
      <c r="C235" s="89">
        <v>14188635.53852105</v>
      </c>
      <c r="D235" s="89">
        <v>14329003.256367054</v>
      </c>
      <c r="E235" s="89">
        <v>14416118.640229899</v>
      </c>
      <c r="F235" s="89">
        <v>14387602.273046751</v>
      </c>
      <c r="H235" s="183">
        <f t="shared" si="16"/>
        <v>1</v>
      </c>
      <c r="I235" s="183">
        <f t="shared" si="17"/>
        <v>1.0063537253300698</v>
      </c>
      <c r="J235" s="183">
        <f t="shared" si="18"/>
        <v>1.009892968035222</v>
      </c>
      <c r="K235" s="183">
        <f t="shared" si="19"/>
        <v>1.0060796541325465</v>
      </c>
      <c r="L235" s="183">
        <f t="shared" si="20"/>
        <v>0.99802191089746095</v>
      </c>
    </row>
    <row r="236" spans="1:12" x14ac:dyDescent="0.2">
      <c r="A236" t="s">
        <v>367</v>
      </c>
      <c r="B236" s="89">
        <v>3278515.4856170509</v>
      </c>
      <c r="C236" s="89">
        <v>3335240.6174921822</v>
      </c>
      <c r="D236" s="89">
        <v>3390271.0697401739</v>
      </c>
      <c r="E236" s="89">
        <v>3448888.2555075209</v>
      </c>
      <c r="F236" s="89">
        <v>3509423.3083277433</v>
      </c>
      <c r="H236" s="183">
        <f t="shared" si="16"/>
        <v>1</v>
      </c>
      <c r="I236" s="183">
        <f t="shared" si="17"/>
        <v>1.0173020783717466</v>
      </c>
      <c r="J236" s="183">
        <f t="shared" si="18"/>
        <v>1.0164996947924465</v>
      </c>
      <c r="K236" s="183">
        <f t="shared" si="19"/>
        <v>1.0172898227196445</v>
      </c>
      <c r="L236" s="183">
        <f t="shared" si="20"/>
        <v>1.0175520481777147</v>
      </c>
    </row>
    <row r="237" spans="1:12" x14ac:dyDescent="0.2">
      <c r="A237" t="s">
        <v>368</v>
      </c>
      <c r="B237" s="89">
        <v>15472923.016545534</v>
      </c>
      <c r="C237" s="89">
        <v>15710939.744775523</v>
      </c>
      <c r="D237" s="89">
        <v>15860361.143999135</v>
      </c>
      <c r="E237" s="89">
        <v>16149980.468579121</v>
      </c>
      <c r="F237" s="89">
        <v>16374382.134478213</v>
      </c>
      <c r="H237" s="183">
        <f t="shared" si="16"/>
        <v>1</v>
      </c>
      <c r="I237" s="183">
        <f t="shared" si="17"/>
        <v>1.0153827901796881</v>
      </c>
      <c r="J237" s="183">
        <f t="shared" si="18"/>
        <v>1.0095106595563961</v>
      </c>
      <c r="K237" s="183">
        <f t="shared" si="19"/>
        <v>1.0182605756546448</v>
      </c>
      <c r="L237" s="183">
        <f t="shared" si="20"/>
        <v>1.013894856797857</v>
      </c>
    </row>
    <row r="238" spans="1:12" x14ac:dyDescent="0.2">
      <c r="A238" t="s">
        <v>369</v>
      </c>
      <c r="B238" s="89">
        <v>47646448.563842356</v>
      </c>
      <c r="C238" s="89">
        <v>48668247.123286121</v>
      </c>
      <c r="D238" s="89">
        <v>49691344.538995318</v>
      </c>
      <c r="E238" s="89">
        <v>50657520.311518326</v>
      </c>
      <c r="F238" s="89">
        <v>51704797.044994332</v>
      </c>
      <c r="H238" s="183">
        <f t="shared" si="16"/>
        <v>1</v>
      </c>
      <c r="I238" s="183">
        <f t="shared" si="17"/>
        <v>1.0214454296226221</v>
      </c>
      <c r="J238" s="183">
        <f t="shared" si="18"/>
        <v>1.0210218669498716</v>
      </c>
      <c r="K238" s="183">
        <f t="shared" si="19"/>
        <v>1.0194435425623229</v>
      </c>
      <c r="L238" s="183">
        <f t="shared" si="20"/>
        <v>1.0206736675430574</v>
      </c>
    </row>
    <row r="239" spans="1:12" x14ac:dyDescent="0.2">
      <c r="A239" t="s">
        <v>370</v>
      </c>
      <c r="B239" s="89">
        <v>7382545.6490434911</v>
      </c>
      <c r="C239" s="89">
        <v>7632868.1397132054</v>
      </c>
      <c r="D239" s="89">
        <v>7753226.0613348633</v>
      </c>
      <c r="E239" s="89">
        <v>7875362.6944185263</v>
      </c>
      <c r="F239" s="89">
        <v>8002520.2833280861</v>
      </c>
      <c r="H239" s="183">
        <f t="shared" si="16"/>
        <v>1</v>
      </c>
      <c r="I239" s="183">
        <f t="shared" si="17"/>
        <v>1.0339073407154817</v>
      </c>
      <c r="J239" s="183">
        <f t="shared" si="18"/>
        <v>1.0157683742753847</v>
      </c>
      <c r="K239" s="183">
        <f t="shared" si="19"/>
        <v>1.0157530081178407</v>
      </c>
      <c r="L239" s="183">
        <f t="shared" si="20"/>
        <v>1.016146251778306</v>
      </c>
    </row>
    <row r="240" spans="1:12" x14ac:dyDescent="0.2">
      <c r="A240" t="s">
        <v>371</v>
      </c>
      <c r="B240" s="89">
        <v>46893405.565126143</v>
      </c>
      <c r="C240" s="89">
        <v>48198186.092369124</v>
      </c>
      <c r="D240" s="89">
        <v>49232353.920787908</v>
      </c>
      <c r="E240" s="89">
        <v>50042479.213552274</v>
      </c>
      <c r="F240" s="89">
        <v>50953082.853689663</v>
      </c>
      <c r="H240" s="183">
        <f t="shared" si="16"/>
        <v>1</v>
      </c>
      <c r="I240" s="183">
        <f t="shared" si="17"/>
        <v>1.0278243926095512</v>
      </c>
      <c r="J240" s="183">
        <f t="shared" si="18"/>
        <v>1.0214565715489139</v>
      </c>
      <c r="K240" s="183">
        <f t="shared" si="19"/>
        <v>1.0164551403345006</v>
      </c>
      <c r="L240" s="183">
        <f t="shared" si="20"/>
        <v>1.0181966132463474</v>
      </c>
    </row>
    <row r="241" spans="1:12" x14ac:dyDescent="0.2">
      <c r="A241" t="s">
        <v>372</v>
      </c>
      <c r="B241" s="89">
        <v>15415028.098385911</v>
      </c>
      <c r="C241" s="89">
        <v>15581509.492984517</v>
      </c>
      <c r="D241" s="89">
        <v>15667559.681444358</v>
      </c>
      <c r="E241" s="89">
        <v>15875762.295818958</v>
      </c>
      <c r="F241" s="89">
        <v>16073207.589657865</v>
      </c>
      <c r="H241" s="183">
        <f t="shared" si="16"/>
        <v>1</v>
      </c>
      <c r="I241" s="183">
        <f t="shared" si="17"/>
        <v>1.0107999410403954</v>
      </c>
      <c r="J241" s="183">
        <f t="shared" si="18"/>
        <v>1.0055225835788622</v>
      </c>
      <c r="K241" s="183">
        <f t="shared" si="19"/>
        <v>1.0132887711046146</v>
      </c>
      <c r="L241" s="183">
        <f t="shared" si="20"/>
        <v>1.0124369016214678</v>
      </c>
    </row>
    <row r="242" spans="1:12" x14ac:dyDescent="0.2">
      <c r="A242" t="s">
        <v>373</v>
      </c>
      <c r="B242" s="89">
        <v>24157552.770948768</v>
      </c>
      <c r="C242" s="89">
        <v>24740496.477393951</v>
      </c>
      <c r="D242" s="89">
        <v>25473902.254804071</v>
      </c>
      <c r="E242" s="89">
        <v>26046483.158540819</v>
      </c>
      <c r="F242" s="89">
        <v>26552807.016798198</v>
      </c>
      <c r="H242" s="183">
        <f t="shared" si="16"/>
        <v>1</v>
      </c>
      <c r="I242" s="183">
        <f t="shared" si="17"/>
        <v>1.0241309089530881</v>
      </c>
      <c r="J242" s="183">
        <f t="shared" si="18"/>
        <v>1.0296439393639596</v>
      </c>
      <c r="K242" s="183">
        <f t="shared" si="19"/>
        <v>1.0224771571316196</v>
      </c>
      <c r="L242" s="183">
        <f t="shared" si="20"/>
        <v>1.0194392408055808</v>
      </c>
    </row>
    <row r="243" spans="1:12" x14ac:dyDescent="0.2">
      <c r="A243" t="s">
        <v>374</v>
      </c>
      <c r="B243" s="89">
        <v>5260434.5039594136</v>
      </c>
      <c r="C243" s="89">
        <v>5347361.1685499903</v>
      </c>
      <c r="D243" s="89">
        <v>5437346.1340840701</v>
      </c>
      <c r="E243" s="89">
        <v>5531364.6325907316</v>
      </c>
      <c r="F243" s="89">
        <v>5629592.4460298708</v>
      </c>
      <c r="H243" s="183">
        <f t="shared" si="16"/>
        <v>1</v>
      </c>
      <c r="I243" s="183">
        <f t="shared" si="17"/>
        <v>1.0165246168401392</v>
      </c>
      <c r="J243" s="183">
        <f t="shared" si="18"/>
        <v>1.0168279199211974</v>
      </c>
      <c r="K243" s="183">
        <f t="shared" si="19"/>
        <v>1.0172912476395986</v>
      </c>
      <c r="L243" s="183">
        <f t="shared" si="20"/>
        <v>1.0177583327015511</v>
      </c>
    </row>
    <row r="244" spans="1:12" x14ac:dyDescent="0.2">
      <c r="A244" t="s">
        <v>375</v>
      </c>
      <c r="B244" s="89">
        <v>17435398.201910309</v>
      </c>
      <c r="C244" s="89">
        <v>17574727.068220951</v>
      </c>
      <c r="D244" s="89">
        <v>17660101.049522668</v>
      </c>
      <c r="E244" s="89">
        <v>17786470.896052759</v>
      </c>
      <c r="F244" s="89">
        <v>17878878.061193574</v>
      </c>
      <c r="H244" s="183">
        <f t="shared" si="16"/>
        <v>1</v>
      </c>
      <c r="I244" s="183">
        <f t="shared" si="17"/>
        <v>1.0079911490805742</v>
      </c>
      <c r="J244" s="183">
        <f t="shared" si="18"/>
        <v>1.0048577699653778</v>
      </c>
      <c r="K244" s="183">
        <f t="shared" si="19"/>
        <v>1.0071556695047057</v>
      </c>
      <c r="L244" s="183">
        <f t="shared" si="20"/>
        <v>1.0051953625697228</v>
      </c>
    </row>
    <row r="245" spans="1:12" x14ac:dyDescent="0.2">
      <c r="A245" t="s">
        <v>376</v>
      </c>
      <c r="B245" s="89">
        <v>8572519.4429393578</v>
      </c>
      <c r="C245" s="89">
        <v>8817356.7965161111</v>
      </c>
      <c r="D245" s="89">
        <v>8880627.661702631</v>
      </c>
      <c r="E245" s="89">
        <v>8964542.0430318099</v>
      </c>
      <c r="F245" s="89">
        <v>9145862.5476376377</v>
      </c>
      <c r="H245" s="183">
        <f t="shared" si="16"/>
        <v>1</v>
      </c>
      <c r="I245" s="183">
        <f t="shared" si="17"/>
        <v>1.0285607230413936</v>
      </c>
      <c r="J245" s="183">
        <f t="shared" si="18"/>
        <v>1.00717571792167</v>
      </c>
      <c r="K245" s="183">
        <f t="shared" si="19"/>
        <v>1.0094491498265439</v>
      </c>
      <c r="L245" s="183">
        <f t="shared" si="20"/>
        <v>1.0202264101986971</v>
      </c>
    </row>
    <row r="246" spans="1:12" x14ac:dyDescent="0.2">
      <c r="A246" t="s">
        <v>377</v>
      </c>
      <c r="B246" s="89">
        <v>26239197.296570048</v>
      </c>
      <c r="C246" s="89">
        <v>26494663.997640032</v>
      </c>
      <c r="D246" s="89">
        <v>26973910.107105341</v>
      </c>
      <c r="E246" s="89">
        <v>27424196.070736587</v>
      </c>
      <c r="F246" s="89">
        <v>27833041.245842841</v>
      </c>
      <c r="H246" s="183">
        <f t="shared" si="16"/>
        <v>1</v>
      </c>
      <c r="I246" s="183">
        <f t="shared" si="17"/>
        <v>1.0097360715033528</v>
      </c>
      <c r="J246" s="183">
        <f t="shared" si="18"/>
        <v>1.0180884011025011</v>
      </c>
      <c r="K246" s="183">
        <f t="shared" si="19"/>
        <v>1.0166933886056302</v>
      </c>
      <c r="L246" s="183">
        <f t="shared" si="20"/>
        <v>1.0149081918044818</v>
      </c>
    </row>
    <row r="247" spans="1:12" x14ac:dyDescent="0.2">
      <c r="A247" t="s">
        <v>378</v>
      </c>
      <c r="B247" s="89">
        <v>6577579.2520401748</v>
      </c>
      <c r="C247" s="89">
        <v>6667022.9034710433</v>
      </c>
      <c r="D247" s="89">
        <v>6762600.0788612282</v>
      </c>
      <c r="E247" s="89">
        <v>6858029.9785026601</v>
      </c>
      <c r="F247" s="89">
        <v>6957277.6228483804</v>
      </c>
      <c r="H247" s="183">
        <f t="shared" si="16"/>
        <v>1</v>
      </c>
      <c r="I247" s="183">
        <f t="shared" si="17"/>
        <v>1.0135982628264228</v>
      </c>
      <c r="J247" s="183">
        <f t="shared" si="18"/>
        <v>1.0143358102670421</v>
      </c>
      <c r="K247" s="183">
        <f t="shared" si="19"/>
        <v>1.0141114214249827</v>
      </c>
      <c r="L247" s="183">
        <f t="shared" si="20"/>
        <v>1.0144717425640926</v>
      </c>
    </row>
    <row r="248" spans="1:12" x14ac:dyDescent="0.2">
      <c r="A248" t="s">
        <v>379</v>
      </c>
      <c r="B248" s="89">
        <v>18755270.860687144</v>
      </c>
      <c r="C248" s="89">
        <v>18624222.235461861</v>
      </c>
      <c r="D248" s="89">
        <v>18610713.224889707</v>
      </c>
      <c r="E248" s="89">
        <v>18579478.278407324</v>
      </c>
      <c r="F248" s="89">
        <v>18662250.83271816</v>
      </c>
      <c r="H248" s="183">
        <f t="shared" si="16"/>
        <v>1</v>
      </c>
      <c r="I248" s="183">
        <f t="shared" si="17"/>
        <v>0.99301270420466314</v>
      </c>
      <c r="J248" s="183">
        <f t="shared" si="18"/>
        <v>0.99927465370626689</v>
      </c>
      <c r="K248" s="183">
        <f t="shared" si="19"/>
        <v>0.99832166848712656</v>
      </c>
      <c r="L248" s="183">
        <f t="shared" si="20"/>
        <v>1.0044550526699683</v>
      </c>
    </row>
    <row r="249" spans="1:12" x14ac:dyDescent="0.2">
      <c r="A249" t="s">
        <v>380</v>
      </c>
      <c r="B249" s="89">
        <v>14800638.277025428</v>
      </c>
      <c r="C249" s="89">
        <v>15062649.607432147</v>
      </c>
      <c r="D249" s="89">
        <v>15360292.71133961</v>
      </c>
      <c r="E249" s="89">
        <v>15623846.754001349</v>
      </c>
      <c r="F249" s="89">
        <v>15800858.493037952</v>
      </c>
      <c r="H249" s="183">
        <f t="shared" si="16"/>
        <v>1</v>
      </c>
      <c r="I249" s="183">
        <f t="shared" si="17"/>
        <v>1.0177027048092535</v>
      </c>
      <c r="J249" s="183">
        <f t="shared" si="18"/>
        <v>1.0197603417502721</v>
      </c>
      <c r="K249" s="183">
        <f t="shared" si="19"/>
        <v>1.017158139341132</v>
      </c>
      <c r="L249" s="183">
        <f t="shared" si="20"/>
        <v>1.0113295875096362</v>
      </c>
    </row>
    <row r="250" spans="1:12" x14ac:dyDescent="0.2">
      <c r="A250" t="s">
        <v>381</v>
      </c>
      <c r="B250" s="89">
        <v>8655124.4667649027</v>
      </c>
      <c r="C250" s="89">
        <v>8848561.1322235093</v>
      </c>
      <c r="D250" s="89">
        <v>8945630.6127886586</v>
      </c>
      <c r="E250" s="89">
        <v>9023188.866382923</v>
      </c>
      <c r="F250" s="89">
        <v>9233819.199808266</v>
      </c>
      <c r="H250" s="183">
        <f t="shared" si="16"/>
        <v>1</v>
      </c>
      <c r="I250" s="183">
        <f t="shared" si="17"/>
        <v>1.022349379977306</v>
      </c>
      <c r="J250" s="183">
        <f t="shared" si="18"/>
        <v>1.0109700864484796</v>
      </c>
      <c r="K250" s="183">
        <f t="shared" si="19"/>
        <v>1.0086699593300206</v>
      </c>
      <c r="L250" s="183">
        <f t="shared" si="20"/>
        <v>1.0233432256095263</v>
      </c>
    </row>
    <row r="251" spans="1:12" x14ac:dyDescent="0.2">
      <c r="A251" t="s">
        <v>382</v>
      </c>
      <c r="B251" s="89">
        <v>11578255.554213908</v>
      </c>
      <c r="C251" s="89">
        <v>11584414.997418042</v>
      </c>
      <c r="D251" s="89">
        <v>11799984.39769098</v>
      </c>
      <c r="E251" s="89">
        <v>11945816.887836378</v>
      </c>
      <c r="F251" s="89">
        <v>12013630.544287302</v>
      </c>
      <c r="H251" s="183">
        <f t="shared" si="16"/>
        <v>1</v>
      </c>
      <c r="I251" s="183">
        <f t="shared" si="17"/>
        <v>1.0005319836978286</v>
      </c>
      <c r="J251" s="183">
        <f t="shared" si="18"/>
        <v>1.0186085702489927</v>
      </c>
      <c r="K251" s="183">
        <f t="shared" si="19"/>
        <v>1.0123587019465834</v>
      </c>
      <c r="L251" s="183">
        <f t="shared" si="20"/>
        <v>1.0056767701269533</v>
      </c>
    </row>
    <row r="252" spans="1:12" x14ac:dyDescent="0.2">
      <c r="A252" t="s">
        <v>406</v>
      </c>
      <c r="B252" s="89">
        <v>9664346.4279554784</v>
      </c>
      <c r="C252" s="89">
        <v>9756991.3322193231</v>
      </c>
      <c r="D252" s="89">
        <v>9894157.9797762427</v>
      </c>
      <c r="E252" s="89">
        <v>10036287.596722677</v>
      </c>
      <c r="F252" s="89">
        <v>10137122.135759691</v>
      </c>
      <c r="H252" s="183">
        <f t="shared" si="16"/>
        <v>1</v>
      </c>
      <c r="I252" s="183">
        <f t="shared" si="17"/>
        <v>1.0095862565517992</v>
      </c>
      <c r="J252" s="183">
        <f t="shared" si="18"/>
        <v>1.014058293472494</v>
      </c>
      <c r="K252" s="183">
        <f t="shared" si="19"/>
        <v>1.0143650037968819</v>
      </c>
      <c r="L252" s="183">
        <f t="shared" si="20"/>
        <v>1.0100469957706215</v>
      </c>
    </row>
    <row r="253" spans="1:12" x14ac:dyDescent="0.2">
      <c r="A253" t="s">
        <v>133</v>
      </c>
      <c r="B253" s="89">
        <v>46658015.781240441</v>
      </c>
      <c r="C253" s="89">
        <v>47478988.0114467</v>
      </c>
      <c r="D253" s="89">
        <v>48023219.172584251</v>
      </c>
      <c r="E253" s="89">
        <v>48610568.135069996</v>
      </c>
      <c r="F253" s="89">
        <v>49310508.042216435</v>
      </c>
      <c r="H253" s="183">
        <f t="shared" si="16"/>
        <v>1</v>
      </c>
      <c r="I253" s="183">
        <f t="shared" si="17"/>
        <v>1.0175955238657264</v>
      </c>
      <c r="J253" s="183">
        <f t="shared" si="18"/>
        <v>1.0114625686842007</v>
      </c>
      <c r="K253" s="183">
        <f t="shared" si="19"/>
        <v>1.0122305204150299</v>
      </c>
      <c r="L253" s="183">
        <f t="shared" si="20"/>
        <v>1.0143989246371607</v>
      </c>
    </row>
    <row r="254" spans="1:12" x14ac:dyDescent="0.2">
      <c r="A254" t="s">
        <v>134</v>
      </c>
      <c r="B254" s="89">
        <v>12196044.510802662</v>
      </c>
      <c r="C254" s="89">
        <v>12256412.470098387</v>
      </c>
      <c r="D254" s="89">
        <v>12239151.552249016</v>
      </c>
      <c r="E254" s="89">
        <v>12353632.666261122</v>
      </c>
      <c r="F254" s="89">
        <v>12361591.467112385</v>
      </c>
      <c r="H254" s="183">
        <f t="shared" si="16"/>
        <v>1</v>
      </c>
      <c r="I254" s="183">
        <f t="shared" si="17"/>
        <v>1.0049497982105799</v>
      </c>
      <c r="J254" s="183">
        <f t="shared" si="18"/>
        <v>0.99859168268924681</v>
      </c>
      <c r="K254" s="183">
        <f t="shared" si="19"/>
        <v>1.0093536805654693</v>
      </c>
      <c r="L254" s="183">
        <f t="shared" si="20"/>
        <v>1.0006442478148958</v>
      </c>
    </row>
    <row r="255" spans="1:12" x14ac:dyDescent="0.2">
      <c r="A255" t="s">
        <v>383</v>
      </c>
      <c r="B255" s="89">
        <v>11174748.416306239</v>
      </c>
      <c r="C255" s="89">
        <v>11269506.505969774</v>
      </c>
      <c r="D255" s="89">
        <v>11485573.524676938</v>
      </c>
      <c r="E255" s="89">
        <v>11646158.995067462</v>
      </c>
      <c r="F255" s="89">
        <v>11808594.652253218</v>
      </c>
      <c r="H255" s="183">
        <f t="shared" si="16"/>
        <v>1</v>
      </c>
      <c r="I255" s="183">
        <f t="shared" si="17"/>
        <v>1.008479662014159</v>
      </c>
      <c r="J255" s="183">
        <f t="shared" si="18"/>
        <v>1.0191727134273987</v>
      </c>
      <c r="K255" s="183">
        <f t="shared" si="19"/>
        <v>1.0139814933965208</v>
      </c>
      <c r="L255" s="183">
        <f t="shared" si="20"/>
        <v>1.0139475733805929</v>
      </c>
    </row>
    <row r="256" spans="1:12" x14ac:dyDescent="0.2">
      <c r="A256" t="s">
        <v>384</v>
      </c>
      <c r="B256" s="89">
        <v>12560864.763456538</v>
      </c>
      <c r="C256" s="89">
        <v>12830199.686042596</v>
      </c>
      <c r="D256" s="89">
        <v>13017536.893826794</v>
      </c>
      <c r="E256" s="89">
        <v>13210602.756176427</v>
      </c>
      <c r="F256" s="89">
        <v>13459837.900686013</v>
      </c>
      <c r="H256" s="183">
        <f t="shared" si="16"/>
        <v>1</v>
      </c>
      <c r="I256" s="183">
        <f t="shared" si="17"/>
        <v>1.0214423869421503</v>
      </c>
      <c r="J256" s="183">
        <f t="shared" si="18"/>
        <v>1.0146012698452382</v>
      </c>
      <c r="K256" s="183">
        <f t="shared" si="19"/>
        <v>1.014831212995539</v>
      </c>
      <c r="L256" s="183">
        <f t="shared" si="20"/>
        <v>1.0188662961947788</v>
      </c>
    </row>
    <row r="257" spans="1:12" x14ac:dyDescent="0.2">
      <c r="A257" t="s">
        <v>385</v>
      </c>
      <c r="B257" s="89">
        <v>4010884.9015585724</v>
      </c>
      <c r="C257" s="89">
        <v>4087722.1520181932</v>
      </c>
      <c r="D257" s="89">
        <v>4164943.5494387387</v>
      </c>
      <c r="E257" s="89">
        <v>4207382.3221268505</v>
      </c>
      <c r="F257" s="89">
        <v>4286827.4909969922</v>
      </c>
      <c r="H257" s="183">
        <f t="shared" si="16"/>
        <v>1</v>
      </c>
      <c r="I257" s="183">
        <f t="shared" si="17"/>
        <v>1.0191571816059251</v>
      </c>
      <c r="J257" s="183">
        <f t="shared" si="18"/>
        <v>1.0188910582835038</v>
      </c>
      <c r="K257" s="183">
        <f t="shared" si="19"/>
        <v>1.0101895193018475</v>
      </c>
      <c r="L257" s="183">
        <f t="shared" si="20"/>
        <v>1.0188823270118181</v>
      </c>
    </row>
    <row r="258" spans="1:12" x14ac:dyDescent="0.2">
      <c r="A258" t="s">
        <v>386</v>
      </c>
      <c r="B258" s="89">
        <v>13188066.100246301</v>
      </c>
      <c r="C258" s="89">
        <v>13226460.51152738</v>
      </c>
      <c r="D258" s="89">
        <v>13135717.719619688</v>
      </c>
      <c r="E258" s="89">
        <v>13226408.067702634</v>
      </c>
      <c r="F258" s="89">
        <v>13405208.608675959</v>
      </c>
      <c r="H258" s="183">
        <f t="shared" si="16"/>
        <v>1</v>
      </c>
      <c r="I258" s="183">
        <f t="shared" si="17"/>
        <v>1.0029112995786669</v>
      </c>
      <c r="J258" s="183">
        <f t="shared" si="18"/>
        <v>0.99313929892062913</v>
      </c>
      <c r="K258" s="183">
        <f t="shared" si="19"/>
        <v>1.0069041029975461</v>
      </c>
      <c r="L258" s="183">
        <f t="shared" si="20"/>
        <v>1.0135184503652155</v>
      </c>
    </row>
    <row r="259" spans="1:12" x14ac:dyDescent="0.2">
      <c r="A259" t="s">
        <v>387</v>
      </c>
      <c r="B259" s="89">
        <v>454947124.59900004</v>
      </c>
      <c r="C259" s="89">
        <v>468303519.58395755</v>
      </c>
      <c r="D259" s="89">
        <v>481566592.49576199</v>
      </c>
      <c r="E259" s="89">
        <v>494853471.17613035</v>
      </c>
      <c r="F259" s="89">
        <v>507574125.25103176</v>
      </c>
      <c r="H259" s="183">
        <f t="shared" si="16"/>
        <v>1</v>
      </c>
      <c r="I259" s="183">
        <f t="shared" si="17"/>
        <v>1.0293581259508566</v>
      </c>
      <c r="J259" s="183">
        <f t="shared" si="18"/>
        <v>1.0283215315648009</v>
      </c>
      <c r="K259" s="183">
        <f t="shared" si="19"/>
        <v>1.0275909477264773</v>
      </c>
      <c r="L259" s="183">
        <f t="shared" si="20"/>
        <v>1.0257059004651778</v>
      </c>
    </row>
    <row r="260" spans="1:12" x14ac:dyDescent="0.2">
      <c r="A260" t="s">
        <v>388</v>
      </c>
      <c r="B260" s="89">
        <v>3102968.2892573453</v>
      </c>
      <c r="C260" s="89">
        <v>3115023.9621720943</v>
      </c>
      <c r="D260" s="89">
        <v>3162631.8997880551</v>
      </c>
      <c r="E260" s="89">
        <v>3212882.9249240593</v>
      </c>
      <c r="F260" s="89">
        <v>3264895.0624796664</v>
      </c>
      <c r="H260" s="183">
        <f t="shared" si="16"/>
        <v>1</v>
      </c>
      <c r="I260" s="183">
        <f t="shared" si="17"/>
        <v>1.0038852066121611</v>
      </c>
      <c r="J260" s="183">
        <f t="shared" si="18"/>
        <v>1.0152833295005423</v>
      </c>
      <c r="K260" s="183">
        <f t="shared" si="19"/>
        <v>1.0158889895277954</v>
      </c>
      <c r="L260" s="183">
        <f t="shared" si="20"/>
        <v>1.0161886189976364</v>
      </c>
    </row>
    <row r="261" spans="1:12" x14ac:dyDescent="0.2">
      <c r="A261" t="s">
        <v>389</v>
      </c>
      <c r="B261" s="89">
        <v>10063852.07133564</v>
      </c>
      <c r="C261" s="89">
        <v>10230209.339745259</v>
      </c>
      <c r="D261" s="89">
        <v>10397675.135407379</v>
      </c>
      <c r="E261" s="89">
        <v>10570893.139272196</v>
      </c>
      <c r="F261" s="89">
        <v>10748492.548347259</v>
      </c>
      <c r="H261" s="183">
        <f t="shared" si="16"/>
        <v>1</v>
      </c>
      <c r="I261" s="183">
        <f t="shared" si="17"/>
        <v>1.0165301782290148</v>
      </c>
      <c r="J261" s="183">
        <f t="shared" si="18"/>
        <v>1.0163697330231065</v>
      </c>
      <c r="K261" s="183">
        <f t="shared" si="19"/>
        <v>1.0166593013927656</v>
      </c>
      <c r="L261" s="183">
        <f t="shared" si="20"/>
        <v>1.0168007950449578</v>
      </c>
    </row>
    <row r="262" spans="1:12" x14ac:dyDescent="0.2">
      <c r="A262" t="s">
        <v>390</v>
      </c>
      <c r="B262" s="89">
        <v>11491913.843876887</v>
      </c>
      <c r="C262" s="89">
        <v>11649035.086345265</v>
      </c>
      <c r="D262" s="89">
        <v>11769033.12866726</v>
      </c>
      <c r="E262" s="89">
        <v>11889174.47259867</v>
      </c>
      <c r="F262" s="89">
        <v>11910144.304900086</v>
      </c>
      <c r="H262" s="183">
        <f t="shared" ref="H262:H299" si="21">B262/B262</f>
        <v>1</v>
      </c>
      <c r="I262" s="183">
        <f t="shared" ref="I262:I299" si="22">C262/B262</f>
        <v>1.0136723303535811</v>
      </c>
      <c r="J262" s="183">
        <f t="shared" ref="J262:J299" si="23">D262/C262</f>
        <v>1.0103011143354401</v>
      </c>
      <c r="K262" s="183">
        <f t="shared" ref="K262:K299" si="24">E262/D262</f>
        <v>1.0102082594736492</v>
      </c>
      <c r="L262" s="183">
        <f t="shared" ref="L262:L299" si="25">F262/E262</f>
        <v>1.0017637753024606</v>
      </c>
    </row>
    <row r="263" spans="1:12" x14ac:dyDescent="0.2">
      <c r="A263" t="s">
        <v>391</v>
      </c>
      <c r="B263" s="89">
        <v>10957517.279537523</v>
      </c>
      <c r="C263" s="89">
        <v>11026842.790659156</v>
      </c>
      <c r="D263" s="89">
        <v>11202953.175559981</v>
      </c>
      <c r="E263" s="89">
        <v>11448506.053447571</v>
      </c>
      <c r="F263" s="89">
        <v>11634733.983148245</v>
      </c>
      <c r="H263" s="183">
        <f t="shared" si="21"/>
        <v>1</v>
      </c>
      <c r="I263" s="183">
        <f t="shared" si="22"/>
        <v>1.0063267535293869</v>
      </c>
      <c r="J263" s="183">
        <f t="shared" si="23"/>
        <v>1.0159710615490054</v>
      </c>
      <c r="K263" s="183">
        <f t="shared" si="24"/>
        <v>1.0219185846838386</v>
      </c>
      <c r="L263" s="183">
        <f t="shared" si="25"/>
        <v>1.0162665704006502</v>
      </c>
    </row>
    <row r="264" spans="1:12" x14ac:dyDescent="0.2">
      <c r="A264" t="s">
        <v>392</v>
      </c>
      <c r="B264" s="89">
        <v>8043015.3972601881</v>
      </c>
      <c r="C264" s="89">
        <v>8291020.0908471784</v>
      </c>
      <c r="D264" s="89">
        <v>8379172.4193589687</v>
      </c>
      <c r="E264" s="89">
        <v>8589326.6030467916</v>
      </c>
      <c r="F264" s="89">
        <v>8741920.287810076</v>
      </c>
      <c r="H264" s="183">
        <f t="shared" si="21"/>
        <v>1</v>
      </c>
      <c r="I264" s="183">
        <f t="shared" si="22"/>
        <v>1.0308347903538109</v>
      </c>
      <c r="J264" s="183">
        <f t="shared" si="23"/>
        <v>1.0106322656978126</v>
      </c>
      <c r="K264" s="183">
        <f t="shared" si="24"/>
        <v>1.0250805417492412</v>
      </c>
      <c r="L264" s="183">
        <f t="shared" si="25"/>
        <v>1.0177655003489048</v>
      </c>
    </row>
    <row r="265" spans="1:12" x14ac:dyDescent="0.2">
      <c r="A265" t="s">
        <v>393</v>
      </c>
      <c r="B265" s="89">
        <v>5673835.2904656883</v>
      </c>
      <c r="C265" s="89">
        <v>5762435.1329327691</v>
      </c>
      <c r="D265" s="89">
        <v>5885151.5012158463</v>
      </c>
      <c r="E265" s="89">
        <v>6007240.0208930196</v>
      </c>
      <c r="F265" s="89">
        <v>6132692.193803749</v>
      </c>
      <c r="H265" s="183">
        <f t="shared" si="21"/>
        <v>1</v>
      </c>
      <c r="I265" s="183">
        <f t="shared" si="22"/>
        <v>1.0156155118947432</v>
      </c>
      <c r="J265" s="183">
        <f t="shared" si="23"/>
        <v>1.0212959218545894</v>
      </c>
      <c r="K265" s="183">
        <f t="shared" si="24"/>
        <v>1.0207451787183304</v>
      </c>
      <c r="L265" s="183">
        <f t="shared" si="25"/>
        <v>1.0208834959939024</v>
      </c>
    </row>
    <row r="266" spans="1:12" x14ac:dyDescent="0.2">
      <c r="A266" t="s">
        <v>394</v>
      </c>
      <c r="B266" s="89">
        <v>45391351.560235962</v>
      </c>
      <c r="C266" s="89">
        <v>46019788.482700989</v>
      </c>
      <c r="D266" s="89">
        <v>46750448.230159432</v>
      </c>
      <c r="E266" s="89">
        <v>47437967.378794335</v>
      </c>
      <c r="F266" s="89">
        <v>48075900.639298543</v>
      </c>
      <c r="H266" s="183">
        <f t="shared" si="21"/>
        <v>1</v>
      </c>
      <c r="I266" s="183">
        <f t="shared" si="22"/>
        <v>1.0138448603283177</v>
      </c>
      <c r="J266" s="183">
        <f t="shared" si="23"/>
        <v>1.0158770774822901</v>
      </c>
      <c r="K266" s="183">
        <f t="shared" si="24"/>
        <v>1.0147061509496154</v>
      </c>
      <c r="L266" s="183">
        <f t="shared" si="25"/>
        <v>1.0134477359750742</v>
      </c>
    </row>
    <row r="267" spans="1:12" x14ac:dyDescent="0.2">
      <c r="A267" t="s">
        <v>395</v>
      </c>
      <c r="B267" s="89">
        <v>410389703.16042709</v>
      </c>
      <c r="C267" s="89">
        <v>421436545.58372718</v>
      </c>
      <c r="D267" s="89">
        <v>432342376.46850294</v>
      </c>
      <c r="E267" s="89">
        <v>443478564.55250478</v>
      </c>
      <c r="F267" s="89">
        <v>454243452.04457611</v>
      </c>
      <c r="H267" s="183">
        <f t="shared" si="21"/>
        <v>1</v>
      </c>
      <c r="I267" s="183">
        <f t="shared" si="22"/>
        <v>1.0269179327313231</v>
      </c>
      <c r="J267" s="183">
        <f t="shared" si="23"/>
        <v>1.025877753125729</v>
      </c>
      <c r="K267" s="183">
        <f t="shared" si="24"/>
        <v>1.0257577991196825</v>
      </c>
      <c r="L267" s="183">
        <f t="shared" si="25"/>
        <v>1.0242737492914313</v>
      </c>
    </row>
    <row r="268" spans="1:12" x14ac:dyDescent="0.2">
      <c r="A268" t="s">
        <v>317</v>
      </c>
      <c r="B268" s="89">
        <v>7874748.9510301994</v>
      </c>
      <c r="C268" s="89">
        <v>7975311.4551420817</v>
      </c>
      <c r="D268" s="89">
        <v>8080300.1295571197</v>
      </c>
      <c r="E268" s="89">
        <v>8185119.1544783516</v>
      </c>
      <c r="F268" s="89">
        <v>8298270.3792860024</v>
      </c>
      <c r="H268" s="183">
        <f t="shared" si="21"/>
        <v>1</v>
      </c>
      <c r="I268" s="183">
        <f t="shared" si="22"/>
        <v>1.0127702488977413</v>
      </c>
      <c r="J268" s="183">
        <f t="shared" si="23"/>
        <v>1.0131642099503646</v>
      </c>
      <c r="K268" s="183">
        <f t="shared" si="24"/>
        <v>1.0129721697511966</v>
      </c>
      <c r="L268" s="183">
        <f t="shared" si="25"/>
        <v>1.0138240168129675</v>
      </c>
    </row>
    <row r="269" spans="1:12" x14ac:dyDescent="0.2">
      <c r="A269" t="s">
        <v>396</v>
      </c>
      <c r="B269" s="89">
        <v>6280180.1739970064</v>
      </c>
      <c r="C269" s="89">
        <v>6390802.3019751506</v>
      </c>
      <c r="D269" s="89">
        <v>6505490.5582753662</v>
      </c>
      <c r="E269" s="89">
        <v>6621129.4903456289</v>
      </c>
      <c r="F269" s="89">
        <v>6694738.124824848</v>
      </c>
      <c r="H269" s="183">
        <f t="shared" si="21"/>
        <v>1</v>
      </c>
      <c r="I269" s="183">
        <f t="shared" si="22"/>
        <v>1.017614483169794</v>
      </c>
      <c r="J269" s="183">
        <f t="shared" si="23"/>
        <v>1.0179458307237528</v>
      </c>
      <c r="K269" s="183">
        <f t="shared" si="24"/>
        <v>1.0177755898704923</v>
      </c>
      <c r="L269" s="183">
        <f t="shared" si="25"/>
        <v>1.0111172322768418</v>
      </c>
    </row>
    <row r="270" spans="1:12" x14ac:dyDescent="0.2">
      <c r="A270" t="s">
        <v>397</v>
      </c>
      <c r="B270" s="89">
        <v>79806825.470393673</v>
      </c>
      <c r="C270" s="89">
        <v>81403198.593289182</v>
      </c>
      <c r="D270" s="89">
        <v>82939196.126088351</v>
      </c>
      <c r="E270" s="89">
        <v>84606478.163158745</v>
      </c>
      <c r="F270" s="89">
        <v>86295717.158389851</v>
      </c>
      <c r="H270" s="183">
        <f t="shared" si="21"/>
        <v>1</v>
      </c>
      <c r="I270" s="183">
        <f t="shared" si="22"/>
        <v>1.0200029648277105</v>
      </c>
      <c r="J270" s="183">
        <f t="shared" si="23"/>
        <v>1.0188690071071211</v>
      </c>
      <c r="K270" s="183">
        <f t="shared" si="24"/>
        <v>1.0201024619835439</v>
      </c>
      <c r="L270" s="183">
        <f t="shared" si="25"/>
        <v>1.0199658351453125</v>
      </c>
    </row>
    <row r="271" spans="1:12" x14ac:dyDescent="0.2">
      <c r="A271" t="s">
        <v>398</v>
      </c>
      <c r="B271" s="89">
        <v>18682901.386515696</v>
      </c>
      <c r="C271" s="89">
        <v>19071437.605891231</v>
      </c>
      <c r="D271" s="89">
        <v>19287873.053921539</v>
      </c>
      <c r="E271" s="89">
        <v>19586869.425409302</v>
      </c>
      <c r="F271" s="89">
        <v>19642827.292654406</v>
      </c>
      <c r="H271" s="183">
        <f t="shared" si="21"/>
        <v>1</v>
      </c>
      <c r="I271" s="183">
        <f t="shared" si="22"/>
        <v>1.0207963533788151</v>
      </c>
      <c r="J271" s="183">
        <f t="shared" si="23"/>
        <v>1.0113486698015597</v>
      </c>
      <c r="K271" s="183">
        <f t="shared" si="24"/>
        <v>1.0155017803493358</v>
      </c>
      <c r="L271" s="183">
        <f t="shared" si="25"/>
        <v>1.002856907146811</v>
      </c>
    </row>
    <row r="272" spans="1:12" x14ac:dyDescent="0.2">
      <c r="A272" t="s">
        <v>399</v>
      </c>
      <c r="B272" s="89">
        <v>26388694.246282261</v>
      </c>
      <c r="C272" s="89">
        <v>26715188.407788001</v>
      </c>
      <c r="D272" s="89">
        <v>27138338.11655755</v>
      </c>
      <c r="E272" s="89">
        <v>27617074.803399157</v>
      </c>
      <c r="F272" s="89">
        <v>27979801.257355995</v>
      </c>
      <c r="H272" s="183">
        <f t="shared" si="21"/>
        <v>1</v>
      </c>
      <c r="I272" s="183">
        <f t="shared" si="22"/>
        <v>1.0123725015894538</v>
      </c>
      <c r="J272" s="183">
        <f t="shared" si="23"/>
        <v>1.0158392934502454</v>
      </c>
      <c r="K272" s="183">
        <f t="shared" si="24"/>
        <v>1.0176406044019888</v>
      </c>
      <c r="L272" s="183">
        <f t="shared" si="25"/>
        <v>1.0131341373602751</v>
      </c>
    </row>
    <row r="273" spans="1:12" x14ac:dyDescent="0.2">
      <c r="A273" t="s">
        <v>400</v>
      </c>
      <c r="B273" s="89">
        <v>9333913.5291813761</v>
      </c>
      <c r="C273" s="89">
        <v>9474109.0266752988</v>
      </c>
      <c r="D273" s="89">
        <v>9584761.1312672049</v>
      </c>
      <c r="E273" s="89">
        <v>9735508.2488325834</v>
      </c>
      <c r="F273" s="89">
        <v>9852948.3060869258</v>
      </c>
      <c r="H273" s="183">
        <f t="shared" si="21"/>
        <v>1</v>
      </c>
      <c r="I273" s="183">
        <f t="shared" si="22"/>
        <v>1.015020012458399</v>
      </c>
      <c r="J273" s="183">
        <f t="shared" si="23"/>
        <v>1.0116794206484594</v>
      </c>
      <c r="K273" s="183">
        <f t="shared" si="24"/>
        <v>1.0157277907608584</v>
      </c>
      <c r="L273" s="183">
        <f t="shared" si="25"/>
        <v>1.0120630638126598</v>
      </c>
    </row>
    <row r="274" spans="1:12" x14ac:dyDescent="0.2">
      <c r="A274" t="s">
        <v>401</v>
      </c>
      <c r="B274" s="89">
        <v>9602392.406810971</v>
      </c>
      <c r="C274" s="89">
        <v>9723388.6106198542</v>
      </c>
      <c r="D274" s="89">
        <v>9935042.8602860235</v>
      </c>
      <c r="E274" s="89">
        <v>10059848.951926704</v>
      </c>
      <c r="F274" s="89">
        <v>10222716.531349692</v>
      </c>
      <c r="H274" s="183">
        <f t="shared" si="21"/>
        <v>1</v>
      </c>
      <c r="I274" s="183">
        <f t="shared" si="22"/>
        <v>1.012600631038892</v>
      </c>
      <c r="J274" s="183">
        <f t="shared" si="23"/>
        <v>1.0217675399124746</v>
      </c>
      <c r="K274" s="183">
        <f t="shared" si="24"/>
        <v>1.0125622096850309</v>
      </c>
      <c r="L274" s="183">
        <f t="shared" si="25"/>
        <v>1.0161898633072215</v>
      </c>
    </row>
    <row r="275" spans="1:12" x14ac:dyDescent="0.2">
      <c r="A275" t="s">
        <v>402</v>
      </c>
      <c r="B275" s="89">
        <v>4683564.1211436344</v>
      </c>
      <c r="C275" s="89">
        <v>4773928.8166330662</v>
      </c>
      <c r="D275" s="89">
        <v>4906089.4978741519</v>
      </c>
      <c r="E275" s="89">
        <v>4997478.4669071799</v>
      </c>
      <c r="F275" s="89">
        <v>5050581.3828314571</v>
      </c>
      <c r="H275" s="183">
        <f t="shared" si="21"/>
        <v>1</v>
      </c>
      <c r="I275" s="183">
        <f t="shared" si="22"/>
        <v>1.0192940019933723</v>
      </c>
      <c r="J275" s="183">
        <f t="shared" si="23"/>
        <v>1.0276838399392589</v>
      </c>
      <c r="K275" s="183">
        <f t="shared" si="24"/>
        <v>1.0186276603948272</v>
      </c>
      <c r="L275" s="183">
        <f t="shared" si="25"/>
        <v>1.0106259419176931</v>
      </c>
    </row>
    <row r="276" spans="1:12" x14ac:dyDescent="0.2">
      <c r="A276" t="s">
        <v>403</v>
      </c>
      <c r="B276" s="89">
        <v>9094361.7292690128</v>
      </c>
      <c r="C276" s="89">
        <v>9350711.8312850576</v>
      </c>
      <c r="D276" s="89">
        <v>9518865.4308887068</v>
      </c>
      <c r="E276" s="89">
        <v>9669157.6170918308</v>
      </c>
      <c r="F276" s="89">
        <v>9818531.0806581769</v>
      </c>
      <c r="H276" s="183">
        <f t="shared" si="21"/>
        <v>1</v>
      </c>
      <c r="I276" s="183">
        <f t="shared" si="22"/>
        <v>1.0281878057688223</v>
      </c>
      <c r="J276" s="183">
        <f t="shared" si="23"/>
        <v>1.0179829731294949</v>
      </c>
      <c r="K276" s="183">
        <f t="shared" si="24"/>
        <v>1.0157888760266982</v>
      </c>
      <c r="L276" s="183">
        <f t="shared" si="25"/>
        <v>1.0154484464398743</v>
      </c>
    </row>
    <row r="277" spans="1:12" x14ac:dyDescent="0.2">
      <c r="A277" t="s">
        <v>404</v>
      </c>
      <c r="B277" s="89">
        <v>17861289.312531378</v>
      </c>
      <c r="C277" s="89">
        <v>18342785.284033194</v>
      </c>
      <c r="D277" s="89">
        <v>18672134.884449068</v>
      </c>
      <c r="E277" s="89">
        <v>18903367.286539841</v>
      </c>
      <c r="F277" s="89">
        <v>19053202.812822826</v>
      </c>
      <c r="H277" s="183">
        <f t="shared" si="21"/>
        <v>1</v>
      </c>
      <c r="I277" s="183">
        <f t="shared" si="22"/>
        <v>1.0269575148286749</v>
      </c>
      <c r="J277" s="183">
        <f t="shared" si="23"/>
        <v>1.0179552666247782</v>
      </c>
      <c r="K277" s="183">
        <f t="shared" si="24"/>
        <v>1.0123838223921227</v>
      </c>
      <c r="L277" s="183">
        <f t="shared" si="25"/>
        <v>1.0079263934309564</v>
      </c>
    </row>
    <row r="278" spans="1:12" x14ac:dyDescent="0.2">
      <c r="A278" t="s">
        <v>405</v>
      </c>
      <c r="B278" s="89">
        <v>25497311.444269039</v>
      </c>
      <c r="C278" s="89">
        <v>25899404.96850289</v>
      </c>
      <c r="D278" s="89">
        <v>26207349.561499588</v>
      </c>
      <c r="E278" s="89">
        <v>26610583.493285153</v>
      </c>
      <c r="F278" s="89">
        <v>26957005.969922293</v>
      </c>
      <c r="H278" s="183">
        <f t="shared" si="21"/>
        <v>1</v>
      </c>
      <c r="I278" s="183">
        <f t="shared" si="22"/>
        <v>1.0157700361903932</v>
      </c>
      <c r="J278" s="183">
        <f t="shared" si="23"/>
        <v>1.0118900257890557</v>
      </c>
      <c r="K278" s="183">
        <f t="shared" si="24"/>
        <v>1.0153862919575027</v>
      </c>
      <c r="L278" s="183">
        <f t="shared" si="25"/>
        <v>1.0130182217434109</v>
      </c>
    </row>
    <row r="279" spans="1:12" x14ac:dyDescent="0.2">
      <c r="A279" t="s">
        <v>407</v>
      </c>
      <c r="B279" s="89">
        <v>210644998.64056069</v>
      </c>
      <c r="C279" s="89">
        <v>216017703.97132963</v>
      </c>
      <c r="D279" s="89">
        <v>221567381.83139452</v>
      </c>
      <c r="E279" s="89">
        <v>227110681.97223598</v>
      </c>
      <c r="F279" s="89">
        <v>232699246.93862993</v>
      </c>
      <c r="H279" s="183">
        <f t="shared" si="21"/>
        <v>1</v>
      </c>
      <c r="I279" s="183">
        <f t="shared" si="22"/>
        <v>1.0255059714944232</v>
      </c>
      <c r="J279" s="183">
        <f t="shared" si="23"/>
        <v>1.0256908473612953</v>
      </c>
      <c r="K279" s="183">
        <f t="shared" si="24"/>
        <v>1.0250185749139724</v>
      </c>
      <c r="L279" s="183">
        <f t="shared" si="25"/>
        <v>1.0246072307910077</v>
      </c>
    </row>
    <row r="280" spans="1:12" x14ac:dyDescent="0.2">
      <c r="A280" t="s">
        <v>408</v>
      </c>
      <c r="B280" s="89">
        <v>39113234.608126514</v>
      </c>
      <c r="C280" s="89">
        <v>39942279.515468583</v>
      </c>
      <c r="D280" s="89">
        <v>40766196.794349529</v>
      </c>
      <c r="E280" s="89">
        <v>41583406.647194356</v>
      </c>
      <c r="F280" s="89">
        <v>42357869.600637585</v>
      </c>
      <c r="H280" s="183">
        <f t="shared" si="21"/>
        <v>1</v>
      </c>
      <c r="I280" s="183">
        <f t="shared" si="22"/>
        <v>1.0211960201105388</v>
      </c>
      <c r="J280" s="183">
        <f t="shared" si="23"/>
        <v>1.0206276979900926</v>
      </c>
      <c r="K280" s="183">
        <f t="shared" si="24"/>
        <v>1.0200462617831962</v>
      </c>
      <c r="L280" s="183">
        <f t="shared" si="25"/>
        <v>1.0186243267660584</v>
      </c>
    </row>
    <row r="281" spans="1:12" x14ac:dyDescent="0.2">
      <c r="A281" t="s">
        <v>409</v>
      </c>
      <c r="B281" s="89">
        <v>4761125.8060415536</v>
      </c>
      <c r="C281" s="89">
        <v>4838892.4308652999</v>
      </c>
      <c r="D281" s="89">
        <v>4919827.5526448982</v>
      </c>
      <c r="E281" s="89">
        <v>5002075.6770560127</v>
      </c>
      <c r="F281" s="89">
        <v>5086672.2724792603</v>
      </c>
      <c r="H281" s="183">
        <f t="shared" si="21"/>
        <v>1</v>
      </c>
      <c r="I281" s="183">
        <f t="shared" si="22"/>
        <v>1.0163336630855386</v>
      </c>
      <c r="J281" s="183">
        <f t="shared" si="23"/>
        <v>1.016725960110902</v>
      </c>
      <c r="K281" s="183">
        <f t="shared" si="24"/>
        <v>1.016717684416987</v>
      </c>
      <c r="L281" s="183">
        <f t="shared" si="25"/>
        <v>1.0169122981907857</v>
      </c>
    </row>
    <row r="282" spans="1:12" x14ac:dyDescent="0.2">
      <c r="A282" t="s">
        <v>411</v>
      </c>
      <c r="B282" s="89">
        <v>41801385.904732704</v>
      </c>
      <c r="C282" s="89">
        <v>42118336.936000846</v>
      </c>
      <c r="D282" s="89">
        <v>42304661.130794622</v>
      </c>
      <c r="E282" s="89">
        <v>42500172.199086189</v>
      </c>
      <c r="F282" s="89">
        <v>42805631.240402035</v>
      </c>
      <c r="H282" s="183">
        <f t="shared" si="21"/>
        <v>1</v>
      </c>
      <c r="I282" s="183">
        <f t="shared" si="22"/>
        <v>1.007582309160526</v>
      </c>
      <c r="J282" s="183">
        <f t="shared" si="23"/>
        <v>1.0044238260185081</v>
      </c>
      <c r="K282" s="183">
        <f t="shared" si="24"/>
        <v>1.0046215018171898</v>
      </c>
      <c r="L282" s="183">
        <f t="shared" si="25"/>
        <v>1.0071872424395121</v>
      </c>
    </row>
    <row r="283" spans="1:12" x14ac:dyDescent="0.2">
      <c r="A283" t="s">
        <v>412</v>
      </c>
      <c r="B283" s="89">
        <v>2512046.836961898</v>
      </c>
      <c r="C283" s="89">
        <v>2560136.4356774772</v>
      </c>
      <c r="D283" s="89">
        <v>2609749.9476022869</v>
      </c>
      <c r="E283" s="89">
        <v>2637473.334841141</v>
      </c>
      <c r="F283" s="89">
        <v>2665997.0562581802</v>
      </c>
      <c r="H283" s="183">
        <f t="shared" si="21"/>
        <v>1</v>
      </c>
      <c r="I283" s="183">
        <f t="shared" si="22"/>
        <v>1.0191435915955052</v>
      </c>
      <c r="J283" s="183">
        <f t="shared" si="23"/>
        <v>1.0193792452751373</v>
      </c>
      <c r="K283" s="183">
        <f t="shared" si="24"/>
        <v>1.0106230051903344</v>
      </c>
      <c r="L283" s="183">
        <f t="shared" si="25"/>
        <v>1.0108147904436566</v>
      </c>
    </row>
    <row r="284" spans="1:12" x14ac:dyDescent="0.2">
      <c r="A284" t="s">
        <v>413</v>
      </c>
      <c r="B284" s="89">
        <v>5026257.914355142</v>
      </c>
      <c r="C284" s="89">
        <v>5138588.2008908466</v>
      </c>
      <c r="D284" s="89">
        <v>5266483.3049722919</v>
      </c>
      <c r="E284" s="89">
        <v>5346924.7357173152</v>
      </c>
      <c r="F284" s="89">
        <v>5376952.4624503059</v>
      </c>
      <c r="H284" s="183">
        <f t="shared" si="21"/>
        <v>1</v>
      </c>
      <c r="I284" s="183">
        <f t="shared" si="22"/>
        <v>1.0223486913027058</v>
      </c>
      <c r="J284" s="183">
        <f t="shared" si="23"/>
        <v>1.0248891522498871</v>
      </c>
      <c r="K284" s="183">
        <f t="shared" si="24"/>
        <v>1.0152742211617904</v>
      </c>
      <c r="L284" s="183">
        <f t="shared" si="25"/>
        <v>1.0056158873029213</v>
      </c>
    </row>
    <row r="285" spans="1:12" x14ac:dyDescent="0.2">
      <c r="A285" t="s">
        <v>414</v>
      </c>
      <c r="B285" s="89">
        <v>9817919.5727326404</v>
      </c>
      <c r="C285" s="89">
        <v>10098917.197718794</v>
      </c>
      <c r="D285" s="89">
        <v>10284772.604167342</v>
      </c>
      <c r="E285" s="89">
        <v>10490831.170800759</v>
      </c>
      <c r="F285" s="89">
        <v>10575304.155399935</v>
      </c>
      <c r="H285" s="183">
        <f t="shared" si="21"/>
        <v>1</v>
      </c>
      <c r="I285" s="183">
        <f t="shared" si="22"/>
        <v>1.0286208929401468</v>
      </c>
      <c r="J285" s="183">
        <f t="shared" si="23"/>
        <v>1.0184034983959005</v>
      </c>
      <c r="K285" s="183">
        <f t="shared" si="24"/>
        <v>1.0200353060358303</v>
      </c>
      <c r="L285" s="183">
        <f t="shared" si="25"/>
        <v>1.0080520774020547</v>
      </c>
    </row>
    <row r="286" spans="1:12" x14ac:dyDescent="0.2">
      <c r="A286" t="s">
        <v>415</v>
      </c>
      <c r="B286" s="89">
        <v>7008259.187972106</v>
      </c>
      <c r="C286" s="89">
        <v>7061811.8419535058</v>
      </c>
      <c r="D286" s="89">
        <v>7145819.9395105531</v>
      </c>
      <c r="E286" s="89">
        <v>7230669.3613011418</v>
      </c>
      <c r="F286" s="89">
        <v>7372302.2422269527</v>
      </c>
      <c r="H286" s="183">
        <f t="shared" si="21"/>
        <v>1</v>
      </c>
      <c r="I286" s="183">
        <f t="shared" si="22"/>
        <v>1.0076413632180312</v>
      </c>
      <c r="J286" s="183">
        <f t="shared" si="23"/>
        <v>1.0118961110034062</v>
      </c>
      <c r="K286" s="183">
        <f t="shared" si="24"/>
        <v>1.0118739938186017</v>
      </c>
      <c r="L286" s="183">
        <f t="shared" si="25"/>
        <v>1.0195877966269398</v>
      </c>
    </row>
    <row r="287" spans="1:12" x14ac:dyDescent="0.2">
      <c r="A287" t="s">
        <v>416</v>
      </c>
      <c r="B287" s="89">
        <v>8780521.6541046333</v>
      </c>
      <c r="C287" s="89">
        <v>8988496.1104212627</v>
      </c>
      <c r="D287" s="89">
        <v>9052512.948301062</v>
      </c>
      <c r="E287" s="89">
        <v>9279537.2507111263</v>
      </c>
      <c r="F287" s="89">
        <v>9448942.9786130264</v>
      </c>
      <c r="H287" s="183">
        <f t="shared" si="21"/>
        <v>1</v>
      </c>
      <c r="I287" s="183">
        <f t="shared" si="22"/>
        <v>1.0236858884368685</v>
      </c>
      <c r="J287" s="183">
        <f t="shared" si="23"/>
        <v>1.0071220855072271</v>
      </c>
      <c r="K287" s="183">
        <f t="shared" si="24"/>
        <v>1.0250785946075527</v>
      </c>
      <c r="L287" s="183">
        <f t="shared" si="25"/>
        <v>1.0182558379071023</v>
      </c>
    </row>
    <row r="288" spans="1:12" x14ac:dyDescent="0.2">
      <c r="A288" t="s">
        <v>417</v>
      </c>
      <c r="B288" s="89">
        <v>60042482.268665127</v>
      </c>
      <c r="C288" s="89">
        <v>61383120.90967378</v>
      </c>
      <c r="D288" s="89">
        <v>62270187.689839236</v>
      </c>
      <c r="E288" s="89">
        <v>63387763.746432692</v>
      </c>
      <c r="F288" s="89">
        <v>64283734.722211979</v>
      </c>
      <c r="H288" s="183">
        <f t="shared" si="21"/>
        <v>1</v>
      </c>
      <c r="I288" s="183">
        <f t="shared" si="22"/>
        <v>1.0223281681628327</v>
      </c>
      <c r="J288" s="183">
        <f t="shared" si="23"/>
        <v>1.0144513144170495</v>
      </c>
      <c r="K288" s="183">
        <f t="shared" si="24"/>
        <v>1.0179472087375097</v>
      </c>
      <c r="L288" s="183">
        <f t="shared" si="25"/>
        <v>1.0141347623393593</v>
      </c>
    </row>
    <row r="289" spans="1:12" x14ac:dyDescent="0.2">
      <c r="A289" t="s">
        <v>418</v>
      </c>
      <c r="B289" s="89">
        <v>14284163.67728097</v>
      </c>
      <c r="C289" s="89">
        <v>14461213.236728203</v>
      </c>
      <c r="D289" s="89">
        <v>14583803.766919939</v>
      </c>
      <c r="E289" s="89">
        <v>14771553.461569857</v>
      </c>
      <c r="F289" s="89">
        <v>14925751.833584251</v>
      </c>
      <c r="H289" s="183">
        <f t="shared" si="21"/>
        <v>1</v>
      </c>
      <c r="I289" s="183">
        <f t="shared" si="22"/>
        <v>1.0123948145265818</v>
      </c>
      <c r="J289" s="183">
        <f t="shared" si="23"/>
        <v>1.0084771953905212</v>
      </c>
      <c r="K289" s="183">
        <f t="shared" si="24"/>
        <v>1.0128738494874558</v>
      </c>
      <c r="L289" s="183">
        <f t="shared" si="25"/>
        <v>1.010438873095884</v>
      </c>
    </row>
    <row r="290" spans="1:12" x14ac:dyDescent="0.2">
      <c r="A290" t="s">
        <v>419</v>
      </c>
      <c r="B290" s="89">
        <v>5344065.9339432474</v>
      </c>
      <c r="C290" s="89">
        <v>5431506.3018801827</v>
      </c>
      <c r="D290" s="89">
        <v>5576438.424851073</v>
      </c>
      <c r="E290" s="89">
        <v>5558431.9138030782</v>
      </c>
      <c r="F290" s="89">
        <v>5708057.1845245119</v>
      </c>
      <c r="H290" s="183">
        <f t="shared" si="21"/>
        <v>1</v>
      </c>
      <c r="I290" s="183">
        <f t="shared" si="22"/>
        <v>1.0163621424244695</v>
      </c>
      <c r="J290" s="183">
        <f t="shared" si="23"/>
        <v>1.0266835965781205</v>
      </c>
      <c r="K290" s="183">
        <f t="shared" si="24"/>
        <v>0.99677096568165269</v>
      </c>
      <c r="L290" s="183">
        <f t="shared" si="25"/>
        <v>1.0269186117670839</v>
      </c>
    </row>
    <row r="291" spans="1:12" x14ac:dyDescent="0.2">
      <c r="A291" t="s">
        <v>420</v>
      </c>
      <c r="B291" s="89">
        <v>7350044.2936676331</v>
      </c>
      <c r="C291" s="89">
        <v>7503132.7337039737</v>
      </c>
      <c r="D291" s="89">
        <v>7638686.3552744137</v>
      </c>
      <c r="E291" s="89">
        <v>7774749.0262511894</v>
      </c>
      <c r="F291" s="89">
        <v>7915179.3500309391</v>
      </c>
      <c r="H291" s="183">
        <f t="shared" si="21"/>
        <v>1</v>
      </c>
      <c r="I291" s="183">
        <f t="shared" si="22"/>
        <v>1.0208282336704055</v>
      </c>
      <c r="J291" s="183">
        <f t="shared" si="23"/>
        <v>1.018066269967681</v>
      </c>
      <c r="K291" s="183">
        <f t="shared" si="24"/>
        <v>1.0178123128308345</v>
      </c>
      <c r="L291" s="183">
        <f t="shared" si="25"/>
        <v>1.0180623610235637</v>
      </c>
    </row>
    <row r="292" spans="1:12" x14ac:dyDescent="0.2">
      <c r="A292" t="s">
        <v>421</v>
      </c>
      <c r="B292" s="89">
        <v>15079057.16151307</v>
      </c>
      <c r="C292" s="89">
        <v>15159301.892107956</v>
      </c>
      <c r="D292" s="89">
        <v>15208788.29955483</v>
      </c>
      <c r="E292" s="89">
        <v>15297983.787949547</v>
      </c>
      <c r="F292" s="89">
        <v>15469705.634783193</v>
      </c>
      <c r="H292" s="183">
        <f t="shared" si="21"/>
        <v>1</v>
      </c>
      <c r="I292" s="183">
        <f t="shared" si="22"/>
        <v>1.00532160132662</v>
      </c>
      <c r="J292" s="183">
        <f t="shared" si="23"/>
        <v>1.0032644252221561</v>
      </c>
      <c r="K292" s="183">
        <f t="shared" si="24"/>
        <v>1.0058647333790114</v>
      </c>
      <c r="L292" s="183">
        <f t="shared" si="25"/>
        <v>1.0112251293512884</v>
      </c>
    </row>
    <row r="293" spans="1:12" x14ac:dyDescent="0.2">
      <c r="A293" t="s">
        <v>135</v>
      </c>
      <c r="B293" s="89">
        <v>17827079.214606382</v>
      </c>
      <c r="C293" s="89">
        <v>18371173.22265894</v>
      </c>
      <c r="D293" s="89">
        <v>18909496.49443543</v>
      </c>
      <c r="E293" s="89">
        <v>19446682.555824</v>
      </c>
      <c r="F293" s="89">
        <v>19857686.979748856</v>
      </c>
      <c r="H293" s="183">
        <f t="shared" si="21"/>
        <v>1</v>
      </c>
      <c r="I293" s="183">
        <f t="shared" si="22"/>
        <v>1.0305206479144806</v>
      </c>
      <c r="J293" s="183">
        <f t="shared" si="23"/>
        <v>1.0293026071471867</v>
      </c>
      <c r="K293" s="183">
        <f t="shared" si="24"/>
        <v>1.0284082689111607</v>
      </c>
      <c r="L293" s="183">
        <f t="shared" si="25"/>
        <v>1.0211349376812739</v>
      </c>
    </row>
    <row r="294" spans="1:12" x14ac:dyDescent="0.2">
      <c r="A294" t="s">
        <v>422</v>
      </c>
      <c r="B294" s="89">
        <v>9172041.4749348387</v>
      </c>
      <c r="C294" s="89">
        <v>9388864.356511876</v>
      </c>
      <c r="D294" s="89">
        <v>9456624.6111497991</v>
      </c>
      <c r="E294" s="89">
        <v>9642166.498860199</v>
      </c>
      <c r="F294" s="89">
        <v>9778909.8749324959</v>
      </c>
      <c r="H294" s="183">
        <f t="shared" si="21"/>
        <v>1</v>
      </c>
      <c r="I294" s="183">
        <f t="shared" si="22"/>
        <v>1.0236395443881896</v>
      </c>
      <c r="J294" s="183">
        <f t="shared" si="23"/>
        <v>1.0072170873989597</v>
      </c>
      <c r="K294" s="183">
        <f t="shared" si="24"/>
        <v>1.0196203080210711</v>
      </c>
      <c r="L294" s="183">
        <f t="shared" si="25"/>
        <v>1.0141818102900899</v>
      </c>
    </row>
    <row r="295" spans="1:12" x14ac:dyDescent="0.2">
      <c r="A295" t="s">
        <v>423</v>
      </c>
      <c r="B295" s="89">
        <v>36802430.576225512</v>
      </c>
      <c r="C295" s="89">
        <v>37836693.780310653</v>
      </c>
      <c r="D295" s="89">
        <v>39067059.620914854</v>
      </c>
      <c r="E295" s="89">
        <v>40171302.543374486</v>
      </c>
      <c r="F295" s="89">
        <v>41235491.227702551</v>
      </c>
      <c r="H295" s="183">
        <f t="shared" si="21"/>
        <v>1</v>
      </c>
      <c r="I295" s="183">
        <f t="shared" si="22"/>
        <v>1.0281031222093597</v>
      </c>
      <c r="J295" s="183">
        <f t="shared" si="23"/>
        <v>1.0325177947034172</v>
      </c>
      <c r="K295" s="183">
        <f t="shared" si="24"/>
        <v>1.0282653195089315</v>
      </c>
      <c r="L295" s="183">
        <f t="shared" si="25"/>
        <v>1.0264912665746653</v>
      </c>
    </row>
    <row r="296" spans="1:12" x14ac:dyDescent="0.2">
      <c r="A296" t="s">
        <v>424</v>
      </c>
      <c r="B296" s="89">
        <v>73943926.540278226</v>
      </c>
      <c r="C296" s="89">
        <v>76157429.174958378</v>
      </c>
      <c r="D296" s="89">
        <v>77935637.531542897</v>
      </c>
      <c r="E296" s="89">
        <v>79772138.576565921</v>
      </c>
      <c r="F296" s="89">
        <v>81557249.719128996</v>
      </c>
      <c r="H296" s="183">
        <f t="shared" si="21"/>
        <v>1</v>
      </c>
      <c r="I296" s="183">
        <f t="shared" si="22"/>
        <v>1.0299348809056608</v>
      </c>
      <c r="J296" s="183">
        <f t="shared" si="23"/>
        <v>1.0233491121726206</v>
      </c>
      <c r="K296" s="183">
        <f t="shared" si="24"/>
        <v>1.0235643295312717</v>
      </c>
      <c r="L296" s="183">
        <f t="shared" si="25"/>
        <v>1.0223776267556086</v>
      </c>
    </row>
    <row r="297" spans="1:12" x14ac:dyDescent="0.2">
      <c r="A297" t="s">
        <v>425</v>
      </c>
      <c r="B297" s="89">
        <v>4869825.1569811283</v>
      </c>
      <c r="C297" s="89">
        <v>4956371.4093580414</v>
      </c>
      <c r="D297" s="89">
        <v>5045423.9584105648</v>
      </c>
      <c r="E297" s="89">
        <v>5136066.6797242556</v>
      </c>
      <c r="F297" s="89">
        <v>5231394.651038019</v>
      </c>
      <c r="H297" s="183">
        <f t="shared" si="21"/>
        <v>1</v>
      </c>
      <c r="I297" s="183">
        <f t="shared" si="22"/>
        <v>1.017771942438805</v>
      </c>
      <c r="J297" s="183">
        <f t="shared" si="23"/>
        <v>1.0179672872949725</v>
      </c>
      <c r="K297" s="183">
        <f t="shared" si="24"/>
        <v>1.0179653329553391</v>
      </c>
      <c r="L297" s="183">
        <f t="shared" si="25"/>
        <v>1.0185605011107217</v>
      </c>
    </row>
    <row r="298" spans="1:12" x14ac:dyDescent="0.2">
      <c r="A298" t="s">
        <v>426</v>
      </c>
      <c r="B298" s="89">
        <v>17492907.736309003</v>
      </c>
      <c r="C298" s="89">
        <v>17739040.360567894</v>
      </c>
      <c r="D298" s="89">
        <v>17871319.62471462</v>
      </c>
      <c r="E298" s="89">
        <v>17940926.555168562</v>
      </c>
      <c r="F298" s="89">
        <v>17890497.240670145</v>
      </c>
      <c r="H298" s="183">
        <f t="shared" si="21"/>
        <v>1</v>
      </c>
      <c r="I298" s="183">
        <f t="shared" si="22"/>
        <v>1.0140704237379592</v>
      </c>
      <c r="J298" s="183">
        <f t="shared" si="23"/>
        <v>1.007456957166678</v>
      </c>
      <c r="K298" s="183">
        <f t="shared" si="24"/>
        <v>1.003894895951482</v>
      </c>
      <c r="L298" s="183">
        <f t="shared" si="25"/>
        <v>0.99718914659489033</v>
      </c>
    </row>
    <row r="299" spans="1:12" x14ac:dyDescent="0.2">
      <c r="A299" t="s">
        <v>427</v>
      </c>
      <c r="B299" s="89">
        <v>46172003.149409205</v>
      </c>
      <c r="C299" s="89">
        <v>46665664.093995765</v>
      </c>
      <c r="D299" s="89">
        <v>47179105.956004128</v>
      </c>
      <c r="E299" s="89">
        <v>47806449.146172613</v>
      </c>
      <c r="F299" s="89">
        <v>48335555.183585927</v>
      </c>
      <c r="H299" s="183">
        <f t="shared" si="21"/>
        <v>1</v>
      </c>
      <c r="I299" s="183">
        <f t="shared" si="22"/>
        <v>1.0106917809692837</v>
      </c>
      <c r="J299" s="183">
        <f t="shared" si="23"/>
        <v>1.011002561990207</v>
      </c>
      <c r="K299" s="183">
        <f t="shared" si="24"/>
        <v>1.0132970554964205</v>
      </c>
      <c r="L299" s="183">
        <f t="shared" si="25"/>
        <v>1.0110676707193944</v>
      </c>
    </row>
  </sheetData>
  <hyperlinks>
    <hyperlink ref="N7" r:id="rId1" xr:uid="{00000000-0004-0000-0800-000000000000}"/>
    <hyperlink ref="N5" r:id="rId2" xr:uid="{00000000-0004-0000-0800-00000100000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KN2 Dokumentti" ma:contentTypeID="0x010100FB67A0028CB54352919050D117ADD96100710A1A8FEBEDEE45AE907C3B8C4F8D4F" ma:contentTypeVersion="8" ma:contentTypeDescription="KN2 Dokumentti sisältölaji." ma:contentTypeScope="" ma:versionID="4d185c6ea3fcb246cdf877fdbf2a1ba8">
  <xsd:schema xmlns:xsd="http://www.w3.org/2001/XMLSchema" xmlns:xs="http://www.w3.org/2001/XMLSchema" xmlns:p="http://schemas.microsoft.com/office/2006/metadata/properties" xmlns:ns2="a86a36f1-5a8f-416f-bf33-cf6bc51d313a" xmlns:ns3="2ca64109-ff74-4a3f-8df8-1404b228dfda" xmlns:ns4="f674653e-f7ee-4492-bd39-da975c8607c5" targetNamespace="http://schemas.microsoft.com/office/2006/metadata/properties" ma:root="true" ma:fieldsID="7c2349090df3c877161d5ecabcfec02a" ns2:_="" ns3:_="" ns4:_="">
    <xsd:import namespace="a86a36f1-5a8f-416f-bf33-cf6bc51d313a"/>
    <xsd:import namespace="2ca64109-ff74-4a3f-8df8-1404b228dfda"/>
    <xsd:import namespace="f674653e-f7ee-4492-bd39-da975c8607c5"/>
    <xsd:element name="properties">
      <xsd:complexType>
        <xsd:sequence>
          <xsd:element name="documentManagement">
            <xsd:complexType>
              <xsd:all>
                <xsd:element ref="ns2:KN2Description" minOccurs="0"/>
                <xsd:element ref="ns3:ExpertServiceTaxHTField0" minOccurs="0"/>
                <xsd:element ref="ns3:ThemeTaxHTField0" minOccurs="0"/>
                <xsd:element ref="ns3:KN2KeywordsTaxHTField0" minOccurs="0"/>
                <xsd:element ref="ns3:MunicipalityTaxHTField0" minOccurs="0"/>
                <xsd:element ref="ns3:KN2LanguageTaxHTField0" minOccurs="0"/>
                <xsd:element ref="ns4:KN2ArticleDateTime" minOccurs="0"/>
                <xsd:element ref="ns3:_dlc_DocId" minOccurs="0"/>
                <xsd:element ref="ns3:_dlc_DocIdUrl" minOccurs="0"/>
                <xsd:element ref="ns3:_dlc_DocIdPersistId"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a36f1-5a8f-416f-bf33-cf6bc51d313a" elementFormDefault="qualified">
    <xsd:import namespace="http://schemas.microsoft.com/office/2006/documentManagement/types"/>
    <xsd:import namespace="http://schemas.microsoft.com/office/infopath/2007/PartnerControls"/>
    <xsd:element name="KN2Description" ma:index="8" nillable="true" ma:displayName="Kuvausteksti" ma:internalName="KN2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a64109-ff74-4a3f-8df8-1404b228dfda" elementFormDefault="qualified">
    <xsd:import namespace="http://schemas.microsoft.com/office/2006/documentManagement/types"/>
    <xsd:import namespace="http://schemas.microsoft.com/office/infopath/2007/PartnerControls"/>
    <xsd:element name="ExpertServiceTaxHTField0" ma:index="9" ma:taxonomy="true" ma:internalName="ExpertServiceTaxHTField0" ma:taxonomyFieldName="ExpertService" ma:displayName="Asiantuntijapalvelut" ma:default="" ma:fieldId="{969cb6fd-1f4d-4c41-ae54-a504ad3b65cf}" ma:taxonomyMulti="true" ma:sspId="af6aced0-8844-4989-b18d-bf2834524db8" ma:termSetId="0f91e407-31c2-4981-adcd-3a992993f5f0" ma:anchorId="00000000-0000-0000-0000-000000000000" ma:open="false" ma:isKeyword="false">
      <xsd:complexType>
        <xsd:sequence>
          <xsd:element ref="pc:Terms" minOccurs="0" maxOccurs="1"/>
        </xsd:sequence>
      </xsd:complexType>
    </xsd:element>
    <xsd:element name="ThemeTaxHTField0" ma:index="11" nillable="true" ma:taxonomy="true" ma:internalName="ThemeTaxHTField0" ma:taxonomyFieldName="Theme" ma:displayName="Teemat" ma:fieldId="{040ee926-e7cf-4076-a1f3-29b285211891}" ma:taxonomyMulti="true" ma:sspId="af6aced0-8844-4989-b18d-bf2834524db8" ma:termSetId="75b7cd61-4408-4d77-8374-d2cb507445cc" ma:anchorId="00000000-0000-0000-0000-000000000000" ma:open="false" ma:isKeyword="false">
      <xsd:complexType>
        <xsd:sequence>
          <xsd:element ref="pc:Terms" minOccurs="0" maxOccurs="1"/>
        </xsd:sequence>
      </xsd:complexType>
    </xsd:element>
    <xsd:element name="KN2KeywordsTaxHTField0" ma:index="13" nillable="true" ma:taxonomy="true" ma:internalName="KN2KeywordsTaxHTField0" ma:taxonomyFieldName="KN2Keywords" ma:displayName="Asiasanat" ma:fieldId="{11851b79-a7e3-4a1d-bd9d-944d2d87b293}" ma:taxonomyMulti="true" ma:sspId="af6aced0-8844-4989-b18d-bf2834524db8" ma:termSetId="1b86b395-74cd-4831-bbe4-19296048be4b" ma:anchorId="00000000-0000-0000-0000-000000000000" ma:open="false" ma:isKeyword="false">
      <xsd:complexType>
        <xsd:sequence>
          <xsd:element ref="pc:Terms" minOccurs="0" maxOccurs="1"/>
        </xsd:sequence>
      </xsd:complexType>
    </xsd:element>
    <xsd:element name="MunicipalityTaxHTField0" ma:index="15" nillable="true" ma:taxonomy="true" ma:internalName="MunicipalityTaxHTField0" ma:taxonomyFieldName="Municipality" ma:displayName="Kunta" ma:fieldId="{4e88d9db-f7ea-4b86-8eef-f1494b580dd0}" ma:taxonomyMulti="true" ma:sspId="af6aced0-8844-4989-b18d-bf2834524db8" ma:termSetId="788596fa-2187-4349-9e27-21ebbd15ae24" ma:anchorId="00000000-0000-0000-0000-000000000000" ma:open="false" ma:isKeyword="false">
      <xsd:complexType>
        <xsd:sequence>
          <xsd:element ref="pc:Terms" minOccurs="0" maxOccurs="1"/>
        </xsd:sequence>
      </xsd:complexType>
    </xsd:element>
    <xsd:element name="KN2LanguageTaxHTField0" ma:index="17" nillable="true" ma:taxonomy="true" ma:internalName="KN2LanguageTaxHTField0" ma:taxonomyFieldName="KN2Language" ma:displayName="Kieli" ma:fieldId="{c18774ba-aa5a-42e7-a16a-d0ce5e6458ba}" ma:sspId="af6aced0-8844-4989-b18d-bf2834524db8" ma:termSetId="8851a166-5db3-4141-857a-f8e0095ce3d9" ma:anchorId="00000000-0000-0000-0000-000000000000" ma:open="false" ma:isKeyword="false">
      <xsd:complexType>
        <xsd:sequence>
          <xsd:element ref="pc:Terms" minOccurs="0" maxOccurs="1"/>
        </xsd:sequence>
      </xsd:complexType>
    </xsd:element>
    <xsd:element name="_dlc_DocId" ma:index="20" nillable="true" ma:displayName="Tiedostotunnisteen arvo" ma:description="Tälle kohteelle määritetyn tiedostotunnisteen arvo." ma:internalName="_dlc_DocId" ma:readOnly="true">
      <xsd:simpleType>
        <xsd:restriction base="dms:Text"/>
      </xsd:simpleType>
    </xsd:element>
    <xsd:element name="_dlc_DocIdUrl" ma:index="21"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3" nillable="true" ma:displayName="Luokituksen Kaikki-sarake" ma:description="" ma:hidden="true" ma:list="{04c7fbc9-91a9-4b02-980f-703bf088685b}" ma:internalName="TaxCatchAll" ma:showField="CatchAllData" ma:web="2ca64109-ff74-4a3f-8df8-1404b228df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74653e-f7ee-4492-bd39-da975c8607c5" elementFormDefault="qualified">
    <xsd:import namespace="http://schemas.microsoft.com/office/2006/documentManagement/types"/>
    <xsd:import namespace="http://schemas.microsoft.com/office/infopath/2007/PartnerControls"/>
    <xsd:element name="KN2ArticleDateTime" ma:index="19" nillable="true" ma:displayName="Aika" ma:default="[today]" ma:format="DateTime" ma:internalName="KN2Article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unicipalityTaxHTField0 xmlns="2ca64109-ff74-4a3f-8df8-1404b228dfda">
      <Terms xmlns="http://schemas.microsoft.com/office/infopath/2007/PartnerControls"/>
    </MunicipalityTaxHTField0>
    <ExpertServiceTaxHTField0 xmlns="2ca64109-ff74-4a3f-8df8-1404b228dfda">
      <Terms xmlns="http://schemas.microsoft.com/office/infopath/2007/PartnerControls">
        <TermInfo xmlns="http://schemas.microsoft.com/office/infopath/2007/PartnerControls">
          <TermName xmlns="http://schemas.microsoft.com/office/infopath/2007/PartnerControls">Kuntatalous</TermName>
          <TermId xmlns="http://schemas.microsoft.com/office/infopath/2007/PartnerControls">f60f4e25-53fd-466c-b326-d92406949689</TermId>
        </TermInfo>
      </Terms>
    </ExpertServiceTaxHTField0>
    <KN2KeywordsTaxHTField0 xmlns="2ca64109-ff74-4a3f-8df8-1404b228dfda">
      <Terms xmlns="http://schemas.microsoft.com/office/infopath/2007/PartnerControls"/>
    </KN2KeywordsTaxHTField0>
    <KN2LanguageTaxHTField0 xmlns="2ca64109-ff74-4a3f-8df8-1404b228dfda">
      <Terms xmlns="http://schemas.microsoft.com/office/infopath/2007/PartnerControls"/>
    </KN2LanguageTaxHTField0>
    <KN2ArticleDateTime xmlns="f674653e-f7ee-4492-bd39-da975c8607c5">2017-02-24T13:06:00+00:00</KN2ArticleDateTime>
    <KN2Description xmlns="a86a36f1-5a8f-416f-bf33-cf6bc51d313a">Excel-tiedosto *-xlsm-markoversio</KN2Description>
    <ThemeTaxHTField0 xmlns="2ca64109-ff74-4a3f-8df8-1404b228dfda">
      <Terms xmlns="http://schemas.microsoft.com/office/infopath/2007/PartnerControls"/>
    </ThemeTaxHTField0>
    <TaxCatchAll xmlns="2ca64109-ff74-4a3f-8df8-1404b228dfda">
      <Value>7</Value>
    </TaxCatchAll>
  </documentManagement>
</p:properties>
</file>

<file path=customXml/itemProps1.xml><?xml version="1.0" encoding="utf-8"?>
<ds:datastoreItem xmlns:ds="http://schemas.openxmlformats.org/officeDocument/2006/customXml" ds:itemID="{507F0009-D2E5-4BAC-B33C-EA60D663E11D}">
  <ds:schemaRefs>
    <ds:schemaRef ds:uri="http://schemas.microsoft.com/sharepoint/v3/contenttype/forms"/>
  </ds:schemaRefs>
</ds:datastoreItem>
</file>

<file path=customXml/itemProps2.xml><?xml version="1.0" encoding="utf-8"?>
<ds:datastoreItem xmlns:ds="http://schemas.openxmlformats.org/officeDocument/2006/customXml" ds:itemID="{B4552C89-B12F-4792-BEAD-4730D3C90CB8}">
  <ds:schemaRefs>
    <ds:schemaRef ds:uri="http://schemas.microsoft.com/sharepoint/events"/>
  </ds:schemaRefs>
</ds:datastoreItem>
</file>

<file path=customXml/itemProps3.xml><?xml version="1.0" encoding="utf-8"?>
<ds:datastoreItem xmlns:ds="http://schemas.openxmlformats.org/officeDocument/2006/customXml" ds:itemID="{329940BC-5A3F-4740-A75E-171413198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a36f1-5a8f-416f-bf33-cf6bc51d313a"/>
    <ds:schemaRef ds:uri="2ca64109-ff74-4a3f-8df8-1404b228dfda"/>
    <ds:schemaRef ds:uri="f674653e-f7ee-4492-bd39-da975c8607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B29C5B-92B1-458A-9A46-2AD97E3B980E}">
  <ds:schemaRefs>
    <ds:schemaRef ds:uri="http://schemas.microsoft.com/office/2006/metadata/properties"/>
    <ds:schemaRef ds:uri="http://schemas.microsoft.com/office/infopath/2007/PartnerControls"/>
    <ds:schemaRef ds:uri="2ca64109-ff74-4a3f-8df8-1404b228dfda"/>
    <ds:schemaRef ds:uri="f674653e-f7ee-4492-bd39-da975c8607c5"/>
    <ds:schemaRef ds:uri="a86a36f1-5a8f-416f-bf33-cf6bc51d31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12</vt:i4>
      </vt:variant>
    </vt:vector>
  </HeadingPairs>
  <TitlesOfParts>
    <vt:vector size="24" baseType="lpstr">
      <vt:lpstr>Info</vt:lpstr>
      <vt:lpstr>Kuviot</vt:lpstr>
      <vt:lpstr>Tuloslaskelma</vt:lpstr>
      <vt:lpstr>Muutosrajoitin (lopullinen)</vt:lpstr>
      <vt:lpstr>Siirtymätasaus (lopullinen)</vt:lpstr>
      <vt:lpstr>Rahoituslaskelma</vt:lpstr>
      <vt:lpstr>Tase</vt:lpstr>
      <vt:lpstr>Taustatiedot</vt:lpstr>
      <vt:lpstr>Painelaskelmat</vt:lpstr>
      <vt:lpstr>Väestötiedot</vt:lpstr>
      <vt:lpstr>Tilitykset</vt:lpstr>
      <vt:lpstr>Tausta1</vt:lpstr>
      <vt:lpstr>alue5</vt:lpstr>
      <vt:lpstr>kunnat</vt:lpstr>
      <vt:lpstr>linkki</vt:lpstr>
      <vt:lpstr>painelaskelmat</vt:lpstr>
      <vt:lpstr>paineprosentit</vt:lpstr>
      <vt:lpstr>pela_kerroin</vt:lpstr>
      <vt:lpstr>sote_kerroin</vt:lpstr>
      <vt:lpstr>Tuloslaskelma!Tulostusalue</vt:lpstr>
      <vt:lpstr>vero2</vt:lpstr>
      <vt:lpstr>vero4</vt:lpstr>
      <vt:lpstr>väestö</vt:lpstr>
      <vt:lpstr>väestö2</vt:lpstr>
    </vt:vector>
  </TitlesOfParts>
  <Company>Pukin perhe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Jakoavain - uusi työkalu maakuntauudistuksen vaikutuksista</dc:title>
  <dc:creator>Mehtonen Mikko;PUKKI HEIKKI</dc:creator>
  <cp:lastModifiedBy>Mehtonen Mikko</cp:lastModifiedBy>
  <cp:lastPrinted>2017-02-24T12:08:37Z</cp:lastPrinted>
  <dcterms:created xsi:type="dcterms:W3CDTF">1999-06-12T09:52:58Z</dcterms:created>
  <dcterms:modified xsi:type="dcterms:W3CDTF">2023-08-15T06:27:00Z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0x010100FB67A0028CB54352919050D117ADD96100710A1A8FEBEDEE45AE907C3B8C4F8D4F</vt:lpwstr>
  </property>
  <property fmtid="{D5CDD505-2E9C-101B-9397-08002B2CF9AE}" pid="3" name="_dlc_DocIdItemGuid">
    <vt:lpwstr>34d8ddd3-e612-4d0f-8197-f8875860191e</vt:lpwstr>
  </property>
  <property fmtid="{D5CDD505-2E9C-101B-9397-08002B2CF9AE}" pid="4" name="KN2Keywords">
    <vt:lpwstr/>
  </property>
  <property fmtid="{D5CDD505-2E9C-101B-9397-08002B2CF9AE}" pid="5" name="Theme">
    <vt:lpwstr/>
  </property>
  <property fmtid="{D5CDD505-2E9C-101B-9397-08002B2CF9AE}" pid="6" name="KN2Language">
    <vt:lpwstr/>
  </property>
  <property fmtid="{D5CDD505-2E9C-101B-9397-08002B2CF9AE}" pid="7" name="Municipality">
    <vt:lpwstr/>
  </property>
  <property fmtid="{D5CDD505-2E9C-101B-9397-08002B2CF9AE}" pid="8" name="ExpertService">
    <vt:lpwstr>7;#Kuntatalous|f60f4e25-53fd-466c-b326-d92406949689</vt:lpwstr>
  </property>
  <property fmtid="{D5CDD505-2E9C-101B-9397-08002B2CF9AE}" pid="9" name="_dlc_DocId">
    <vt:lpwstr>G94TWSLYV3F3-13212-20</vt:lpwstr>
  </property>
  <property fmtid="{D5CDD505-2E9C-101B-9397-08002B2CF9AE}" pid="10" name="_dlc_DocIdUrl">
    <vt:lpwstr>http://www.kunnat.net/fi/asiantuntijapalvelut/kuntatalous/budjetointi-taloussuunnittelu/kuntatalouden-2019-jakoavain/_layouts/DocIdRedir.aspx?ID=G94TWSLYV3F3-13212-20, G94TWSLYV3F3-13212-20</vt:lpwstr>
  </property>
  <property fmtid="{D5CDD505-2E9C-101B-9397-08002B2CF9AE}" pid="11" name="Workbook id">
    <vt:lpwstr>104b7bbb-6345-48d0-b88d-bc22bddb4390</vt:lpwstr>
  </property>
  <property fmtid="{D5CDD505-2E9C-101B-9397-08002B2CF9AE}" pid="12" name="Workbook type">
    <vt:lpwstr>Custom</vt:lpwstr>
  </property>
  <property fmtid="{D5CDD505-2E9C-101B-9397-08002B2CF9AE}" pid="13" name="Workbook version">
    <vt:lpwstr>Custom</vt:lpwstr>
  </property>
</Properties>
</file>